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860"/>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HM1 .C64 1999 v. 18</t>
        </is>
      </c>
      <c r="C2" t="inlineStr">
        <is>
          <t>0                      HM 0001000C  64          1999                                        v. 18</t>
        </is>
      </c>
      <c r="D2" t="inlineStr">
        <is>
          <t>Family change : practices, policies, and values / series editors, Fredrik Engelstad ... [et al.] ; volume editor, Arnlaug Leira.</t>
        </is>
      </c>
      <c r="E2" t="inlineStr">
        <is>
          <t>V. 18</t>
        </is>
      </c>
      <c r="F2" t="inlineStr">
        <is>
          <t>No</t>
        </is>
      </c>
      <c r="G2" t="inlineStr">
        <is>
          <t>1</t>
        </is>
      </c>
      <c r="H2" t="inlineStr">
        <is>
          <t>No</t>
        </is>
      </c>
      <c r="I2" t="inlineStr">
        <is>
          <t>No</t>
        </is>
      </c>
      <c r="J2" t="inlineStr">
        <is>
          <t>0</t>
        </is>
      </c>
      <c r="L2" t="inlineStr">
        <is>
          <t>Stamford, CT : JAI Press, c1999.</t>
        </is>
      </c>
      <c r="M2" t="inlineStr">
        <is>
          <t>1999</t>
        </is>
      </c>
      <c r="O2" t="inlineStr">
        <is>
          <t>eng</t>
        </is>
      </c>
      <c r="P2" t="inlineStr">
        <is>
          <t>ctu</t>
        </is>
      </c>
      <c r="Q2" t="inlineStr">
        <is>
          <t>Comparative social research, 0195-6310 ; v. 18</t>
        </is>
      </c>
      <c r="R2" t="inlineStr">
        <is>
          <t xml:space="preserve">HM </t>
        </is>
      </c>
      <c r="S2" t="n">
        <v>1</v>
      </c>
      <c r="T2" t="n">
        <v>1</v>
      </c>
      <c r="U2" t="inlineStr">
        <is>
          <t>2009-03-22</t>
        </is>
      </c>
      <c r="V2" t="inlineStr">
        <is>
          <t>2009-03-22</t>
        </is>
      </c>
      <c r="W2" t="inlineStr">
        <is>
          <t>2007-02-13</t>
        </is>
      </c>
      <c r="X2" t="inlineStr">
        <is>
          <t>2007-02-13</t>
        </is>
      </c>
      <c r="Y2" t="n">
        <v>84</v>
      </c>
      <c r="Z2" t="n">
        <v>44</v>
      </c>
      <c r="AA2" t="n">
        <v>44</v>
      </c>
      <c r="AB2" t="n">
        <v>2</v>
      </c>
      <c r="AC2" t="n">
        <v>2</v>
      </c>
      <c r="AD2" t="n">
        <v>5</v>
      </c>
      <c r="AE2" t="n">
        <v>5</v>
      </c>
      <c r="AF2" t="n">
        <v>2</v>
      </c>
      <c r="AG2" t="n">
        <v>2</v>
      </c>
      <c r="AH2" t="n">
        <v>1</v>
      </c>
      <c r="AI2" t="n">
        <v>1</v>
      </c>
      <c r="AJ2" t="n">
        <v>3</v>
      </c>
      <c r="AK2" t="n">
        <v>3</v>
      </c>
      <c r="AL2" t="n">
        <v>1</v>
      </c>
      <c r="AM2" t="n">
        <v>1</v>
      </c>
      <c r="AN2" t="n">
        <v>0</v>
      </c>
      <c r="AO2" t="n">
        <v>0</v>
      </c>
      <c r="AP2" t="inlineStr">
        <is>
          <t>No</t>
        </is>
      </c>
      <c r="AQ2" t="inlineStr">
        <is>
          <t>No</t>
        </is>
      </c>
      <c r="AS2">
        <f>HYPERLINK("https://creighton-primo.hosted.exlibrisgroup.com/primo-explore/search?tab=default_tab&amp;search_scope=EVERYTHING&amp;vid=01CRU&amp;lang=en_US&amp;offset=0&amp;query=any,contains,991005039629702656","Catalog Record")</f>
        <v/>
      </c>
      <c r="AT2">
        <f>HYPERLINK("http://www.worldcat.org/oclc/42264302","WorldCat Record")</f>
        <v/>
      </c>
      <c r="AU2" t="inlineStr">
        <is>
          <t>27799332:eng</t>
        </is>
      </c>
      <c r="AV2" t="inlineStr">
        <is>
          <t>42264302</t>
        </is>
      </c>
      <c r="AW2" t="inlineStr">
        <is>
          <t>991005039629702656</t>
        </is>
      </c>
      <c r="AX2" t="inlineStr">
        <is>
          <t>991005039629702656</t>
        </is>
      </c>
      <c r="AY2" t="inlineStr">
        <is>
          <t>2265749770002656</t>
        </is>
      </c>
      <c r="AZ2" t="inlineStr">
        <is>
          <t>BOOK</t>
        </is>
      </c>
      <c r="BB2" t="inlineStr">
        <is>
          <t>9780762304790</t>
        </is>
      </c>
      <c r="BC2" t="inlineStr">
        <is>
          <t>32285003580924</t>
        </is>
      </c>
      <c r="BD2" t="inlineStr">
        <is>
          <t>893719684</t>
        </is>
      </c>
    </row>
    <row r="3">
      <c r="A3" t="inlineStr">
        <is>
          <t>No</t>
        </is>
      </c>
      <c r="B3" t="inlineStr">
        <is>
          <t>HM1 .C64 2002 v. 20</t>
        </is>
      </c>
      <c r="C3" t="inlineStr">
        <is>
          <t>0                      HM 0001000C  64          2002                                        v. 20</t>
        </is>
      </c>
      <c r="D3" t="inlineStr">
        <is>
          <t>The comparative study of conscription in the armed forces / edited by Lars Mjøset, Stephen van Holde.</t>
        </is>
      </c>
      <c r="E3" t="inlineStr">
        <is>
          <t>V. 20</t>
        </is>
      </c>
      <c r="F3" t="inlineStr">
        <is>
          <t>No</t>
        </is>
      </c>
      <c r="G3" t="inlineStr">
        <is>
          <t>1</t>
        </is>
      </c>
      <c r="H3" t="inlineStr">
        <is>
          <t>No</t>
        </is>
      </c>
      <c r="I3" t="inlineStr">
        <is>
          <t>No</t>
        </is>
      </c>
      <c r="J3" t="inlineStr">
        <is>
          <t>0</t>
        </is>
      </c>
      <c r="L3" t="inlineStr">
        <is>
          <t>Amsterdam ; New York : JAI, c2002.</t>
        </is>
      </c>
      <c r="M3" t="inlineStr">
        <is>
          <t>2002</t>
        </is>
      </c>
      <c r="O3" t="inlineStr">
        <is>
          <t>eng</t>
        </is>
      </c>
      <c r="P3" t="inlineStr">
        <is>
          <t xml:space="preserve">ne </t>
        </is>
      </c>
      <c r="Q3" t="inlineStr">
        <is>
          <t>Comparative social research ; v. 20</t>
        </is>
      </c>
      <c r="R3" t="inlineStr">
        <is>
          <t xml:space="preserve">HM </t>
        </is>
      </c>
      <c r="S3" t="n">
        <v>3</v>
      </c>
      <c r="T3" t="n">
        <v>3</v>
      </c>
      <c r="U3" t="inlineStr">
        <is>
          <t>2009-11-30</t>
        </is>
      </c>
      <c r="V3" t="inlineStr">
        <is>
          <t>2009-11-30</t>
        </is>
      </c>
      <c r="W3" t="inlineStr">
        <is>
          <t>2007-02-13</t>
        </is>
      </c>
      <c r="X3" t="inlineStr">
        <is>
          <t>2007-02-13</t>
        </is>
      </c>
      <c r="Y3" t="n">
        <v>125</v>
      </c>
      <c r="Z3" t="n">
        <v>85</v>
      </c>
      <c r="AA3" t="n">
        <v>90</v>
      </c>
      <c r="AB3" t="n">
        <v>2</v>
      </c>
      <c r="AC3" t="n">
        <v>2</v>
      </c>
      <c r="AD3" t="n">
        <v>6</v>
      </c>
      <c r="AE3" t="n">
        <v>6</v>
      </c>
      <c r="AF3" t="n">
        <v>2</v>
      </c>
      <c r="AG3" t="n">
        <v>2</v>
      </c>
      <c r="AH3" t="n">
        <v>0</v>
      </c>
      <c r="AI3" t="n">
        <v>0</v>
      </c>
      <c r="AJ3" t="n">
        <v>4</v>
      </c>
      <c r="AK3" t="n">
        <v>4</v>
      </c>
      <c r="AL3" t="n">
        <v>1</v>
      </c>
      <c r="AM3" t="n">
        <v>1</v>
      </c>
      <c r="AN3" t="n">
        <v>0</v>
      </c>
      <c r="AO3" t="n">
        <v>0</v>
      </c>
      <c r="AP3" t="inlineStr">
        <is>
          <t>No</t>
        </is>
      </c>
      <c r="AQ3" t="inlineStr">
        <is>
          <t>No</t>
        </is>
      </c>
      <c r="AS3">
        <f>HYPERLINK("https://creighton-primo.hosted.exlibrisgroup.com/primo-explore/search?tab=default_tab&amp;search_scope=EVERYTHING&amp;vid=01CRU&amp;lang=en_US&amp;offset=0&amp;query=any,contains,991005039689702656","Catalog Record")</f>
        <v/>
      </c>
      <c r="AT3">
        <f>HYPERLINK("http://www.worldcat.org/oclc/48449795","WorldCat Record")</f>
        <v/>
      </c>
      <c r="AU3" t="inlineStr">
        <is>
          <t>630367344:eng</t>
        </is>
      </c>
      <c r="AV3" t="inlineStr">
        <is>
          <t>48449795</t>
        </is>
      </c>
      <c r="AW3" t="inlineStr">
        <is>
          <t>991005039689702656</t>
        </is>
      </c>
      <c r="AX3" t="inlineStr">
        <is>
          <t>991005039689702656</t>
        </is>
      </c>
      <c r="AY3" t="inlineStr">
        <is>
          <t>2264667620002656</t>
        </is>
      </c>
      <c r="AZ3" t="inlineStr">
        <is>
          <t>BOOK</t>
        </is>
      </c>
      <c r="BB3" t="inlineStr">
        <is>
          <t>9780762308361</t>
        </is>
      </c>
      <c r="BC3" t="inlineStr">
        <is>
          <t>32285004466834</t>
        </is>
      </c>
      <c r="BD3" t="inlineStr">
        <is>
          <t>893263570</t>
        </is>
      </c>
    </row>
    <row r="4">
      <c r="A4" t="inlineStr">
        <is>
          <t>No</t>
        </is>
      </c>
      <c r="B4" t="inlineStr">
        <is>
          <t>HM1 .C64 2003 v. 22</t>
        </is>
      </c>
      <c r="C4" t="inlineStr">
        <is>
          <t>0                      HM 0001000C  64          2003                                        v. 22</t>
        </is>
      </c>
      <c r="D4" t="inlineStr">
        <is>
          <t>The multicultural challenge / edited by Grete Brochmann.</t>
        </is>
      </c>
      <c r="E4" t="inlineStr">
        <is>
          <t>V. 22</t>
        </is>
      </c>
      <c r="F4" t="inlineStr">
        <is>
          <t>No</t>
        </is>
      </c>
      <c r="G4" t="inlineStr">
        <is>
          <t>1</t>
        </is>
      </c>
      <c r="H4" t="inlineStr">
        <is>
          <t>No</t>
        </is>
      </c>
      <c r="I4" t="inlineStr">
        <is>
          <t>No</t>
        </is>
      </c>
      <c r="J4" t="inlineStr">
        <is>
          <t>0</t>
        </is>
      </c>
      <c r="L4" t="inlineStr">
        <is>
          <t>Amsterdam ; London : JAI, 2003.</t>
        </is>
      </c>
      <c r="M4" t="inlineStr">
        <is>
          <t>2003</t>
        </is>
      </c>
      <c r="O4" t="inlineStr">
        <is>
          <t>eng</t>
        </is>
      </c>
      <c r="P4" t="inlineStr">
        <is>
          <t xml:space="preserve">ne </t>
        </is>
      </c>
      <c r="Q4" t="inlineStr">
        <is>
          <t>Comparative social research ; v. 22</t>
        </is>
      </c>
      <c r="R4" t="inlineStr">
        <is>
          <t xml:space="preserve">HM </t>
        </is>
      </c>
      <c r="S4" t="n">
        <v>1</v>
      </c>
      <c r="T4" t="n">
        <v>1</v>
      </c>
      <c r="U4" t="inlineStr">
        <is>
          <t>2009-04-09</t>
        </is>
      </c>
      <c r="V4" t="inlineStr">
        <is>
          <t>2009-04-09</t>
        </is>
      </c>
      <c r="W4" t="inlineStr">
        <is>
          <t>2007-02-13</t>
        </is>
      </c>
      <c r="X4" t="inlineStr">
        <is>
          <t>2007-02-13</t>
        </is>
      </c>
      <c r="Y4" t="n">
        <v>102</v>
      </c>
      <c r="Z4" t="n">
        <v>66</v>
      </c>
      <c r="AA4" t="n">
        <v>73</v>
      </c>
      <c r="AB4" t="n">
        <v>2</v>
      </c>
      <c r="AC4" t="n">
        <v>2</v>
      </c>
      <c r="AD4" t="n">
        <v>7</v>
      </c>
      <c r="AE4" t="n">
        <v>7</v>
      </c>
      <c r="AF4" t="n">
        <v>2</v>
      </c>
      <c r="AG4" t="n">
        <v>2</v>
      </c>
      <c r="AH4" t="n">
        <v>1</v>
      </c>
      <c r="AI4" t="n">
        <v>1</v>
      </c>
      <c r="AJ4" t="n">
        <v>4</v>
      </c>
      <c r="AK4" t="n">
        <v>4</v>
      </c>
      <c r="AL4" t="n">
        <v>1</v>
      </c>
      <c r="AM4" t="n">
        <v>1</v>
      </c>
      <c r="AN4" t="n">
        <v>0</v>
      </c>
      <c r="AO4" t="n">
        <v>0</v>
      </c>
      <c r="AP4" t="inlineStr">
        <is>
          <t>No</t>
        </is>
      </c>
      <c r="AQ4" t="inlineStr">
        <is>
          <t>No</t>
        </is>
      </c>
      <c r="AS4">
        <f>HYPERLINK("https://creighton-primo.hosted.exlibrisgroup.com/primo-explore/search?tab=default_tab&amp;search_scope=EVERYTHING&amp;vid=01CRU&amp;lang=en_US&amp;offset=0&amp;query=any,contains,991005039749702656","Catalog Record")</f>
        <v/>
      </c>
      <c r="AT4">
        <f>HYPERLINK("http://www.worldcat.org/oclc/52738080","WorldCat Record")</f>
        <v/>
      </c>
      <c r="AU4" t="inlineStr">
        <is>
          <t>630467146:eng</t>
        </is>
      </c>
      <c r="AV4" t="inlineStr">
        <is>
          <t>52738080</t>
        </is>
      </c>
      <c r="AW4" t="inlineStr">
        <is>
          <t>991005039749702656</t>
        </is>
      </c>
      <c r="AX4" t="inlineStr">
        <is>
          <t>991005039749702656</t>
        </is>
      </c>
      <c r="AY4" t="inlineStr">
        <is>
          <t>2271336440002656</t>
        </is>
      </c>
      <c r="AZ4" t="inlineStr">
        <is>
          <t>BOOK</t>
        </is>
      </c>
      <c r="BB4" t="inlineStr">
        <is>
          <t>9780762310647</t>
        </is>
      </c>
      <c r="BC4" t="inlineStr">
        <is>
          <t>32285004678842</t>
        </is>
      </c>
      <c r="BD4" t="inlineStr">
        <is>
          <t>893889584</t>
        </is>
      </c>
    </row>
    <row r="5">
      <c r="A5" t="inlineStr">
        <is>
          <t>No</t>
        </is>
      </c>
      <c r="B5" t="inlineStr">
        <is>
          <t>HM1 .C64 2007 v. 23</t>
        </is>
      </c>
      <c r="C5" t="inlineStr">
        <is>
          <t>0                      HM 0001000C  64          2007                                        v. 23</t>
        </is>
      </c>
      <c r="D5" t="inlineStr">
        <is>
          <t>Comparative studies of social and political elites / edited by Fredrik Engelstad, Trygve Gulbrandsen.</t>
        </is>
      </c>
      <c r="E5" t="inlineStr">
        <is>
          <t>V. 23</t>
        </is>
      </c>
      <c r="F5" t="inlineStr">
        <is>
          <t>No</t>
        </is>
      </c>
      <c r="G5" t="inlineStr">
        <is>
          <t>1</t>
        </is>
      </c>
      <c r="H5" t="inlineStr">
        <is>
          <t>No</t>
        </is>
      </c>
      <c r="I5" t="inlineStr">
        <is>
          <t>No</t>
        </is>
      </c>
      <c r="J5" t="inlineStr">
        <is>
          <t>0</t>
        </is>
      </c>
      <c r="L5" t="inlineStr">
        <is>
          <t>Amsterdam ; Oxford : Elsevier JAI, 2006.</t>
        </is>
      </c>
      <c r="M5" t="inlineStr">
        <is>
          <t>2006</t>
        </is>
      </c>
      <c r="O5" t="inlineStr">
        <is>
          <t>eng</t>
        </is>
      </c>
      <c r="P5" t="inlineStr">
        <is>
          <t xml:space="preserve">ne </t>
        </is>
      </c>
      <c r="Q5" t="inlineStr">
        <is>
          <t>Comparative social research ; v. 23</t>
        </is>
      </c>
      <c r="R5" t="inlineStr">
        <is>
          <t xml:space="preserve">HM </t>
        </is>
      </c>
      <c r="S5" t="n">
        <v>1</v>
      </c>
      <c r="T5" t="n">
        <v>1</v>
      </c>
      <c r="U5" t="inlineStr">
        <is>
          <t>2007-02-13</t>
        </is>
      </c>
      <c r="V5" t="inlineStr">
        <is>
          <t>2007-02-13</t>
        </is>
      </c>
      <c r="W5" t="inlineStr">
        <is>
          <t>2007-02-13</t>
        </is>
      </c>
      <c r="X5" t="inlineStr">
        <is>
          <t>2007-02-13</t>
        </is>
      </c>
      <c r="Y5" t="n">
        <v>71</v>
      </c>
      <c r="Z5" t="n">
        <v>57</v>
      </c>
      <c r="AA5" t="n">
        <v>79</v>
      </c>
      <c r="AB5" t="n">
        <v>2</v>
      </c>
      <c r="AC5" t="n">
        <v>2</v>
      </c>
      <c r="AD5" t="n">
        <v>6</v>
      </c>
      <c r="AE5" t="n">
        <v>8</v>
      </c>
      <c r="AF5" t="n">
        <v>1</v>
      </c>
      <c r="AG5" t="n">
        <v>2</v>
      </c>
      <c r="AH5" t="n">
        <v>1</v>
      </c>
      <c r="AI5" t="n">
        <v>2</v>
      </c>
      <c r="AJ5" t="n">
        <v>4</v>
      </c>
      <c r="AK5" t="n">
        <v>5</v>
      </c>
      <c r="AL5" t="n">
        <v>1</v>
      </c>
      <c r="AM5" t="n">
        <v>1</v>
      </c>
      <c r="AN5" t="n">
        <v>0</v>
      </c>
      <c r="AO5" t="n">
        <v>0</v>
      </c>
      <c r="AP5" t="inlineStr">
        <is>
          <t>No</t>
        </is>
      </c>
      <c r="AQ5" t="inlineStr">
        <is>
          <t>No</t>
        </is>
      </c>
      <c r="AS5">
        <f>HYPERLINK("https://creighton-primo.hosted.exlibrisgroup.com/primo-explore/search?tab=default_tab&amp;search_scope=EVERYTHING&amp;vid=01CRU&amp;lang=en_US&amp;offset=0&amp;query=any,contains,991005036279702656","Catalog Record")</f>
        <v/>
      </c>
      <c r="AT5">
        <f>HYPERLINK("http://www.worldcat.org/oclc/72869012","WorldCat Record")</f>
        <v/>
      </c>
      <c r="AU5" t="inlineStr">
        <is>
          <t>866313996:eng</t>
        </is>
      </c>
      <c r="AV5" t="inlineStr">
        <is>
          <t>72869012</t>
        </is>
      </c>
      <c r="AW5" t="inlineStr">
        <is>
          <t>991005036279702656</t>
        </is>
      </c>
      <c r="AX5" t="inlineStr">
        <is>
          <t>991005036279702656</t>
        </is>
      </c>
      <c r="AY5" t="inlineStr">
        <is>
          <t>2270673090002656</t>
        </is>
      </c>
      <c r="AZ5" t="inlineStr">
        <is>
          <t>BOOK</t>
        </is>
      </c>
      <c r="BB5" t="inlineStr">
        <is>
          <t>9780762313792</t>
        </is>
      </c>
      <c r="BC5" t="inlineStr">
        <is>
          <t>32285005276364</t>
        </is>
      </c>
      <c r="BD5" t="inlineStr">
        <is>
          <t>893895774</t>
        </is>
      </c>
    </row>
    <row r="6">
      <c r="A6" t="inlineStr">
        <is>
          <t>No</t>
        </is>
      </c>
      <c r="B6" t="inlineStr">
        <is>
          <t>HM1 .R47 v. 10</t>
        </is>
      </c>
      <c r="C6" t="inlineStr">
        <is>
          <t>0                      HM 0001000R  47                                                      v. 10</t>
        </is>
      </c>
      <c r="D6" t="inlineStr">
        <is>
          <t>The environmental state under pressure / edited by Arthur P.J. Mol, Frederick H. Buttel.</t>
        </is>
      </c>
      <c r="E6" t="inlineStr">
        <is>
          <t>V. 10</t>
        </is>
      </c>
      <c r="F6" t="inlineStr">
        <is>
          <t>No</t>
        </is>
      </c>
      <c r="G6" t="inlineStr">
        <is>
          <t>1</t>
        </is>
      </c>
      <c r="H6" t="inlineStr">
        <is>
          <t>No</t>
        </is>
      </c>
      <c r="I6" t="inlineStr">
        <is>
          <t>No</t>
        </is>
      </c>
      <c r="J6" t="inlineStr">
        <is>
          <t>0</t>
        </is>
      </c>
      <c r="L6" t="inlineStr">
        <is>
          <t>Amsterdam : JAI, 2002.</t>
        </is>
      </c>
      <c r="M6" t="inlineStr">
        <is>
          <t>2002</t>
        </is>
      </c>
      <c r="O6" t="inlineStr">
        <is>
          <t>eng</t>
        </is>
      </c>
      <c r="P6" t="inlineStr">
        <is>
          <t xml:space="preserve">ne </t>
        </is>
      </c>
      <c r="Q6" t="inlineStr">
        <is>
          <t>Research in social problems and public policy ; v. 10</t>
        </is>
      </c>
      <c r="R6" t="inlineStr">
        <is>
          <t xml:space="preserve">HM </t>
        </is>
      </c>
      <c r="S6" t="n">
        <v>7</v>
      </c>
      <c r="T6" t="n">
        <v>7</v>
      </c>
      <c r="U6" t="inlineStr">
        <is>
          <t>2008-01-24</t>
        </is>
      </c>
      <c r="V6" t="inlineStr">
        <is>
          <t>2008-01-24</t>
        </is>
      </c>
      <c r="W6" t="inlineStr">
        <is>
          <t>2007-06-28</t>
        </is>
      </c>
      <c r="X6" t="inlineStr">
        <is>
          <t>2007-06-28</t>
        </is>
      </c>
      <c r="Y6" t="n">
        <v>99</v>
      </c>
      <c r="Z6" t="n">
        <v>64</v>
      </c>
      <c r="AA6" t="n">
        <v>73</v>
      </c>
      <c r="AB6" t="n">
        <v>1</v>
      </c>
      <c r="AC6" t="n">
        <v>1</v>
      </c>
      <c r="AD6" t="n">
        <v>2</v>
      </c>
      <c r="AE6" t="n">
        <v>2</v>
      </c>
      <c r="AF6" t="n">
        <v>0</v>
      </c>
      <c r="AG6" t="n">
        <v>0</v>
      </c>
      <c r="AH6" t="n">
        <v>1</v>
      </c>
      <c r="AI6" t="n">
        <v>1</v>
      </c>
      <c r="AJ6" t="n">
        <v>1</v>
      </c>
      <c r="AK6" t="n">
        <v>1</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HYPERLINK("https://creighton-primo.hosted.exlibrisgroup.com/primo-explore/search?tab=default_tab&amp;search_scope=EVERYTHING&amp;vid=01CRU&amp;lang=en_US&amp;offset=0&amp;query=any,contains,991005099179702656","Catalog Record")</f>
        <v/>
      </c>
      <c r="AT6">
        <f>HYPERLINK("http://www.worldcat.org/oclc/49775121","WorldCat Record")</f>
        <v/>
      </c>
      <c r="AU6" t="inlineStr">
        <is>
          <t>647906760:eng</t>
        </is>
      </c>
      <c r="AV6" t="inlineStr">
        <is>
          <t>49775121</t>
        </is>
      </c>
      <c r="AW6" t="inlineStr">
        <is>
          <t>991005099179702656</t>
        </is>
      </c>
      <c r="AX6" t="inlineStr">
        <is>
          <t>991005099179702656</t>
        </is>
      </c>
      <c r="AY6" t="inlineStr">
        <is>
          <t>2257962260002656</t>
        </is>
      </c>
      <c r="AZ6" t="inlineStr">
        <is>
          <t>BOOK</t>
        </is>
      </c>
      <c r="BB6" t="inlineStr">
        <is>
          <t>9780762308545</t>
        </is>
      </c>
      <c r="BC6" t="inlineStr">
        <is>
          <t>32285004670047</t>
        </is>
      </c>
      <c r="BD6" t="inlineStr">
        <is>
          <t>893430838</t>
        </is>
      </c>
    </row>
    <row r="7">
      <c r="A7" t="inlineStr">
        <is>
          <t>No</t>
        </is>
      </c>
      <c r="B7" t="inlineStr">
        <is>
          <t>HM1 .R47 v. 14</t>
        </is>
      </c>
      <c r="C7" t="inlineStr">
        <is>
          <t>0                      HM 0001000R  47                                                      v. 14</t>
        </is>
      </c>
      <c r="D7" t="inlineStr">
        <is>
          <t>Cultures of contamination : legacies of pollution in Russia and the U.S. / edited by Michael R. Edelstein, Maria Tysiachniouk,Lyudmila V. Smirnova.</t>
        </is>
      </c>
      <c r="E7" t="inlineStr">
        <is>
          <t>V. 14</t>
        </is>
      </c>
      <c r="F7" t="inlineStr">
        <is>
          <t>No</t>
        </is>
      </c>
      <c r="G7" t="inlineStr">
        <is>
          <t>1</t>
        </is>
      </c>
      <c r="H7" t="inlineStr">
        <is>
          <t>No</t>
        </is>
      </c>
      <c r="I7" t="inlineStr">
        <is>
          <t>No</t>
        </is>
      </c>
      <c r="J7" t="inlineStr">
        <is>
          <t>0</t>
        </is>
      </c>
      <c r="L7" t="inlineStr">
        <is>
          <t>Amsterdam ; Oxford : Elsevier JAI, 2007.</t>
        </is>
      </c>
      <c r="M7" t="inlineStr">
        <is>
          <t>2007</t>
        </is>
      </c>
      <c r="N7" t="inlineStr">
        <is>
          <t>1st ed.</t>
        </is>
      </c>
      <c r="O7" t="inlineStr">
        <is>
          <t>eng</t>
        </is>
      </c>
      <c r="P7" t="inlineStr">
        <is>
          <t xml:space="preserve">ne </t>
        </is>
      </c>
      <c r="Q7" t="inlineStr">
        <is>
          <t>Research in social problems and public policy ; v. 14</t>
        </is>
      </c>
      <c r="R7" t="inlineStr">
        <is>
          <t xml:space="preserve">HM </t>
        </is>
      </c>
      <c r="S7" t="n">
        <v>1</v>
      </c>
      <c r="T7" t="n">
        <v>1</v>
      </c>
      <c r="U7" t="inlineStr">
        <is>
          <t>2007-06-28</t>
        </is>
      </c>
      <c r="V7" t="inlineStr">
        <is>
          <t>2007-06-28</t>
        </is>
      </c>
      <c r="W7" t="inlineStr">
        <is>
          <t>2007-06-28</t>
        </is>
      </c>
      <c r="X7" t="inlineStr">
        <is>
          <t>2007-06-28</t>
        </is>
      </c>
      <c r="Y7" t="n">
        <v>100</v>
      </c>
      <c r="Z7" t="n">
        <v>74</v>
      </c>
      <c r="AA7" t="n">
        <v>820</v>
      </c>
      <c r="AB7" t="n">
        <v>1</v>
      </c>
      <c r="AC7" t="n">
        <v>14</v>
      </c>
      <c r="AD7" t="n">
        <v>2</v>
      </c>
      <c r="AE7" t="n">
        <v>30</v>
      </c>
      <c r="AF7" t="n">
        <v>0</v>
      </c>
      <c r="AG7" t="n">
        <v>7</v>
      </c>
      <c r="AH7" t="n">
        <v>1</v>
      </c>
      <c r="AI7" t="n">
        <v>6</v>
      </c>
      <c r="AJ7" t="n">
        <v>1</v>
      </c>
      <c r="AK7" t="n">
        <v>8</v>
      </c>
      <c r="AL7" t="n">
        <v>0</v>
      </c>
      <c r="AM7" t="n">
        <v>12</v>
      </c>
      <c r="AN7" t="n">
        <v>0</v>
      </c>
      <c r="AO7" t="n">
        <v>1</v>
      </c>
      <c r="AP7" t="inlineStr">
        <is>
          <t>No</t>
        </is>
      </c>
      <c r="AQ7" t="inlineStr">
        <is>
          <t>No</t>
        </is>
      </c>
      <c r="AS7">
        <f>HYPERLINK("https://creighton-primo.hosted.exlibrisgroup.com/primo-explore/search?tab=default_tab&amp;search_scope=EVERYTHING&amp;vid=01CRU&amp;lang=en_US&amp;offset=0&amp;query=any,contains,991005095319702656","Catalog Record")</f>
        <v/>
      </c>
      <c r="AT7">
        <f>HYPERLINK("http://www.worldcat.org/oclc/77257203","WorldCat Record")</f>
        <v/>
      </c>
      <c r="AU7" t="inlineStr">
        <is>
          <t>350231381:eng</t>
        </is>
      </c>
      <c r="AV7" t="inlineStr">
        <is>
          <t>77257203</t>
        </is>
      </c>
      <c r="AW7" t="inlineStr">
        <is>
          <t>991005095319702656</t>
        </is>
      </c>
      <c r="AX7" t="inlineStr">
        <is>
          <t>991005095319702656</t>
        </is>
      </c>
      <c r="AY7" t="inlineStr">
        <is>
          <t>2257259940002656</t>
        </is>
      </c>
      <c r="AZ7" t="inlineStr">
        <is>
          <t>BOOK</t>
        </is>
      </c>
      <c r="BB7" t="inlineStr">
        <is>
          <t>9780762313716</t>
        </is>
      </c>
      <c r="BC7" t="inlineStr">
        <is>
          <t>32285005318679</t>
        </is>
      </c>
      <c r="BD7" t="inlineStr">
        <is>
          <t>893520410</t>
        </is>
      </c>
    </row>
    <row r="8">
      <c r="A8" t="inlineStr">
        <is>
          <t>No</t>
        </is>
      </c>
      <c r="B8" t="inlineStr">
        <is>
          <t>HM1 .R47 v. 8</t>
        </is>
      </c>
      <c r="C8" t="inlineStr">
        <is>
          <t>0                      HM 0001000R  47                                                      v. 8</t>
        </is>
      </c>
      <c r="D8" t="inlineStr">
        <is>
          <t>The organizational response to social problems / edited by Russell K. Schutt, Stephanie W. Hartwell.</t>
        </is>
      </c>
      <c r="E8" t="inlineStr">
        <is>
          <t>V. 8</t>
        </is>
      </c>
      <c r="F8" t="inlineStr">
        <is>
          <t>No</t>
        </is>
      </c>
      <c r="G8" t="inlineStr">
        <is>
          <t>1</t>
        </is>
      </c>
      <c r="H8" t="inlineStr">
        <is>
          <t>No</t>
        </is>
      </c>
      <c r="I8" t="inlineStr">
        <is>
          <t>No</t>
        </is>
      </c>
      <c r="J8" t="inlineStr">
        <is>
          <t>0</t>
        </is>
      </c>
      <c r="L8" t="inlineStr">
        <is>
          <t>Amsterdam ; New York : JAI Press, 2001.</t>
        </is>
      </c>
      <c r="M8" t="inlineStr">
        <is>
          <t>2001</t>
        </is>
      </c>
      <c r="O8" t="inlineStr">
        <is>
          <t>eng</t>
        </is>
      </c>
      <c r="P8" t="inlineStr">
        <is>
          <t xml:space="preserve">ne </t>
        </is>
      </c>
      <c r="Q8" t="inlineStr">
        <is>
          <t>Research in social problems and public policy ; v. 8</t>
        </is>
      </c>
      <c r="R8" t="inlineStr">
        <is>
          <t xml:space="preserve">HM </t>
        </is>
      </c>
      <c r="S8" t="n">
        <v>1</v>
      </c>
      <c r="T8" t="n">
        <v>1</v>
      </c>
      <c r="U8" t="inlineStr">
        <is>
          <t>2010-05-27</t>
        </is>
      </c>
      <c r="V8" t="inlineStr">
        <is>
          <t>2010-05-27</t>
        </is>
      </c>
      <c r="W8" t="inlineStr">
        <is>
          <t>2007-06-28</t>
        </is>
      </c>
      <c r="X8" t="inlineStr">
        <is>
          <t>2007-06-28</t>
        </is>
      </c>
      <c r="Y8" t="n">
        <v>107</v>
      </c>
      <c r="Z8" t="n">
        <v>77</v>
      </c>
      <c r="AA8" t="n">
        <v>85</v>
      </c>
      <c r="AB8" t="n">
        <v>1</v>
      </c>
      <c r="AC8" t="n">
        <v>1</v>
      </c>
      <c r="AD8" t="n">
        <v>3</v>
      </c>
      <c r="AE8" t="n">
        <v>3</v>
      </c>
      <c r="AF8" t="n">
        <v>0</v>
      </c>
      <c r="AG8" t="n">
        <v>0</v>
      </c>
      <c r="AH8" t="n">
        <v>1</v>
      </c>
      <c r="AI8" t="n">
        <v>1</v>
      </c>
      <c r="AJ8" t="n">
        <v>2</v>
      </c>
      <c r="AK8" t="n">
        <v>2</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HYPERLINK("https://creighton-primo.hosted.exlibrisgroup.com/primo-explore/search?tab=default_tab&amp;search_scope=EVERYTHING&amp;vid=01CRU&amp;lang=en_US&amp;offset=0&amp;query=any,contains,991005099129702656","Catalog Record")</f>
        <v/>
      </c>
      <c r="AT8">
        <f>HYPERLINK("http://www.worldcat.org/oclc/45890462","WorldCat Record")</f>
        <v/>
      </c>
      <c r="AU8" t="inlineStr">
        <is>
          <t>648038146:eng</t>
        </is>
      </c>
      <c r="AV8" t="inlineStr">
        <is>
          <t>45890462</t>
        </is>
      </c>
      <c r="AW8" t="inlineStr">
        <is>
          <t>991005099129702656</t>
        </is>
      </c>
      <c r="AX8" t="inlineStr">
        <is>
          <t>991005099129702656</t>
        </is>
      </c>
      <c r="AY8" t="inlineStr">
        <is>
          <t>2265148720002656</t>
        </is>
      </c>
      <c r="AZ8" t="inlineStr">
        <is>
          <t>BOOK</t>
        </is>
      </c>
      <c r="BB8" t="inlineStr">
        <is>
          <t>9780762307166</t>
        </is>
      </c>
      <c r="BC8" t="inlineStr">
        <is>
          <t>32285004385562</t>
        </is>
      </c>
      <c r="BD8" t="inlineStr">
        <is>
          <t>893789431</t>
        </is>
      </c>
    </row>
    <row r="9">
      <c r="A9" t="inlineStr">
        <is>
          <t>No</t>
        </is>
      </c>
      <c r="B9" t="inlineStr">
        <is>
          <t>HM101 .B45 1969</t>
        </is>
      </c>
      <c r="C9" t="inlineStr">
        <is>
          <t>0                      HM 0101000B  45          1969</t>
        </is>
      </c>
      <c r="D9" t="inlineStr">
        <is>
          <t>The planning of change. Edited by Warren G. Bennis, Kenneth D. Benne [and] Robert Chin.</t>
        </is>
      </c>
      <c r="F9" t="inlineStr">
        <is>
          <t>No</t>
        </is>
      </c>
      <c r="G9" t="inlineStr">
        <is>
          <t>1</t>
        </is>
      </c>
      <c r="H9" t="inlineStr">
        <is>
          <t>No</t>
        </is>
      </c>
      <c r="I9" t="inlineStr">
        <is>
          <t>No</t>
        </is>
      </c>
      <c r="J9" t="inlineStr">
        <is>
          <t>0</t>
        </is>
      </c>
      <c r="K9" t="inlineStr">
        <is>
          <t>Bennis, Warren G. editor.</t>
        </is>
      </c>
      <c r="L9" t="inlineStr">
        <is>
          <t>New York, Holt, Rinehart and Winston [1969]</t>
        </is>
      </c>
      <c r="M9" t="inlineStr">
        <is>
          <t>1969</t>
        </is>
      </c>
      <c r="N9" t="inlineStr">
        <is>
          <t>2d ed.</t>
        </is>
      </c>
      <c r="O9" t="inlineStr">
        <is>
          <t>eng</t>
        </is>
      </c>
      <c r="P9" t="inlineStr">
        <is>
          <t>nyu</t>
        </is>
      </c>
      <c r="R9" t="inlineStr">
        <is>
          <t xml:space="preserve">HM </t>
        </is>
      </c>
      <c r="S9" t="n">
        <v>4</v>
      </c>
      <c r="T9" t="n">
        <v>4</v>
      </c>
      <c r="U9" t="inlineStr">
        <is>
          <t>2006-10-05</t>
        </is>
      </c>
      <c r="V9" t="inlineStr">
        <is>
          <t>2006-10-05</t>
        </is>
      </c>
      <c r="W9" t="inlineStr">
        <is>
          <t>1997-07-28</t>
        </is>
      </c>
      <c r="X9" t="inlineStr">
        <is>
          <t>1997-07-28</t>
        </is>
      </c>
      <c r="Y9" t="n">
        <v>734</v>
      </c>
      <c r="Z9" t="n">
        <v>601</v>
      </c>
      <c r="AA9" t="n">
        <v>1048</v>
      </c>
      <c r="AB9" t="n">
        <v>6</v>
      </c>
      <c r="AC9" t="n">
        <v>7</v>
      </c>
      <c r="AD9" t="n">
        <v>19</v>
      </c>
      <c r="AE9" t="n">
        <v>42</v>
      </c>
      <c r="AF9" t="n">
        <v>6</v>
      </c>
      <c r="AG9" t="n">
        <v>20</v>
      </c>
      <c r="AH9" t="n">
        <v>4</v>
      </c>
      <c r="AI9" t="n">
        <v>7</v>
      </c>
      <c r="AJ9" t="n">
        <v>12</v>
      </c>
      <c r="AK9" t="n">
        <v>24</v>
      </c>
      <c r="AL9" t="n">
        <v>4</v>
      </c>
      <c r="AM9" t="n">
        <v>4</v>
      </c>
      <c r="AN9" t="n">
        <v>0</v>
      </c>
      <c r="AO9" t="n">
        <v>0</v>
      </c>
      <c r="AP9" t="inlineStr">
        <is>
          <t>No</t>
        </is>
      </c>
      <c r="AQ9" t="inlineStr">
        <is>
          <t>Yes</t>
        </is>
      </c>
      <c r="AR9">
        <f>HYPERLINK("http://catalog.hathitrust.org/Record/001347980","HathiTrust Record")</f>
        <v/>
      </c>
      <c r="AS9">
        <f>HYPERLINK("https://creighton-primo.hosted.exlibrisgroup.com/primo-explore/search?tab=default_tab&amp;search_scope=EVERYTHING&amp;vid=01CRU&amp;lang=en_US&amp;offset=0&amp;query=any,contains,991005436109702656","Catalog Record")</f>
        <v/>
      </c>
      <c r="AT9">
        <f>HYPERLINK("http://www.worldcat.org/oclc/4144","WorldCat Record")</f>
        <v/>
      </c>
      <c r="AU9" t="inlineStr">
        <is>
          <t>363927268:eng</t>
        </is>
      </c>
      <c r="AV9" t="inlineStr">
        <is>
          <t>4144</t>
        </is>
      </c>
      <c r="AW9" t="inlineStr">
        <is>
          <t>991005436109702656</t>
        </is>
      </c>
      <c r="AX9" t="inlineStr">
        <is>
          <t>991005436109702656</t>
        </is>
      </c>
      <c r="AY9" t="inlineStr">
        <is>
          <t>2266163900002656</t>
        </is>
      </c>
      <c r="AZ9" t="inlineStr">
        <is>
          <t>BOOK</t>
        </is>
      </c>
      <c r="BC9" t="inlineStr">
        <is>
          <t>32285003009650</t>
        </is>
      </c>
      <c r="BD9" t="inlineStr">
        <is>
          <t>893527622</t>
        </is>
      </c>
    </row>
    <row r="10">
      <c r="A10" t="inlineStr">
        <is>
          <t>No</t>
        </is>
      </c>
      <c r="B10" t="inlineStr">
        <is>
          <t>HM101 .B6319 1995</t>
        </is>
      </c>
      <c r="C10" t="inlineStr">
        <is>
          <t>0                      HM 0101000B  6319        1995</t>
        </is>
      </c>
      <c r="D10" t="inlineStr">
        <is>
          <t>How culture works / Paul Bohannan.</t>
        </is>
      </c>
      <c r="F10" t="inlineStr">
        <is>
          <t>No</t>
        </is>
      </c>
      <c r="G10" t="inlineStr">
        <is>
          <t>1</t>
        </is>
      </c>
      <c r="H10" t="inlineStr">
        <is>
          <t>No</t>
        </is>
      </c>
      <c r="I10" t="inlineStr">
        <is>
          <t>No</t>
        </is>
      </c>
      <c r="J10" t="inlineStr">
        <is>
          <t>0</t>
        </is>
      </c>
      <c r="K10" t="inlineStr">
        <is>
          <t>Bohannan, Paul.</t>
        </is>
      </c>
      <c r="L10" t="inlineStr">
        <is>
          <t>New York : Free Press, c1995.</t>
        </is>
      </c>
      <c r="M10" t="inlineStr">
        <is>
          <t>1995</t>
        </is>
      </c>
      <c r="O10" t="inlineStr">
        <is>
          <t>eng</t>
        </is>
      </c>
      <c r="P10" t="inlineStr">
        <is>
          <t>nyu</t>
        </is>
      </c>
      <c r="R10" t="inlineStr">
        <is>
          <t xml:space="preserve">HM </t>
        </is>
      </c>
      <c r="S10" t="n">
        <v>4</v>
      </c>
      <c r="T10" t="n">
        <v>4</v>
      </c>
      <c r="U10" t="inlineStr">
        <is>
          <t>2006-10-05</t>
        </is>
      </c>
      <c r="V10" t="inlineStr">
        <is>
          <t>2006-10-05</t>
        </is>
      </c>
      <c r="W10" t="inlineStr">
        <is>
          <t>1996-01-17</t>
        </is>
      </c>
      <c r="X10" t="inlineStr">
        <is>
          <t>1996-01-17</t>
        </is>
      </c>
      <c r="Y10" t="n">
        <v>460</v>
      </c>
      <c r="Z10" t="n">
        <v>366</v>
      </c>
      <c r="AA10" t="n">
        <v>383</v>
      </c>
      <c r="AB10" t="n">
        <v>3</v>
      </c>
      <c r="AC10" t="n">
        <v>3</v>
      </c>
      <c r="AD10" t="n">
        <v>17</v>
      </c>
      <c r="AE10" t="n">
        <v>17</v>
      </c>
      <c r="AF10" t="n">
        <v>7</v>
      </c>
      <c r="AG10" t="n">
        <v>7</v>
      </c>
      <c r="AH10" t="n">
        <v>5</v>
      </c>
      <c r="AI10" t="n">
        <v>5</v>
      </c>
      <c r="AJ10" t="n">
        <v>8</v>
      </c>
      <c r="AK10" t="n">
        <v>8</v>
      </c>
      <c r="AL10" t="n">
        <v>2</v>
      </c>
      <c r="AM10" t="n">
        <v>2</v>
      </c>
      <c r="AN10" t="n">
        <v>0</v>
      </c>
      <c r="AO10" t="n">
        <v>0</v>
      </c>
      <c r="AP10" t="inlineStr">
        <is>
          <t>No</t>
        </is>
      </c>
      <c r="AQ10" t="inlineStr">
        <is>
          <t>No</t>
        </is>
      </c>
      <c r="AS10">
        <f>HYPERLINK("https://creighton-primo.hosted.exlibrisgroup.com/primo-explore/search?tab=default_tab&amp;search_scope=EVERYTHING&amp;vid=01CRU&amp;lang=en_US&amp;offset=0&amp;query=any,contains,991002379319702656","Catalog Record")</f>
        <v/>
      </c>
      <c r="AT10">
        <f>HYPERLINK("http://www.worldcat.org/oclc/30914882","WorldCat Record")</f>
        <v/>
      </c>
      <c r="AU10" t="inlineStr">
        <is>
          <t>32803022:eng</t>
        </is>
      </c>
      <c r="AV10" t="inlineStr">
        <is>
          <t>30914882</t>
        </is>
      </c>
      <c r="AW10" t="inlineStr">
        <is>
          <t>991002379319702656</t>
        </is>
      </c>
      <c r="AX10" t="inlineStr">
        <is>
          <t>991002379319702656</t>
        </is>
      </c>
      <c r="AY10" t="inlineStr">
        <is>
          <t>2272525690002656</t>
        </is>
      </c>
      <c r="AZ10" t="inlineStr">
        <is>
          <t>BOOK</t>
        </is>
      </c>
      <c r="BB10" t="inlineStr">
        <is>
          <t>9780029045053</t>
        </is>
      </c>
      <c r="BC10" t="inlineStr">
        <is>
          <t>32285002119153</t>
        </is>
      </c>
      <c r="BD10" t="inlineStr">
        <is>
          <t>893779744</t>
        </is>
      </c>
    </row>
    <row r="11">
      <c r="A11" t="inlineStr">
        <is>
          <t>No</t>
        </is>
      </c>
      <c r="B11" t="inlineStr">
        <is>
          <t>HM101 .B72 1990</t>
        </is>
      </c>
      <c r="C11" t="inlineStr">
        <is>
          <t>0                      HM 0101000B  72          1990</t>
        </is>
      </c>
      <c r="D11" t="inlineStr">
        <is>
          <t>Crusoe's footprints : cultural studies in Britain and America / Patrick Brantlinger.</t>
        </is>
      </c>
      <c r="F11" t="inlineStr">
        <is>
          <t>No</t>
        </is>
      </c>
      <c r="G11" t="inlineStr">
        <is>
          <t>1</t>
        </is>
      </c>
      <c r="H11" t="inlineStr">
        <is>
          <t>No</t>
        </is>
      </c>
      <c r="I11" t="inlineStr">
        <is>
          <t>No</t>
        </is>
      </c>
      <c r="J11" t="inlineStr">
        <is>
          <t>0</t>
        </is>
      </c>
      <c r="K11" t="inlineStr">
        <is>
          <t>Brantlinger, Patrick, 1941-</t>
        </is>
      </c>
      <c r="L11" t="inlineStr">
        <is>
          <t>New York : Routledge, 1990.</t>
        </is>
      </c>
      <c r="M11" t="inlineStr">
        <is>
          <t>1990</t>
        </is>
      </c>
      <c r="O11" t="inlineStr">
        <is>
          <t>eng</t>
        </is>
      </c>
      <c r="P11" t="inlineStr">
        <is>
          <t>nyu</t>
        </is>
      </c>
      <c r="R11" t="inlineStr">
        <is>
          <t xml:space="preserve">HM </t>
        </is>
      </c>
      <c r="S11" t="n">
        <v>1</v>
      </c>
      <c r="T11" t="n">
        <v>1</v>
      </c>
      <c r="U11" t="inlineStr">
        <is>
          <t>1999-03-25</t>
        </is>
      </c>
      <c r="V11" t="inlineStr">
        <is>
          <t>1999-03-25</t>
        </is>
      </c>
      <c r="W11" t="inlineStr">
        <is>
          <t>1990-12-04</t>
        </is>
      </c>
      <c r="X11" t="inlineStr">
        <is>
          <t>1990-12-04</t>
        </is>
      </c>
      <c r="Y11" t="n">
        <v>556</v>
      </c>
      <c r="Z11" t="n">
        <v>401</v>
      </c>
      <c r="AA11" t="n">
        <v>430</v>
      </c>
      <c r="AB11" t="n">
        <v>2</v>
      </c>
      <c r="AC11" t="n">
        <v>2</v>
      </c>
      <c r="AD11" t="n">
        <v>18</v>
      </c>
      <c r="AE11" t="n">
        <v>18</v>
      </c>
      <c r="AF11" t="n">
        <v>5</v>
      </c>
      <c r="AG11" t="n">
        <v>5</v>
      </c>
      <c r="AH11" t="n">
        <v>7</v>
      </c>
      <c r="AI11" t="n">
        <v>7</v>
      </c>
      <c r="AJ11" t="n">
        <v>9</v>
      </c>
      <c r="AK11" t="n">
        <v>9</v>
      </c>
      <c r="AL11" t="n">
        <v>1</v>
      </c>
      <c r="AM11" t="n">
        <v>1</v>
      </c>
      <c r="AN11" t="n">
        <v>0</v>
      </c>
      <c r="AO11" t="n">
        <v>0</v>
      </c>
      <c r="AP11" t="inlineStr">
        <is>
          <t>No</t>
        </is>
      </c>
      <c r="AQ11" t="inlineStr">
        <is>
          <t>Yes</t>
        </is>
      </c>
      <c r="AR11">
        <f>HYPERLINK("http://catalog.hathitrust.org/Record/002180772","HathiTrust Record")</f>
        <v/>
      </c>
      <c r="AS11">
        <f>HYPERLINK("https://creighton-primo.hosted.exlibrisgroup.com/primo-explore/search?tab=default_tab&amp;search_scope=EVERYTHING&amp;vid=01CRU&amp;lang=en_US&amp;offset=0&amp;query=any,contains,991001587519702656","Catalog Record")</f>
        <v/>
      </c>
      <c r="AT11">
        <f>HYPERLINK("http://www.worldcat.org/oclc/20560403","WorldCat Record")</f>
        <v/>
      </c>
      <c r="AU11" t="inlineStr">
        <is>
          <t>808167621:eng</t>
        </is>
      </c>
      <c r="AV11" t="inlineStr">
        <is>
          <t>20560403</t>
        </is>
      </c>
      <c r="AW11" t="inlineStr">
        <is>
          <t>991001587519702656</t>
        </is>
      </c>
      <c r="AX11" t="inlineStr">
        <is>
          <t>991001587519702656</t>
        </is>
      </c>
      <c r="AY11" t="inlineStr">
        <is>
          <t>2259260090002656</t>
        </is>
      </c>
      <c r="AZ11" t="inlineStr">
        <is>
          <t>BOOK</t>
        </is>
      </c>
      <c r="BB11" t="inlineStr">
        <is>
          <t>9780415902847</t>
        </is>
      </c>
      <c r="BC11" t="inlineStr">
        <is>
          <t>32285000358050</t>
        </is>
      </c>
      <c r="BD11" t="inlineStr">
        <is>
          <t>893615220</t>
        </is>
      </c>
    </row>
    <row r="12">
      <c r="A12" t="inlineStr">
        <is>
          <t>No</t>
        </is>
      </c>
      <c r="B12" t="inlineStr">
        <is>
          <t>HM101 .B74 1987</t>
        </is>
      </c>
      <c r="C12" t="inlineStr">
        <is>
          <t>0                      HM 0101000B  74          1987</t>
        </is>
      </c>
      <c r="D12" t="inlineStr">
        <is>
          <t>Culture and domination / John Brenkman.</t>
        </is>
      </c>
      <c r="F12" t="inlineStr">
        <is>
          <t>No</t>
        </is>
      </c>
      <c r="G12" t="inlineStr">
        <is>
          <t>1</t>
        </is>
      </c>
      <c r="H12" t="inlineStr">
        <is>
          <t>No</t>
        </is>
      </c>
      <c r="I12" t="inlineStr">
        <is>
          <t>No</t>
        </is>
      </c>
      <c r="J12" t="inlineStr">
        <is>
          <t>0</t>
        </is>
      </c>
      <c r="K12" t="inlineStr">
        <is>
          <t>Brenkman, John.</t>
        </is>
      </c>
      <c r="L12" t="inlineStr">
        <is>
          <t>Ithaca : Cornell University Press, 1987.</t>
        </is>
      </c>
      <c r="M12" t="inlineStr">
        <is>
          <t>1987</t>
        </is>
      </c>
      <c r="O12" t="inlineStr">
        <is>
          <t>eng</t>
        </is>
      </c>
      <c r="P12" t="inlineStr">
        <is>
          <t>nyu</t>
        </is>
      </c>
      <c r="R12" t="inlineStr">
        <is>
          <t xml:space="preserve">HM </t>
        </is>
      </c>
      <c r="S12" t="n">
        <v>1</v>
      </c>
      <c r="T12" t="n">
        <v>1</v>
      </c>
      <c r="U12" t="inlineStr">
        <is>
          <t>2003-09-03</t>
        </is>
      </c>
      <c r="V12" t="inlineStr">
        <is>
          <t>2003-09-03</t>
        </is>
      </c>
      <c r="W12" t="inlineStr">
        <is>
          <t>2003-09-03</t>
        </is>
      </c>
      <c r="X12" t="inlineStr">
        <is>
          <t>2003-09-03</t>
        </is>
      </c>
      <c r="Y12" t="n">
        <v>504</v>
      </c>
      <c r="Z12" t="n">
        <v>387</v>
      </c>
      <c r="AA12" t="n">
        <v>558</v>
      </c>
      <c r="AB12" t="n">
        <v>2</v>
      </c>
      <c r="AC12" t="n">
        <v>2</v>
      </c>
      <c r="AD12" t="n">
        <v>21</v>
      </c>
      <c r="AE12" t="n">
        <v>29</v>
      </c>
      <c r="AF12" t="n">
        <v>7</v>
      </c>
      <c r="AG12" t="n">
        <v>13</v>
      </c>
      <c r="AH12" t="n">
        <v>7</v>
      </c>
      <c r="AI12" t="n">
        <v>9</v>
      </c>
      <c r="AJ12" t="n">
        <v>13</v>
      </c>
      <c r="AK12" t="n">
        <v>15</v>
      </c>
      <c r="AL12" t="n">
        <v>1</v>
      </c>
      <c r="AM12" t="n">
        <v>1</v>
      </c>
      <c r="AN12" t="n">
        <v>0</v>
      </c>
      <c r="AO12" t="n">
        <v>0</v>
      </c>
      <c r="AP12" t="inlineStr">
        <is>
          <t>No</t>
        </is>
      </c>
      <c r="AQ12" t="inlineStr">
        <is>
          <t>No</t>
        </is>
      </c>
      <c r="AS12">
        <f>HYPERLINK("https://creighton-primo.hosted.exlibrisgroup.com/primo-explore/search?tab=default_tab&amp;search_scope=EVERYTHING&amp;vid=01CRU&amp;lang=en_US&amp;offset=0&amp;query=any,contains,991004112519702656","Catalog Record")</f>
        <v/>
      </c>
      <c r="AT12">
        <f>HYPERLINK("http://www.worldcat.org/oclc/16528115","WorldCat Record")</f>
        <v/>
      </c>
      <c r="AU12" t="inlineStr">
        <is>
          <t>12540612:eng</t>
        </is>
      </c>
      <c r="AV12" t="inlineStr">
        <is>
          <t>16528115</t>
        </is>
      </c>
      <c r="AW12" t="inlineStr">
        <is>
          <t>991004112519702656</t>
        </is>
      </c>
      <c r="AX12" t="inlineStr">
        <is>
          <t>991004112519702656</t>
        </is>
      </c>
      <c r="AY12" t="inlineStr">
        <is>
          <t>2259682370002656</t>
        </is>
      </c>
      <c r="AZ12" t="inlineStr">
        <is>
          <t>BOOK</t>
        </is>
      </c>
      <c r="BB12" t="inlineStr">
        <is>
          <t>9780801414572</t>
        </is>
      </c>
      <c r="BC12" t="inlineStr">
        <is>
          <t>32285004781059</t>
        </is>
      </c>
      <c r="BD12" t="inlineStr">
        <is>
          <t>893324930</t>
        </is>
      </c>
    </row>
    <row r="13">
      <c r="A13" t="inlineStr">
        <is>
          <t>No</t>
        </is>
      </c>
      <c r="B13" t="inlineStr">
        <is>
          <t>HM101 .C937 1994</t>
        </is>
      </c>
      <c r="C13" t="inlineStr">
        <is>
          <t>0                      HM 0101000C  937         1994</t>
        </is>
      </c>
      <c r="D13" t="inlineStr">
        <is>
          <t>Culture/power/history : a reader in contemporary social theory / Nicholas B. Dirks, Geoff Eley, and Sherry B. Ortner, editors.</t>
        </is>
      </c>
      <c r="F13" t="inlineStr">
        <is>
          <t>No</t>
        </is>
      </c>
      <c r="G13" t="inlineStr">
        <is>
          <t>1</t>
        </is>
      </c>
      <c r="H13" t="inlineStr">
        <is>
          <t>No</t>
        </is>
      </c>
      <c r="I13" t="inlineStr">
        <is>
          <t>No</t>
        </is>
      </c>
      <c r="J13" t="inlineStr">
        <is>
          <t>0</t>
        </is>
      </c>
      <c r="L13" t="inlineStr">
        <is>
          <t>Princeton, N.J. : Princeton University Press, c1994.</t>
        </is>
      </c>
      <c r="M13" t="inlineStr">
        <is>
          <t>1994</t>
        </is>
      </c>
      <c r="O13" t="inlineStr">
        <is>
          <t>eng</t>
        </is>
      </c>
      <c r="P13" t="inlineStr">
        <is>
          <t>nju</t>
        </is>
      </c>
      <c r="Q13" t="inlineStr">
        <is>
          <t>Princeton studies in culture/power/history</t>
        </is>
      </c>
      <c r="R13" t="inlineStr">
        <is>
          <t xml:space="preserve">HM </t>
        </is>
      </c>
      <c r="S13" t="n">
        <v>3</v>
      </c>
      <c r="T13" t="n">
        <v>3</v>
      </c>
      <c r="U13" t="inlineStr">
        <is>
          <t>2004-10-06</t>
        </is>
      </c>
      <c r="V13" t="inlineStr">
        <is>
          <t>2004-10-06</t>
        </is>
      </c>
      <c r="W13" t="inlineStr">
        <is>
          <t>1994-08-22</t>
        </is>
      </c>
      <c r="X13" t="inlineStr">
        <is>
          <t>1994-08-22</t>
        </is>
      </c>
      <c r="Y13" t="n">
        <v>619</v>
      </c>
      <c r="Z13" t="n">
        <v>417</v>
      </c>
      <c r="AA13" t="n">
        <v>418</v>
      </c>
      <c r="AB13" t="n">
        <v>2</v>
      </c>
      <c r="AC13" t="n">
        <v>2</v>
      </c>
      <c r="AD13" t="n">
        <v>23</v>
      </c>
      <c r="AE13" t="n">
        <v>23</v>
      </c>
      <c r="AF13" t="n">
        <v>10</v>
      </c>
      <c r="AG13" t="n">
        <v>10</v>
      </c>
      <c r="AH13" t="n">
        <v>7</v>
      </c>
      <c r="AI13" t="n">
        <v>7</v>
      </c>
      <c r="AJ13" t="n">
        <v>11</v>
      </c>
      <c r="AK13" t="n">
        <v>11</v>
      </c>
      <c r="AL13" t="n">
        <v>1</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HYPERLINK("https://creighton-primo.hosted.exlibrisgroup.com/primo-explore/search?tab=default_tab&amp;search_scope=EVERYTHING&amp;vid=01CRU&amp;lang=en_US&amp;offset=0&amp;query=any,contains,991002179319702656","Catalog Record")</f>
        <v/>
      </c>
      <c r="AT13">
        <f>HYPERLINK("http://www.worldcat.org/oclc/28062951","WorldCat Record")</f>
        <v/>
      </c>
      <c r="AU13" t="inlineStr">
        <is>
          <t>836744769:eng</t>
        </is>
      </c>
      <c r="AV13" t="inlineStr">
        <is>
          <t>28062951</t>
        </is>
      </c>
      <c r="AW13" t="inlineStr">
        <is>
          <t>991002179319702656</t>
        </is>
      </c>
      <c r="AX13" t="inlineStr">
        <is>
          <t>991002179319702656</t>
        </is>
      </c>
      <c r="AY13" t="inlineStr">
        <is>
          <t>2256683600002656</t>
        </is>
      </c>
      <c r="AZ13" t="inlineStr">
        <is>
          <t>BOOK</t>
        </is>
      </c>
      <c r="BB13" t="inlineStr">
        <is>
          <t>9780691021027</t>
        </is>
      </c>
      <c r="BC13" t="inlineStr">
        <is>
          <t>32285001943298</t>
        </is>
      </c>
      <c r="BD13" t="inlineStr">
        <is>
          <t>893691296</t>
        </is>
      </c>
    </row>
    <row r="14">
      <c r="A14" t="inlineStr">
        <is>
          <t>No</t>
        </is>
      </c>
      <c r="B14" t="inlineStr">
        <is>
          <t>HM101 .E77</t>
        </is>
      </c>
      <c r="C14" t="inlineStr">
        <is>
          <t>0                      HM 0101000E  77</t>
        </is>
      </c>
      <c r="D14" t="inlineStr">
        <is>
          <t>The active society.</t>
        </is>
      </c>
      <c r="F14" t="inlineStr">
        <is>
          <t>No</t>
        </is>
      </c>
      <c r="G14" t="inlineStr">
        <is>
          <t>1</t>
        </is>
      </c>
      <c r="H14" t="inlineStr">
        <is>
          <t>No</t>
        </is>
      </c>
      <c r="I14" t="inlineStr">
        <is>
          <t>No</t>
        </is>
      </c>
      <c r="J14" t="inlineStr">
        <is>
          <t>0</t>
        </is>
      </c>
      <c r="K14" t="inlineStr">
        <is>
          <t>Etzioni, Amitai.</t>
        </is>
      </c>
      <c r="L14" t="inlineStr">
        <is>
          <t>Collier-Macmillan [c1968]</t>
        </is>
      </c>
      <c r="M14" t="inlineStr">
        <is>
          <t>1968</t>
        </is>
      </c>
      <c r="O14" t="inlineStr">
        <is>
          <t>eng</t>
        </is>
      </c>
      <c r="P14" t="inlineStr">
        <is>
          <t xml:space="preserve">xx </t>
        </is>
      </c>
      <c r="R14" t="inlineStr">
        <is>
          <t xml:space="preserve">HM </t>
        </is>
      </c>
      <c r="S14" t="n">
        <v>1</v>
      </c>
      <c r="T14" t="n">
        <v>1</v>
      </c>
      <c r="U14" t="inlineStr">
        <is>
          <t>2003-11-18</t>
        </is>
      </c>
      <c r="V14" t="inlineStr">
        <is>
          <t>2003-11-18</t>
        </is>
      </c>
      <c r="W14" t="inlineStr">
        <is>
          <t>1997-07-28</t>
        </is>
      </c>
      <c r="X14" t="inlineStr">
        <is>
          <t>1997-07-28</t>
        </is>
      </c>
      <c r="Y14" t="n">
        <v>51</v>
      </c>
      <c r="Z14" t="n">
        <v>26</v>
      </c>
      <c r="AA14" t="n">
        <v>26</v>
      </c>
      <c r="AB14" t="n">
        <v>1</v>
      </c>
      <c r="AC14" t="n">
        <v>1</v>
      </c>
      <c r="AD14" t="n">
        <v>3</v>
      </c>
      <c r="AE14" t="n">
        <v>3</v>
      </c>
      <c r="AF14" t="n">
        <v>1</v>
      </c>
      <c r="AG14" t="n">
        <v>1</v>
      </c>
      <c r="AH14" t="n">
        <v>1</v>
      </c>
      <c r="AI14" t="n">
        <v>1</v>
      </c>
      <c r="AJ14" t="n">
        <v>2</v>
      </c>
      <c r="AK14" t="n">
        <v>2</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HYPERLINK("https://creighton-primo.hosted.exlibrisgroup.com/primo-explore/search?tab=default_tab&amp;search_scope=EVERYTHING&amp;vid=01CRU&amp;lang=en_US&amp;offset=0&amp;query=any,contains,991001984119702656","Catalog Record")</f>
        <v/>
      </c>
      <c r="AT14">
        <f>HYPERLINK("http://www.worldcat.org/oclc/254763","WorldCat Record")</f>
        <v/>
      </c>
      <c r="AU14" t="inlineStr">
        <is>
          <t>3943628606:eng</t>
        </is>
      </c>
      <c r="AV14" t="inlineStr">
        <is>
          <t>254763</t>
        </is>
      </c>
      <c r="AW14" t="inlineStr">
        <is>
          <t>991001984119702656</t>
        </is>
      </c>
      <c r="AX14" t="inlineStr">
        <is>
          <t>991001984119702656</t>
        </is>
      </c>
      <c r="AY14" t="inlineStr">
        <is>
          <t>2269239560002656</t>
        </is>
      </c>
      <c r="AZ14" t="inlineStr">
        <is>
          <t>BOOK</t>
        </is>
      </c>
      <c r="BC14" t="inlineStr">
        <is>
          <t>32285003009726</t>
        </is>
      </c>
      <c r="BD14" t="inlineStr">
        <is>
          <t>893244621</t>
        </is>
      </c>
    </row>
    <row r="15">
      <c r="A15" t="inlineStr">
        <is>
          <t>No</t>
        </is>
      </c>
      <c r="B15" t="inlineStr">
        <is>
          <t>HM101 .H379 1997</t>
        </is>
      </c>
      <c r="C15" t="inlineStr">
        <is>
          <t>0                      HM 0101000H  379         1997</t>
        </is>
      </c>
      <c r="D15" t="inlineStr">
        <is>
          <t>Images for change : the transformation of society / Rosemary Luling Haughton.</t>
        </is>
      </c>
      <c r="F15" t="inlineStr">
        <is>
          <t>No</t>
        </is>
      </c>
      <c r="G15" t="inlineStr">
        <is>
          <t>1</t>
        </is>
      </c>
      <c r="H15" t="inlineStr">
        <is>
          <t>No</t>
        </is>
      </c>
      <c r="I15" t="inlineStr">
        <is>
          <t>No</t>
        </is>
      </c>
      <c r="J15" t="inlineStr">
        <is>
          <t>0</t>
        </is>
      </c>
      <c r="K15" t="inlineStr">
        <is>
          <t>Haughton, Rosemary.</t>
        </is>
      </c>
      <c r="L15" t="inlineStr">
        <is>
          <t>New York : Paulist Press, c1997.</t>
        </is>
      </c>
      <c r="M15" t="inlineStr">
        <is>
          <t>1997</t>
        </is>
      </c>
      <c r="O15" t="inlineStr">
        <is>
          <t>eng</t>
        </is>
      </c>
      <c r="P15" t="inlineStr">
        <is>
          <t>nyu</t>
        </is>
      </c>
      <c r="R15" t="inlineStr">
        <is>
          <t xml:space="preserve">HM </t>
        </is>
      </c>
      <c r="S15" t="n">
        <v>3</v>
      </c>
      <c r="T15" t="n">
        <v>3</v>
      </c>
      <c r="U15" t="inlineStr">
        <is>
          <t>2004-04-01</t>
        </is>
      </c>
      <c r="V15" t="inlineStr">
        <is>
          <t>2004-04-01</t>
        </is>
      </c>
      <c r="W15" t="inlineStr">
        <is>
          <t>1998-08-26</t>
        </is>
      </c>
      <c r="X15" t="inlineStr">
        <is>
          <t>1998-08-26</t>
        </is>
      </c>
      <c r="Y15" t="n">
        <v>240</v>
      </c>
      <c r="Z15" t="n">
        <v>206</v>
      </c>
      <c r="AA15" t="n">
        <v>211</v>
      </c>
      <c r="AB15" t="n">
        <v>3</v>
      </c>
      <c r="AC15" t="n">
        <v>3</v>
      </c>
      <c r="AD15" t="n">
        <v>20</v>
      </c>
      <c r="AE15" t="n">
        <v>20</v>
      </c>
      <c r="AF15" t="n">
        <v>4</v>
      </c>
      <c r="AG15" t="n">
        <v>4</v>
      </c>
      <c r="AH15" t="n">
        <v>4</v>
      </c>
      <c r="AI15" t="n">
        <v>4</v>
      </c>
      <c r="AJ15" t="n">
        <v>15</v>
      </c>
      <c r="AK15" t="n">
        <v>15</v>
      </c>
      <c r="AL15" t="n">
        <v>2</v>
      </c>
      <c r="AM15" t="n">
        <v>2</v>
      </c>
      <c r="AN15" t="n">
        <v>0</v>
      </c>
      <c r="AO15" t="n">
        <v>0</v>
      </c>
      <c r="AP15" t="inlineStr">
        <is>
          <t>No</t>
        </is>
      </c>
      <c r="AQ15" t="inlineStr">
        <is>
          <t>No</t>
        </is>
      </c>
      <c r="AS15">
        <f>HYPERLINK("https://creighton-primo.hosted.exlibrisgroup.com/primo-explore/search?tab=default_tab&amp;search_scope=EVERYTHING&amp;vid=01CRU&amp;lang=en_US&amp;offset=0&amp;query=any,contains,991002816429702656","Catalog Record")</f>
        <v/>
      </c>
      <c r="AT15">
        <f>HYPERLINK("http://www.worldcat.org/oclc/36994881","WorldCat Record")</f>
        <v/>
      </c>
      <c r="AU15" t="inlineStr">
        <is>
          <t>616854:eng</t>
        </is>
      </c>
      <c r="AV15" t="inlineStr">
        <is>
          <t>36994881</t>
        </is>
      </c>
      <c r="AW15" t="inlineStr">
        <is>
          <t>991002816429702656</t>
        </is>
      </c>
      <c r="AX15" t="inlineStr">
        <is>
          <t>991002816429702656</t>
        </is>
      </c>
      <c r="AY15" t="inlineStr">
        <is>
          <t>2262766490002656</t>
        </is>
      </c>
      <c r="AZ15" t="inlineStr">
        <is>
          <t>BOOK</t>
        </is>
      </c>
      <c r="BB15" t="inlineStr">
        <is>
          <t>9780809104901</t>
        </is>
      </c>
      <c r="BC15" t="inlineStr">
        <is>
          <t>32285003463097</t>
        </is>
      </c>
      <c r="BD15" t="inlineStr">
        <is>
          <t>893792953</t>
        </is>
      </c>
    </row>
    <row r="16">
      <c r="A16" t="inlineStr">
        <is>
          <t>No</t>
        </is>
      </c>
      <c r="B16" t="inlineStr">
        <is>
          <t>HM101 .H385</t>
        </is>
      </c>
      <c r="C16" t="inlineStr">
        <is>
          <t>0                      HM 0101000H  385</t>
        </is>
      </c>
      <c r="D16" t="inlineStr">
        <is>
          <t>Training for change agents; a guide to the design of training programs in education and other fields / Ronald G. Havelock and Mary C. Havelock ; with the staff and participants of the Michigan Conference on Educational Change Agent Training (CECAT).</t>
        </is>
      </c>
      <c r="F16" t="inlineStr">
        <is>
          <t>No</t>
        </is>
      </c>
      <c r="G16" t="inlineStr">
        <is>
          <t>1</t>
        </is>
      </c>
      <c r="H16" t="inlineStr">
        <is>
          <t>No</t>
        </is>
      </c>
      <c r="I16" t="inlineStr">
        <is>
          <t>No</t>
        </is>
      </c>
      <c r="J16" t="inlineStr">
        <is>
          <t>0</t>
        </is>
      </c>
      <c r="K16" t="inlineStr">
        <is>
          <t>Havelock, Ronald G.</t>
        </is>
      </c>
      <c r="L16" t="inlineStr">
        <is>
          <t>Ann Arbor : Center for Research on Utilization of Scientific Knowledge, University of Michigan, 1973, 1976 printing.</t>
        </is>
      </c>
      <c r="M16" t="inlineStr">
        <is>
          <t>1973</t>
        </is>
      </c>
      <c r="O16" t="inlineStr">
        <is>
          <t>eng</t>
        </is>
      </c>
      <c r="P16" t="inlineStr">
        <is>
          <t>miu</t>
        </is>
      </c>
      <c r="R16" t="inlineStr">
        <is>
          <t xml:space="preserve">HM </t>
        </is>
      </c>
      <c r="S16" t="n">
        <v>2</v>
      </c>
      <c r="T16" t="n">
        <v>2</v>
      </c>
      <c r="U16" t="inlineStr">
        <is>
          <t>1998-03-27</t>
        </is>
      </c>
      <c r="V16" t="inlineStr">
        <is>
          <t>1998-03-27</t>
        </is>
      </c>
      <c r="W16" t="inlineStr">
        <is>
          <t>1992-08-17</t>
        </is>
      </c>
      <c r="X16" t="inlineStr">
        <is>
          <t>1992-08-17</t>
        </is>
      </c>
      <c r="Y16" t="n">
        <v>490</v>
      </c>
      <c r="Z16" t="n">
        <v>403</v>
      </c>
      <c r="AA16" t="n">
        <v>431</v>
      </c>
      <c r="AB16" t="n">
        <v>5</v>
      </c>
      <c r="AC16" t="n">
        <v>5</v>
      </c>
      <c r="AD16" t="n">
        <v>15</v>
      </c>
      <c r="AE16" t="n">
        <v>15</v>
      </c>
      <c r="AF16" t="n">
        <v>4</v>
      </c>
      <c r="AG16" t="n">
        <v>4</v>
      </c>
      <c r="AH16" t="n">
        <v>4</v>
      </c>
      <c r="AI16" t="n">
        <v>4</v>
      </c>
      <c r="AJ16" t="n">
        <v>8</v>
      </c>
      <c r="AK16" t="n">
        <v>8</v>
      </c>
      <c r="AL16" t="n">
        <v>3</v>
      </c>
      <c r="AM16" t="n">
        <v>3</v>
      </c>
      <c r="AN16" t="n">
        <v>0</v>
      </c>
      <c r="AO16" t="n">
        <v>0</v>
      </c>
      <c r="AP16" t="inlineStr">
        <is>
          <t>No</t>
        </is>
      </c>
      <c r="AQ16" t="inlineStr">
        <is>
          <t>Yes</t>
        </is>
      </c>
      <c r="AR16">
        <f>HYPERLINK("http://catalog.hathitrust.org/Record/000009028","HathiTrust Record")</f>
        <v/>
      </c>
      <c r="AS16">
        <f>HYPERLINK("https://creighton-primo.hosted.exlibrisgroup.com/primo-explore/search?tab=default_tab&amp;search_scope=EVERYTHING&amp;vid=01CRU&amp;lang=en_US&amp;offset=0&amp;query=any,contains,991003101199702656","Catalog Record")</f>
        <v/>
      </c>
      <c r="AT16">
        <f>HYPERLINK("http://www.worldcat.org/oclc/649971","WorldCat Record")</f>
        <v/>
      </c>
      <c r="AU16" t="inlineStr">
        <is>
          <t>157350947:eng</t>
        </is>
      </c>
      <c r="AV16" t="inlineStr">
        <is>
          <t>649971</t>
        </is>
      </c>
      <c r="AW16" t="inlineStr">
        <is>
          <t>991003101199702656</t>
        </is>
      </c>
      <c r="AX16" t="inlineStr">
        <is>
          <t>991003101199702656</t>
        </is>
      </c>
      <c r="AY16" t="inlineStr">
        <is>
          <t>2258988740002656</t>
        </is>
      </c>
      <c r="AZ16" t="inlineStr">
        <is>
          <t>BOOK</t>
        </is>
      </c>
      <c r="BB16" t="inlineStr">
        <is>
          <t>9780879441265</t>
        </is>
      </c>
      <c r="BC16" t="inlineStr">
        <is>
          <t>32285001265379</t>
        </is>
      </c>
      <c r="BD16" t="inlineStr">
        <is>
          <t>893336143</t>
        </is>
      </c>
    </row>
    <row r="17">
      <c r="A17" t="inlineStr">
        <is>
          <t>No</t>
        </is>
      </c>
      <c r="B17" t="inlineStr">
        <is>
          <t>HM101 .H84 1992</t>
        </is>
      </c>
      <c r="C17" t="inlineStr">
        <is>
          <t>0                      HM 0101000H  84          1992</t>
        </is>
      </c>
      <c r="D17" t="inlineStr">
        <is>
          <t>Post-industrial lives : roles and relationships in the 21st century / Jerald Hage, Charles H. Powers.</t>
        </is>
      </c>
      <c r="F17" t="inlineStr">
        <is>
          <t>No</t>
        </is>
      </c>
      <c r="G17" t="inlineStr">
        <is>
          <t>1</t>
        </is>
      </c>
      <c r="H17" t="inlineStr">
        <is>
          <t>No</t>
        </is>
      </c>
      <c r="I17" t="inlineStr">
        <is>
          <t>No</t>
        </is>
      </c>
      <c r="J17" t="inlineStr">
        <is>
          <t>0</t>
        </is>
      </c>
      <c r="K17" t="inlineStr">
        <is>
          <t>Hage, Jerald, 1932-</t>
        </is>
      </c>
      <c r="L17" t="inlineStr">
        <is>
          <t>Newbury Park, CA : Sage Publications, 1992.</t>
        </is>
      </c>
      <c r="M17" t="inlineStr">
        <is>
          <t>1992</t>
        </is>
      </c>
      <c r="O17" t="inlineStr">
        <is>
          <t>eng</t>
        </is>
      </c>
      <c r="P17" t="inlineStr">
        <is>
          <t>cau</t>
        </is>
      </c>
      <c r="R17" t="inlineStr">
        <is>
          <t xml:space="preserve">HM </t>
        </is>
      </c>
      <c r="S17" t="n">
        <v>1</v>
      </c>
      <c r="T17" t="n">
        <v>1</v>
      </c>
      <c r="U17" t="inlineStr">
        <is>
          <t>1994-09-06</t>
        </is>
      </c>
      <c r="V17" t="inlineStr">
        <is>
          <t>1994-09-06</t>
        </is>
      </c>
      <c r="W17" t="inlineStr">
        <is>
          <t>1992-10-08</t>
        </is>
      </c>
      <c r="X17" t="inlineStr">
        <is>
          <t>1992-10-08</t>
        </is>
      </c>
      <c r="Y17" t="n">
        <v>387</v>
      </c>
      <c r="Z17" t="n">
        <v>279</v>
      </c>
      <c r="AA17" t="n">
        <v>345</v>
      </c>
      <c r="AB17" t="n">
        <v>4</v>
      </c>
      <c r="AC17" t="n">
        <v>4</v>
      </c>
      <c r="AD17" t="n">
        <v>14</v>
      </c>
      <c r="AE17" t="n">
        <v>18</v>
      </c>
      <c r="AF17" t="n">
        <v>2</v>
      </c>
      <c r="AG17" t="n">
        <v>4</v>
      </c>
      <c r="AH17" t="n">
        <v>4</v>
      </c>
      <c r="AI17" t="n">
        <v>6</v>
      </c>
      <c r="AJ17" t="n">
        <v>8</v>
      </c>
      <c r="AK17" t="n">
        <v>9</v>
      </c>
      <c r="AL17" t="n">
        <v>3</v>
      </c>
      <c r="AM17" t="n">
        <v>3</v>
      </c>
      <c r="AN17" t="n">
        <v>0</v>
      </c>
      <c r="AO17" t="n">
        <v>0</v>
      </c>
      <c r="AP17" t="inlineStr">
        <is>
          <t>No</t>
        </is>
      </c>
      <c r="AQ17" t="inlineStr">
        <is>
          <t>Yes</t>
        </is>
      </c>
      <c r="AR17">
        <f>HYPERLINK("http://catalog.hathitrust.org/Record/002559647","HathiTrust Record")</f>
        <v/>
      </c>
      <c r="AS17">
        <f>HYPERLINK("https://creighton-primo.hosted.exlibrisgroup.com/primo-explore/search?tab=default_tab&amp;search_scope=EVERYTHING&amp;vid=01CRU&amp;lang=en_US&amp;offset=0&amp;query=any,contains,991002013289702656","Catalog Record")</f>
        <v/>
      </c>
      <c r="AT17">
        <f>HYPERLINK("http://www.worldcat.org/oclc/25629108","WorldCat Record")</f>
        <v/>
      </c>
      <c r="AU17" t="inlineStr">
        <is>
          <t>836888459:eng</t>
        </is>
      </c>
      <c r="AV17" t="inlineStr">
        <is>
          <t>25629108</t>
        </is>
      </c>
      <c r="AW17" t="inlineStr">
        <is>
          <t>991002013289702656</t>
        </is>
      </c>
      <c r="AX17" t="inlineStr">
        <is>
          <t>991002013289702656</t>
        </is>
      </c>
      <c r="AY17" t="inlineStr">
        <is>
          <t>2261806900002656</t>
        </is>
      </c>
      <c r="AZ17" t="inlineStr">
        <is>
          <t>BOOK</t>
        </is>
      </c>
      <c r="BB17" t="inlineStr">
        <is>
          <t>9780803944947</t>
        </is>
      </c>
      <c r="BC17" t="inlineStr">
        <is>
          <t>32285001316719</t>
        </is>
      </c>
      <c r="BD17" t="inlineStr">
        <is>
          <t>893621813</t>
        </is>
      </c>
    </row>
    <row r="18">
      <c r="A18" t="inlineStr">
        <is>
          <t>No</t>
        </is>
      </c>
      <c r="B18" t="inlineStr">
        <is>
          <t>HM101 .I53413</t>
        </is>
      </c>
      <c r="C18" t="inlineStr">
        <is>
          <t>0                      HM 0101000I  53413</t>
        </is>
      </c>
      <c r="D18" t="inlineStr">
        <is>
          <t>Celebration of awareness; a call for institutional revolution [by] Ivan D. Illich. Introd. by Erich Fromm.</t>
        </is>
      </c>
      <c r="F18" t="inlineStr">
        <is>
          <t>No</t>
        </is>
      </c>
      <c r="G18" t="inlineStr">
        <is>
          <t>1</t>
        </is>
      </c>
      <c r="H18" t="inlineStr">
        <is>
          <t>No</t>
        </is>
      </c>
      <c r="I18" t="inlineStr">
        <is>
          <t>No</t>
        </is>
      </c>
      <c r="J18" t="inlineStr">
        <is>
          <t>0</t>
        </is>
      </c>
      <c r="K18" t="inlineStr">
        <is>
          <t>Illich, Ivan, 1926-2002.</t>
        </is>
      </c>
      <c r="L18" t="inlineStr">
        <is>
          <t>Garden City, N.Y., Doubleday, 1970.</t>
        </is>
      </c>
      <c r="M18" t="inlineStr">
        <is>
          <t>1970</t>
        </is>
      </c>
      <c r="N18" t="inlineStr">
        <is>
          <t>[1st ed.]</t>
        </is>
      </c>
      <c r="O18" t="inlineStr">
        <is>
          <t>eng</t>
        </is>
      </c>
      <c r="P18" t="inlineStr">
        <is>
          <t>nyu</t>
        </is>
      </c>
      <c r="R18" t="inlineStr">
        <is>
          <t xml:space="preserve">HM </t>
        </is>
      </c>
      <c r="S18" t="n">
        <v>4</v>
      </c>
      <c r="T18" t="n">
        <v>4</v>
      </c>
      <c r="U18" t="inlineStr">
        <is>
          <t>2001-06-05</t>
        </is>
      </c>
      <c r="V18" t="inlineStr">
        <is>
          <t>2001-06-05</t>
        </is>
      </c>
      <c r="W18" t="inlineStr">
        <is>
          <t>1997-07-28</t>
        </is>
      </c>
      <c r="X18" t="inlineStr">
        <is>
          <t>1997-07-28</t>
        </is>
      </c>
      <c r="Y18" t="n">
        <v>786</v>
      </c>
      <c r="Z18" t="n">
        <v>716</v>
      </c>
      <c r="AA18" t="n">
        <v>921</v>
      </c>
      <c r="AB18" t="n">
        <v>4</v>
      </c>
      <c r="AC18" t="n">
        <v>5</v>
      </c>
      <c r="AD18" t="n">
        <v>33</v>
      </c>
      <c r="AE18" t="n">
        <v>40</v>
      </c>
      <c r="AF18" t="n">
        <v>13</v>
      </c>
      <c r="AG18" t="n">
        <v>18</v>
      </c>
      <c r="AH18" t="n">
        <v>9</v>
      </c>
      <c r="AI18" t="n">
        <v>10</v>
      </c>
      <c r="AJ18" t="n">
        <v>17</v>
      </c>
      <c r="AK18" t="n">
        <v>21</v>
      </c>
      <c r="AL18" t="n">
        <v>3</v>
      </c>
      <c r="AM18" t="n">
        <v>3</v>
      </c>
      <c r="AN18" t="n">
        <v>0</v>
      </c>
      <c r="AO18" t="n">
        <v>0</v>
      </c>
      <c r="AP18" t="inlineStr">
        <is>
          <t>No</t>
        </is>
      </c>
      <c r="AQ18" t="inlineStr">
        <is>
          <t>No</t>
        </is>
      </c>
      <c r="AS18">
        <f>HYPERLINK("https://creighton-primo.hosted.exlibrisgroup.com/primo-explore/search?tab=default_tab&amp;search_scope=EVERYTHING&amp;vid=01CRU&amp;lang=en_US&amp;offset=0&amp;query=any,contains,991000587019702656","Catalog Record")</f>
        <v/>
      </c>
      <c r="AT18">
        <f>HYPERLINK("http://www.worldcat.org/oclc/96320","WorldCat Record")</f>
        <v/>
      </c>
      <c r="AU18" t="inlineStr">
        <is>
          <t>324856971:eng</t>
        </is>
      </c>
      <c r="AV18" t="inlineStr">
        <is>
          <t>96320</t>
        </is>
      </c>
      <c r="AW18" t="inlineStr">
        <is>
          <t>991000587019702656</t>
        </is>
      </c>
      <c r="AX18" t="inlineStr">
        <is>
          <t>991000587019702656</t>
        </is>
      </c>
      <c r="AY18" t="inlineStr">
        <is>
          <t>2271326130002656</t>
        </is>
      </c>
      <c r="AZ18" t="inlineStr">
        <is>
          <t>BOOK</t>
        </is>
      </c>
      <c r="BC18" t="inlineStr">
        <is>
          <t>32285003009809</t>
        </is>
      </c>
      <c r="BD18" t="inlineStr">
        <is>
          <t>893327416</t>
        </is>
      </c>
    </row>
    <row r="19">
      <c r="A19" t="inlineStr">
        <is>
          <t>No</t>
        </is>
      </c>
      <c r="B19" t="inlineStr">
        <is>
          <t>HM101 .J6</t>
        </is>
      </c>
      <c r="C19" t="inlineStr">
        <is>
          <t>0                      HM 0101000J  6</t>
        </is>
      </c>
      <c r="D19" t="inlineStr">
        <is>
          <t>Man alone : alienation in modern society / Edited, with an introd., by Eric and Mary Josephson. --</t>
        </is>
      </c>
      <c r="F19" t="inlineStr">
        <is>
          <t>No</t>
        </is>
      </c>
      <c r="G19" t="inlineStr">
        <is>
          <t>1</t>
        </is>
      </c>
      <c r="H19" t="inlineStr">
        <is>
          <t>No</t>
        </is>
      </c>
      <c r="I19" t="inlineStr">
        <is>
          <t>No</t>
        </is>
      </c>
      <c r="J19" t="inlineStr">
        <is>
          <t>0</t>
        </is>
      </c>
      <c r="K19" t="inlineStr">
        <is>
          <t>Josephson, Eric editor.</t>
        </is>
      </c>
      <c r="L19" t="inlineStr">
        <is>
          <t>New York : Dell Pub. Co., 1962</t>
        </is>
      </c>
      <c r="M19" t="inlineStr">
        <is>
          <t>1962</t>
        </is>
      </c>
      <c r="O19" t="inlineStr">
        <is>
          <t>eng</t>
        </is>
      </c>
      <c r="P19" t="inlineStr">
        <is>
          <t>nyu</t>
        </is>
      </c>
      <c r="Q19" t="inlineStr">
        <is>
          <t>A Laurel edition, 5182</t>
        </is>
      </c>
      <c r="R19" t="inlineStr">
        <is>
          <t xml:space="preserve">HM </t>
        </is>
      </c>
      <c r="S19" t="n">
        <v>2</v>
      </c>
      <c r="T19" t="n">
        <v>2</v>
      </c>
      <c r="U19" t="inlineStr">
        <is>
          <t>1995-05-02</t>
        </is>
      </c>
      <c r="V19" t="inlineStr">
        <is>
          <t>1995-05-02</t>
        </is>
      </c>
      <c r="W19" t="inlineStr">
        <is>
          <t>1992-08-17</t>
        </is>
      </c>
      <c r="X19" t="inlineStr">
        <is>
          <t>1992-08-17</t>
        </is>
      </c>
      <c r="Y19" t="n">
        <v>705</v>
      </c>
      <c r="Z19" t="n">
        <v>595</v>
      </c>
      <c r="AA19" t="n">
        <v>645</v>
      </c>
      <c r="AB19" t="n">
        <v>7</v>
      </c>
      <c r="AC19" t="n">
        <v>7</v>
      </c>
      <c r="AD19" t="n">
        <v>28</v>
      </c>
      <c r="AE19" t="n">
        <v>32</v>
      </c>
      <c r="AF19" t="n">
        <v>9</v>
      </c>
      <c r="AG19" t="n">
        <v>12</v>
      </c>
      <c r="AH19" t="n">
        <v>4</v>
      </c>
      <c r="AI19" t="n">
        <v>5</v>
      </c>
      <c r="AJ19" t="n">
        <v>15</v>
      </c>
      <c r="AK19" t="n">
        <v>16</v>
      </c>
      <c r="AL19" t="n">
        <v>6</v>
      </c>
      <c r="AM19" t="n">
        <v>6</v>
      </c>
      <c r="AN19" t="n">
        <v>0</v>
      </c>
      <c r="AO19" t="n">
        <v>0</v>
      </c>
      <c r="AP19" t="inlineStr">
        <is>
          <t>No</t>
        </is>
      </c>
      <c r="AQ19" t="inlineStr">
        <is>
          <t>No</t>
        </is>
      </c>
      <c r="AR19">
        <f>HYPERLINK("http://catalog.hathitrust.org/Record/001109203","HathiTrust Record")</f>
        <v/>
      </c>
      <c r="AS19">
        <f>HYPERLINK("https://creighton-primo.hosted.exlibrisgroup.com/primo-explore/search?tab=default_tab&amp;search_scope=EVERYTHING&amp;vid=01CRU&amp;lang=en_US&amp;offset=0&amp;query=any,contains,991003428939702656","Catalog Record")</f>
        <v/>
      </c>
      <c r="AT19">
        <f>HYPERLINK("http://www.worldcat.org/oclc/965128","WorldCat Record")</f>
        <v/>
      </c>
      <c r="AU19" t="inlineStr">
        <is>
          <t>440396554:eng</t>
        </is>
      </c>
      <c r="AV19" t="inlineStr">
        <is>
          <t>965128</t>
        </is>
      </c>
      <c r="AW19" t="inlineStr">
        <is>
          <t>991003428939702656</t>
        </is>
      </c>
      <c r="AX19" t="inlineStr">
        <is>
          <t>991003428939702656</t>
        </is>
      </c>
      <c r="AY19" t="inlineStr">
        <is>
          <t>2258317030002656</t>
        </is>
      </c>
      <c r="AZ19" t="inlineStr">
        <is>
          <t>BOOK</t>
        </is>
      </c>
      <c r="BC19" t="inlineStr">
        <is>
          <t>32285001265403</t>
        </is>
      </c>
      <c r="BD19" t="inlineStr">
        <is>
          <t>893511933</t>
        </is>
      </c>
    </row>
    <row r="20">
      <c r="A20" t="inlineStr">
        <is>
          <t>No</t>
        </is>
      </c>
      <c r="B20" t="inlineStr">
        <is>
          <t>HM101 .K63</t>
        </is>
      </c>
      <c r="C20" t="inlineStr">
        <is>
          <t>0                      HM 0101000K  63</t>
        </is>
      </c>
      <c r="D20" t="inlineStr">
        <is>
          <t>Collective search for identity [by] Orrin E. Klapp.</t>
        </is>
      </c>
      <c r="F20" t="inlineStr">
        <is>
          <t>No</t>
        </is>
      </c>
      <c r="G20" t="inlineStr">
        <is>
          <t>1</t>
        </is>
      </c>
      <c r="H20" t="inlineStr">
        <is>
          <t>No</t>
        </is>
      </c>
      <c r="I20" t="inlineStr">
        <is>
          <t>No</t>
        </is>
      </c>
      <c r="J20" t="inlineStr">
        <is>
          <t>0</t>
        </is>
      </c>
      <c r="K20" t="inlineStr">
        <is>
          <t>Klapp, Orrin E. (Orrin Edgar), 1915-1997.</t>
        </is>
      </c>
      <c r="L20" t="inlineStr">
        <is>
          <t>New York, Holt, Rinehart, and Winston [1969]</t>
        </is>
      </c>
      <c r="M20" t="inlineStr">
        <is>
          <t>1969</t>
        </is>
      </c>
      <c r="O20" t="inlineStr">
        <is>
          <t>eng</t>
        </is>
      </c>
      <c r="P20" t="inlineStr">
        <is>
          <t>nyu</t>
        </is>
      </c>
      <c r="R20" t="inlineStr">
        <is>
          <t xml:space="preserve">HM </t>
        </is>
      </c>
      <c r="S20" t="n">
        <v>1</v>
      </c>
      <c r="T20" t="n">
        <v>1</v>
      </c>
      <c r="U20" t="inlineStr">
        <is>
          <t>2000-10-12</t>
        </is>
      </c>
      <c r="V20" t="inlineStr">
        <is>
          <t>2000-10-12</t>
        </is>
      </c>
      <c r="W20" t="inlineStr">
        <is>
          <t>1997-07-29</t>
        </is>
      </c>
      <c r="X20" t="inlineStr">
        <is>
          <t>1997-07-29</t>
        </is>
      </c>
      <c r="Y20" t="n">
        <v>544</v>
      </c>
      <c r="Z20" t="n">
        <v>425</v>
      </c>
      <c r="AA20" t="n">
        <v>433</v>
      </c>
      <c r="AB20" t="n">
        <v>3</v>
      </c>
      <c r="AC20" t="n">
        <v>3</v>
      </c>
      <c r="AD20" t="n">
        <v>17</v>
      </c>
      <c r="AE20" t="n">
        <v>17</v>
      </c>
      <c r="AF20" t="n">
        <v>5</v>
      </c>
      <c r="AG20" t="n">
        <v>5</v>
      </c>
      <c r="AH20" t="n">
        <v>4</v>
      </c>
      <c r="AI20" t="n">
        <v>4</v>
      </c>
      <c r="AJ20" t="n">
        <v>10</v>
      </c>
      <c r="AK20" t="n">
        <v>10</v>
      </c>
      <c r="AL20" t="n">
        <v>2</v>
      </c>
      <c r="AM20" t="n">
        <v>2</v>
      </c>
      <c r="AN20" t="n">
        <v>0</v>
      </c>
      <c r="AO20" t="n">
        <v>0</v>
      </c>
      <c r="AP20" t="inlineStr">
        <is>
          <t>No</t>
        </is>
      </c>
      <c r="AQ20" t="inlineStr">
        <is>
          <t>Yes</t>
        </is>
      </c>
      <c r="AR20">
        <f>HYPERLINK("http://catalog.hathitrust.org/Record/001109204","HathiTrust Record")</f>
        <v/>
      </c>
      <c r="AS20">
        <f>HYPERLINK("https://creighton-primo.hosted.exlibrisgroup.com/primo-explore/search?tab=default_tab&amp;search_scope=EVERYTHING&amp;vid=01CRU&amp;lang=en_US&amp;offset=0&amp;query=any,contains,991005436769702656","Catalog Record")</f>
        <v/>
      </c>
      <c r="AT20">
        <f>HYPERLINK("http://www.worldcat.org/oclc/4779","WorldCat Record")</f>
        <v/>
      </c>
      <c r="AU20" t="inlineStr">
        <is>
          <t>1128251:eng</t>
        </is>
      </c>
      <c r="AV20" t="inlineStr">
        <is>
          <t>4779</t>
        </is>
      </c>
      <c r="AW20" t="inlineStr">
        <is>
          <t>991005436769702656</t>
        </is>
      </c>
      <c r="AX20" t="inlineStr">
        <is>
          <t>991005436769702656</t>
        </is>
      </c>
      <c r="AY20" t="inlineStr">
        <is>
          <t>2266368390002656</t>
        </is>
      </c>
      <c r="AZ20" t="inlineStr">
        <is>
          <t>BOOK</t>
        </is>
      </c>
      <c r="BB20" t="inlineStr">
        <is>
          <t>9780030731051</t>
        </is>
      </c>
      <c r="BC20" t="inlineStr">
        <is>
          <t>32285003009825</t>
        </is>
      </c>
      <c r="BD20" t="inlineStr">
        <is>
          <t>893412897</t>
        </is>
      </c>
    </row>
    <row r="21">
      <c r="A21" t="inlineStr">
        <is>
          <t>No</t>
        </is>
      </c>
      <c r="B21" t="inlineStr">
        <is>
          <t>HM101 .L38</t>
        </is>
      </c>
      <c r="C21" t="inlineStr">
        <is>
          <t>0                      HM 0101000L  38</t>
        </is>
      </c>
      <c r="D21" t="inlineStr">
        <is>
          <t>Communication and change in the developing countries. Edited by Daniel Lerner and Wilbur Schramm. Foreword by Lyndon B. Johnson.</t>
        </is>
      </c>
      <c r="F21" t="inlineStr">
        <is>
          <t>No</t>
        </is>
      </c>
      <c r="G21" t="inlineStr">
        <is>
          <t>1</t>
        </is>
      </c>
      <c r="H21" t="inlineStr">
        <is>
          <t>No</t>
        </is>
      </c>
      <c r="I21" t="inlineStr">
        <is>
          <t>No</t>
        </is>
      </c>
      <c r="J21" t="inlineStr">
        <is>
          <t>0</t>
        </is>
      </c>
      <c r="K21" t="inlineStr">
        <is>
          <t>Lerner, Daniel, editor.</t>
        </is>
      </c>
      <c r="L21" t="inlineStr">
        <is>
          <t>Honolulu, East-West Center Press [1967]</t>
        </is>
      </c>
      <c r="M21" t="inlineStr">
        <is>
          <t>1967</t>
        </is>
      </c>
      <c r="O21" t="inlineStr">
        <is>
          <t>eng</t>
        </is>
      </c>
      <c r="P21" t="inlineStr">
        <is>
          <t>hiu</t>
        </is>
      </c>
      <c r="R21" t="inlineStr">
        <is>
          <t xml:space="preserve">HM </t>
        </is>
      </c>
      <c r="S21" t="n">
        <v>1</v>
      </c>
      <c r="T21" t="n">
        <v>1</v>
      </c>
      <c r="U21" t="inlineStr">
        <is>
          <t>1998-10-06</t>
        </is>
      </c>
      <c r="V21" t="inlineStr">
        <is>
          <t>1998-10-06</t>
        </is>
      </c>
      <c r="W21" t="inlineStr">
        <is>
          <t>1997-07-29</t>
        </is>
      </c>
      <c r="X21" t="inlineStr">
        <is>
          <t>1997-07-29</t>
        </is>
      </c>
      <c r="Y21" t="n">
        <v>502</v>
      </c>
      <c r="Z21" t="n">
        <v>385</v>
      </c>
      <c r="AA21" t="n">
        <v>406</v>
      </c>
      <c r="AB21" t="n">
        <v>4</v>
      </c>
      <c r="AC21" t="n">
        <v>5</v>
      </c>
      <c r="AD21" t="n">
        <v>19</v>
      </c>
      <c r="AE21" t="n">
        <v>23</v>
      </c>
      <c r="AF21" t="n">
        <v>7</v>
      </c>
      <c r="AG21" t="n">
        <v>8</v>
      </c>
      <c r="AH21" t="n">
        <v>5</v>
      </c>
      <c r="AI21" t="n">
        <v>6</v>
      </c>
      <c r="AJ21" t="n">
        <v>10</v>
      </c>
      <c r="AK21" t="n">
        <v>13</v>
      </c>
      <c r="AL21" t="n">
        <v>3</v>
      </c>
      <c r="AM21" t="n">
        <v>4</v>
      </c>
      <c r="AN21" t="n">
        <v>0</v>
      </c>
      <c r="AO21" t="n">
        <v>0</v>
      </c>
      <c r="AP21" t="inlineStr">
        <is>
          <t>No</t>
        </is>
      </c>
      <c r="AQ21" t="inlineStr">
        <is>
          <t>Yes</t>
        </is>
      </c>
      <c r="AR21">
        <f>HYPERLINK("http://catalog.hathitrust.org/Record/000973097","HathiTrust Record")</f>
        <v/>
      </c>
      <c r="AS21">
        <f>HYPERLINK("https://creighton-primo.hosted.exlibrisgroup.com/primo-explore/search?tab=default_tab&amp;search_scope=EVERYTHING&amp;vid=01CRU&amp;lang=en_US&amp;offset=0&amp;query=any,contains,991001990269702656","Catalog Record")</f>
        <v/>
      </c>
      <c r="AT21">
        <f>HYPERLINK("http://www.worldcat.org/oclc/255266","WorldCat Record")</f>
        <v/>
      </c>
      <c r="AU21" t="inlineStr">
        <is>
          <t>481269124:eng</t>
        </is>
      </c>
      <c r="AV21" t="inlineStr">
        <is>
          <t>255266</t>
        </is>
      </c>
      <c r="AW21" t="inlineStr">
        <is>
          <t>991001990269702656</t>
        </is>
      </c>
      <c r="AX21" t="inlineStr">
        <is>
          <t>991001990269702656</t>
        </is>
      </c>
      <c r="AY21" t="inlineStr">
        <is>
          <t>2268865790002656</t>
        </is>
      </c>
      <c r="AZ21" t="inlineStr">
        <is>
          <t>BOOK</t>
        </is>
      </c>
      <c r="BC21" t="inlineStr">
        <is>
          <t>32285003009841</t>
        </is>
      </c>
      <c r="BD21" t="inlineStr">
        <is>
          <t>893809263</t>
        </is>
      </c>
    </row>
    <row r="22">
      <c r="A22" t="inlineStr">
        <is>
          <t>No</t>
        </is>
      </c>
      <c r="B22" t="inlineStr">
        <is>
          <t>HM101 .M24 1976</t>
        </is>
      </c>
      <c r="C22" t="inlineStr">
        <is>
          <t>0                      HM 0101000M  24          1976</t>
        </is>
      </c>
      <c r="D22" t="inlineStr">
        <is>
          <t>Freedom and civilization / by Bronislaw Malinowski.</t>
        </is>
      </c>
      <c r="F22" t="inlineStr">
        <is>
          <t>No</t>
        </is>
      </c>
      <c r="G22" t="inlineStr">
        <is>
          <t>1</t>
        </is>
      </c>
      <c r="H22" t="inlineStr">
        <is>
          <t>No</t>
        </is>
      </c>
      <c r="I22" t="inlineStr">
        <is>
          <t>No</t>
        </is>
      </c>
      <c r="J22" t="inlineStr">
        <is>
          <t>0</t>
        </is>
      </c>
      <c r="K22" t="inlineStr">
        <is>
          <t>Malinowski, Bronislaw, 1884-1942.</t>
        </is>
      </c>
      <c r="L22" t="inlineStr">
        <is>
          <t>Westport, Conn. : Greenwood Press, 1976, c1944.</t>
        </is>
      </c>
      <c r="M22" t="inlineStr">
        <is>
          <t>1976</t>
        </is>
      </c>
      <c r="O22" t="inlineStr">
        <is>
          <t>eng</t>
        </is>
      </c>
      <c r="P22" t="inlineStr">
        <is>
          <t>ctu</t>
        </is>
      </c>
      <c r="R22" t="inlineStr">
        <is>
          <t xml:space="preserve">HM </t>
        </is>
      </c>
      <c r="S22" t="n">
        <v>4</v>
      </c>
      <c r="T22" t="n">
        <v>4</v>
      </c>
      <c r="U22" t="inlineStr">
        <is>
          <t>2006-04-18</t>
        </is>
      </c>
      <c r="V22" t="inlineStr">
        <is>
          <t>2006-04-18</t>
        </is>
      </c>
      <c r="W22" t="inlineStr">
        <is>
          <t>1997-07-29</t>
        </is>
      </c>
      <c r="X22" t="inlineStr">
        <is>
          <t>1997-07-29</t>
        </is>
      </c>
      <c r="Y22" t="n">
        <v>106</v>
      </c>
      <c r="Z22" t="n">
        <v>85</v>
      </c>
      <c r="AA22" t="n">
        <v>791</v>
      </c>
      <c r="AB22" t="n">
        <v>1</v>
      </c>
      <c r="AC22" t="n">
        <v>3</v>
      </c>
      <c r="AD22" t="n">
        <v>4</v>
      </c>
      <c r="AE22" t="n">
        <v>29</v>
      </c>
      <c r="AF22" t="n">
        <v>0</v>
      </c>
      <c r="AG22" t="n">
        <v>12</v>
      </c>
      <c r="AH22" t="n">
        <v>1</v>
      </c>
      <c r="AI22" t="n">
        <v>6</v>
      </c>
      <c r="AJ22" t="n">
        <v>3</v>
      </c>
      <c r="AK22" t="n">
        <v>15</v>
      </c>
      <c r="AL22" t="n">
        <v>0</v>
      </c>
      <c r="AM22" t="n">
        <v>2</v>
      </c>
      <c r="AN22" t="n">
        <v>0</v>
      </c>
      <c r="AO22" t="n">
        <v>1</v>
      </c>
      <c r="AP22" t="inlineStr">
        <is>
          <t>No</t>
        </is>
      </c>
      <c r="AQ22" t="inlineStr">
        <is>
          <t>Yes</t>
        </is>
      </c>
      <c r="AR22">
        <f>HYPERLINK("http://catalog.hathitrust.org/Record/102038121","HathiTrust Record")</f>
        <v/>
      </c>
      <c r="AS22">
        <f>HYPERLINK("https://creighton-primo.hosted.exlibrisgroup.com/primo-explore/search?tab=default_tab&amp;search_scope=EVERYTHING&amp;vid=01CRU&amp;lang=en_US&amp;offset=0&amp;query=any,contains,991004249239702656","Catalog Record")</f>
        <v/>
      </c>
      <c r="AT22">
        <f>HYPERLINK("http://www.worldcat.org/oclc/2804457","WorldCat Record")</f>
        <v/>
      </c>
      <c r="AU22" t="inlineStr">
        <is>
          <t>1349556:eng</t>
        </is>
      </c>
      <c r="AV22" t="inlineStr">
        <is>
          <t>2804457</t>
        </is>
      </c>
      <c r="AW22" t="inlineStr">
        <is>
          <t>991004249239702656</t>
        </is>
      </c>
      <c r="AX22" t="inlineStr">
        <is>
          <t>991004249239702656</t>
        </is>
      </c>
      <c r="AY22" t="inlineStr">
        <is>
          <t>2268544270002656</t>
        </is>
      </c>
      <c r="AZ22" t="inlineStr">
        <is>
          <t>BOOK</t>
        </is>
      </c>
      <c r="BB22" t="inlineStr">
        <is>
          <t>9780837192772</t>
        </is>
      </c>
      <c r="BC22" t="inlineStr">
        <is>
          <t>32285003009874</t>
        </is>
      </c>
      <c r="BD22" t="inlineStr">
        <is>
          <t>893532184</t>
        </is>
      </c>
    </row>
    <row r="23">
      <c r="A23" t="inlineStr">
        <is>
          <t>No</t>
        </is>
      </c>
      <c r="B23" t="inlineStr">
        <is>
          <t>HM101 .M266 1993</t>
        </is>
      </c>
      <c r="C23" t="inlineStr">
        <is>
          <t>0                      HM 0101000M  266         1993</t>
        </is>
      </c>
      <c r="D23" t="inlineStr">
        <is>
          <t>Mapping the futures : local cultures, global change / edited by Jon Bird ... [et al.].</t>
        </is>
      </c>
      <c r="F23" t="inlineStr">
        <is>
          <t>No</t>
        </is>
      </c>
      <c r="G23" t="inlineStr">
        <is>
          <t>1</t>
        </is>
      </c>
      <c r="H23" t="inlineStr">
        <is>
          <t>No</t>
        </is>
      </c>
      <c r="I23" t="inlineStr">
        <is>
          <t>No</t>
        </is>
      </c>
      <c r="J23" t="inlineStr">
        <is>
          <t>0</t>
        </is>
      </c>
      <c r="L23" t="inlineStr">
        <is>
          <t>London ; New York : Routledge, 1993.</t>
        </is>
      </c>
      <c r="M23" t="inlineStr">
        <is>
          <t>1993</t>
        </is>
      </c>
      <c r="O23" t="inlineStr">
        <is>
          <t>eng</t>
        </is>
      </c>
      <c r="P23" t="inlineStr">
        <is>
          <t>enk</t>
        </is>
      </c>
      <c r="Q23" t="inlineStr">
        <is>
          <t>Futures, new perspectives for cultural analysis</t>
        </is>
      </c>
      <c r="R23" t="inlineStr">
        <is>
          <t xml:space="preserve">HM </t>
        </is>
      </c>
      <c r="S23" t="n">
        <v>2</v>
      </c>
      <c r="T23" t="n">
        <v>2</v>
      </c>
      <c r="U23" t="inlineStr">
        <is>
          <t>2007-07-16</t>
        </is>
      </c>
      <c r="V23" t="inlineStr">
        <is>
          <t>2007-07-16</t>
        </is>
      </c>
      <c r="W23" t="inlineStr">
        <is>
          <t>1995-01-04</t>
        </is>
      </c>
      <c r="X23" t="inlineStr">
        <is>
          <t>1995-01-04</t>
        </is>
      </c>
      <c r="Y23" t="n">
        <v>430</v>
      </c>
      <c r="Z23" t="n">
        <v>224</v>
      </c>
      <c r="AA23" t="n">
        <v>255</v>
      </c>
      <c r="AB23" t="n">
        <v>2</v>
      </c>
      <c r="AC23" t="n">
        <v>2</v>
      </c>
      <c r="AD23" t="n">
        <v>10</v>
      </c>
      <c r="AE23" t="n">
        <v>10</v>
      </c>
      <c r="AF23" t="n">
        <v>2</v>
      </c>
      <c r="AG23" t="n">
        <v>2</v>
      </c>
      <c r="AH23" t="n">
        <v>4</v>
      </c>
      <c r="AI23" t="n">
        <v>4</v>
      </c>
      <c r="AJ23" t="n">
        <v>5</v>
      </c>
      <c r="AK23" t="n">
        <v>5</v>
      </c>
      <c r="AL23" t="n">
        <v>1</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HYPERLINK("https://creighton-primo.hosted.exlibrisgroup.com/primo-explore/search?tab=default_tab&amp;search_scope=EVERYTHING&amp;vid=01CRU&amp;lang=en_US&amp;offset=0&amp;query=any,contains,991002013889702656","Catalog Record")</f>
        <v/>
      </c>
      <c r="AT23">
        <f>HYPERLINK("http://www.worldcat.org/oclc/25629778","WorldCat Record")</f>
        <v/>
      </c>
      <c r="AU23" t="inlineStr">
        <is>
          <t>1054038060:eng</t>
        </is>
      </c>
      <c r="AV23" t="inlineStr">
        <is>
          <t>25629778</t>
        </is>
      </c>
      <c r="AW23" t="inlineStr">
        <is>
          <t>991002013889702656</t>
        </is>
      </c>
      <c r="AX23" t="inlineStr">
        <is>
          <t>991002013889702656</t>
        </is>
      </c>
      <c r="AY23" t="inlineStr">
        <is>
          <t>2259893800002656</t>
        </is>
      </c>
      <c r="AZ23" t="inlineStr">
        <is>
          <t>BOOK</t>
        </is>
      </c>
      <c r="BB23" t="inlineStr">
        <is>
          <t>9780415070171</t>
        </is>
      </c>
      <c r="BC23" t="inlineStr">
        <is>
          <t>32285001990588</t>
        </is>
      </c>
      <c r="BD23" t="inlineStr">
        <is>
          <t>893414724</t>
        </is>
      </c>
    </row>
    <row r="24">
      <c r="A24" t="inlineStr">
        <is>
          <t>No</t>
        </is>
      </c>
      <c r="B24" t="inlineStr">
        <is>
          <t>HM101 .M2686 1975</t>
        </is>
      </c>
      <c r="C24" t="inlineStr">
        <is>
          <t>0                      HM 0101000M  2686        1975</t>
        </is>
      </c>
      <c r="D24" t="inlineStr">
        <is>
          <t>Loss and change / Peter Marris.</t>
        </is>
      </c>
      <c r="F24" t="inlineStr">
        <is>
          <t>No</t>
        </is>
      </c>
      <c r="G24" t="inlineStr">
        <is>
          <t>1</t>
        </is>
      </c>
      <c r="H24" t="inlineStr">
        <is>
          <t>No</t>
        </is>
      </c>
      <c r="I24" t="inlineStr">
        <is>
          <t>No</t>
        </is>
      </c>
      <c r="J24" t="inlineStr">
        <is>
          <t>0</t>
        </is>
      </c>
      <c r="K24" t="inlineStr">
        <is>
          <t>Marris, Peter.</t>
        </is>
      </c>
      <c r="L24" t="inlineStr">
        <is>
          <t>Garden City, N.Y. : Anchor Press, 1975.</t>
        </is>
      </c>
      <c r="M24" t="inlineStr">
        <is>
          <t>1975</t>
        </is>
      </c>
      <c r="O24" t="inlineStr">
        <is>
          <t>eng</t>
        </is>
      </c>
      <c r="P24" t="inlineStr">
        <is>
          <t xml:space="preserve">xx </t>
        </is>
      </c>
      <c r="R24" t="inlineStr">
        <is>
          <t xml:space="preserve">HM </t>
        </is>
      </c>
      <c r="S24" t="n">
        <v>4</v>
      </c>
      <c r="T24" t="n">
        <v>4</v>
      </c>
      <c r="U24" t="inlineStr">
        <is>
          <t>1999-10-25</t>
        </is>
      </c>
      <c r="V24" t="inlineStr">
        <is>
          <t>1999-10-25</t>
        </is>
      </c>
      <c r="W24" t="inlineStr">
        <is>
          <t>1997-07-29</t>
        </is>
      </c>
      <c r="X24" t="inlineStr">
        <is>
          <t>1997-07-29</t>
        </is>
      </c>
      <c r="Y24" t="n">
        <v>11</v>
      </c>
      <c r="Z24" t="n">
        <v>11</v>
      </c>
      <c r="AA24" t="n">
        <v>538</v>
      </c>
      <c r="AB24" t="n">
        <v>1</v>
      </c>
      <c r="AC24" t="n">
        <v>3</v>
      </c>
      <c r="AD24" t="n">
        <v>1</v>
      </c>
      <c r="AE24" t="n">
        <v>21</v>
      </c>
      <c r="AF24" t="n">
        <v>0</v>
      </c>
      <c r="AG24" t="n">
        <v>4</v>
      </c>
      <c r="AH24" t="n">
        <v>1</v>
      </c>
      <c r="AI24" t="n">
        <v>8</v>
      </c>
      <c r="AJ24" t="n">
        <v>1</v>
      </c>
      <c r="AK24" t="n">
        <v>12</v>
      </c>
      <c r="AL24" t="n">
        <v>0</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HYPERLINK("https://creighton-primo.hosted.exlibrisgroup.com/primo-explore/search?tab=default_tab&amp;search_scope=EVERYTHING&amp;vid=01CRU&amp;lang=en_US&amp;offset=0&amp;query=any,contains,991003910549702656","Catalog Record")</f>
        <v/>
      </c>
      <c r="AT24">
        <f>HYPERLINK("http://www.worldcat.org/oclc/1850650","WorldCat Record")</f>
        <v/>
      </c>
      <c r="AU24" t="inlineStr">
        <is>
          <t>1952312:eng</t>
        </is>
      </c>
      <c r="AV24" t="inlineStr">
        <is>
          <t>1850650</t>
        </is>
      </c>
      <c r="AW24" t="inlineStr">
        <is>
          <t>991003910549702656</t>
        </is>
      </c>
      <c r="AX24" t="inlineStr">
        <is>
          <t>991003910549702656</t>
        </is>
      </c>
      <c r="AY24" t="inlineStr">
        <is>
          <t>2262007370002656</t>
        </is>
      </c>
      <c r="AZ24" t="inlineStr">
        <is>
          <t>BOOK</t>
        </is>
      </c>
      <c r="BB24" t="inlineStr">
        <is>
          <t>9780385110297</t>
        </is>
      </c>
      <c r="BC24" t="inlineStr">
        <is>
          <t>32285003009890</t>
        </is>
      </c>
      <c r="BD24" t="inlineStr">
        <is>
          <t>893253006</t>
        </is>
      </c>
    </row>
    <row r="25">
      <c r="A25" t="inlineStr">
        <is>
          <t>No</t>
        </is>
      </c>
      <c r="B25" t="inlineStr">
        <is>
          <t>HM101 .M33</t>
        </is>
      </c>
      <c r="C25" t="inlineStr">
        <is>
          <t>0                      HM 0101000M  33</t>
        </is>
      </c>
      <c r="D25" t="inlineStr">
        <is>
          <t>Social life and cultural change.</t>
        </is>
      </c>
      <c r="F25" t="inlineStr">
        <is>
          <t>No</t>
        </is>
      </c>
      <c r="G25" t="inlineStr">
        <is>
          <t>1</t>
        </is>
      </c>
      <c r="H25" t="inlineStr">
        <is>
          <t>No</t>
        </is>
      </c>
      <c r="I25" t="inlineStr">
        <is>
          <t>No</t>
        </is>
      </c>
      <c r="J25" t="inlineStr">
        <is>
          <t>0</t>
        </is>
      </c>
      <c r="K25" t="inlineStr">
        <is>
          <t>Martindale, Don.</t>
        </is>
      </c>
      <c r="L25" t="inlineStr">
        <is>
          <t>Princeton, N.J. : Van Nostrand, [1962]</t>
        </is>
      </c>
      <c r="M25" t="inlineStr">
        <is>
          <t>1962</t>
        </is>
      </c>
      <c r="O25" t="inlineStr">
        <is>
          <t>eng</t>
        </is>
      </c>
      <c r="P25" t="inlineStr">
        <is>
          <t>nju</t>
        </is>
      </c>
      <c r="R25" t="inlineStr">
        <is>
          <t xml:space="preserve">HM </t>
        </is>
      </c>
      <c r="S25" t="n">
        <v>2</v>
      </c>
      <c r="T25" t="n">
        <v>2</v>
      </c>
      <c r="U25" t="inlineStr">
        <is>
          <t>2001-09-12</t>
        </is>
      </c>
      <c r="V25" t="inlineStr">
        <is>
          <t>2001-09-12</t>
        </is>
      </c>
      <c r="W25" t="inlineStr">
        <is>
          <t>1992-04-22</t>
        </is>
      </c>
      <c r="X25" t="inlineStr">
        <is>
          <t>1992-04-22</t>
        </is>
      </c>
      <c r="Y25" t="n">
        <v>525</v>
      </c>
      <c r="Z25" t="n">
        <v>406</v>
      </c>
      <c r="AA25" t="n">
        <v>419</v>
      </c>
      <c r="AB25" t="n">
        <v>3</v>
      </c>
      <c r="AC25" t="n">
        <v>3</v>
      </c>
      <c r="AD25" t="n">
        <v>17</v>
      </c>
      <c r="AE25" t="n">
        <v>18</v>
      </c>
      <c r="AF25" t="n">
        <v>6</v>
      </c>
      <c r="AG25" t="n">
        <v>7</v>
      </c>
      <c r="AH25" t="n">
        <v>4</v>
      </c>
      <c r="AI25" t="n">
        <v>4</v>
      </c>
      <c r="AJ25" t="n">
        <v>9</v>
      </c>
      <c r="AK25" t="n">
        <v>10</v>
      </c>
      <c r="AL25" t="n">
        <v>2</v>
      </c>
      <c r="AM25" t="n">
        <v>2</v>
      </c>
      <c r="AN25" t="n">
        <v>0</v>
      </c>
      <c r="AO25" t="n">
        <v>0</v>
      </c>
      <c r="AP25" t="inlineStr">
        <is>
          <t>Yes</t>
        </is>
      </c>
      <c r="AQ25" t="inlineStr">
        <is>
          <t>No</t>
        </is>
      </c>
      <c r="AR25">
        <f>HYPERLINK("http://catalog.hathitrust.org/Record/006225303","HathiTrust Record")</f>
        <v/>
      </c>
      <c r="AS25">
        <f>HYPERLINK("https://creighton-primo.hosted.exlibrisgroup.com/primo-explore/search?tab=default_tab&amp;search_scope=EVERYTHING&amp;vid=01CRU&amp;lang=en_US&amp;offset=0&amp;query=any,contains,991001977509702656","Catalog Record")</f>
        <v/>
      </c>
      <c r="AT25">
        <f>HYPERLINK("http://www.worldcat.org/oclc/254467","WorldCat Record")</f>
        <v/>
      </c>
      <c r="AU25" t="inlineStr">
        <is>
          <t>1349564:eng</t>
        </is>
      </c>
      <c r="AV25" t="inlineStr">
        <is>
          <t>254467</t>
        </is>
      </c>
      <c r="AW25" t="inlineStr">
        <is>
          <t>991001977509702656</t>
        </is>
      </c>
      <c r="AX25" t="inlineStr">
        <is>
          <t>991001977509702656</t>
        </is>
      </c>
      <c r="AY25" t="inlineStr">
        <is>
          <t>2269259890002656</t>
        </is>
      </c>
      <c r="AZ25" t="inlineStr">
        <is>
          <t>BOOK</t>
        </is>
      </c>
      <c r="BC25" t="inlineStr">
        <is>
          <t>32285001063592</t>
        </is>
      </c>
      <c r="BD25" t="inlineStr">
        <is>
          <t>893609319</t>
        </is>
      </c>
    </row>
    <row r="26">
      <c r="A26" t="inlineStr">
        <is>
          <t>No</t>
        </is>
      </c>
      <c r="B26" t="inlineStr">
        <is>
          <t>HM101 .N56</t>
        </is>
      </c>
      <c r="C26" t="inlineStr">
        <is>
          <t>0                      HM 0101000N  56</t>
        </is>
      </c>
      <c r="D26" t="inlineStr">
        <is>
          <t>Man's nature and his communities : essays on the dynamics and enigmas of man's personal and social existence.</t>
        </is>
      </c>
      <c r="F26" t="inlineStr">
        <is>
          <t>No</t>
        </is>
      </c>
      <c r="G26" t="inlineStr">
        <is>
          <t>1</t>
        </is>
      </c>
      <c r="H26" t="inlineStr">
        <is>
          <t>No</t>
        </is>
      </c>
      <c r="I26" t="inlineStr">
        <is>
          <t>No</t>
        </is>
      </c>
      <c r="J26" t="inlineStr">
        <is>
          <t>0</t>
        </is>
      </c>
      <c r="K26" t="inlineStr">
        <is>
          <t>Niebuhr, Reinhold, 1892-1971.</t>
        </is>
      </c>
      <c r="L26" t="inlineStr">
        <is>
          <t>New York : Scribner, [1965]</t>
        </is>
      </c>
      <c r="M26" t="inlineStr">
        <is>
          <t>1965</t>
        </is>
      </c>
      <c r="O26" t="inlineStr">
        <is>
          <t>eng</t>
        </is>
      </c>
      <c r="P26" t="inlineStr">
        <is>
          <t>nyu</t>
        </is>
      </c>
      <c r="R26" t="inlineStr">
        <is>
          <t xml:space="preserve">HM </t>
        </is>
      </c>
      <c r="S26" t="n">
        <v>2</v>
      </c>
      <c r="T26" t="n">
        <v>2</v>
      </c>
      <c r="U26" t="inlineStr">
        <is>
          <t>1997-10-06</t>
        </is>
      </c>
      <c r="V26" t="inlineStr">
        <is>
          <t>1997-10-06</t>
        </is>
      </c>
      <c r="W26" t="inlineStr">
        <is>
          <t>1990-02-13</t>
        </is>
      </c>
      <c r="X26" t="inlineStr">
        <is>
          <t>1990-02-13</t>
        </is>
      </c>
      <c r="Y26" t="n">
        <v>1030</v>
      </c>
      <c r="Z26" t="n">
        <v>948</v>
      </c>
      <c r="AA26" t="n">
        <v>997</v>
      </c>
      <c r="AB26" t="n">
        <v>6</v>
      </c>
      <c r="AC26" t="n">
        <v>6</v>
      </c>
      <c r="AD26" t="n">
        <v>43</v>
      </c>
      <c r="AE26" t="n">
        <v>44</v>
      </c>
      <c r="AF26" t="n">
        <v>17</v>
      </c>
      <c r="AG26" t="n">
        <v>18</v>
      </c>
      <c r="AH26" t="n">
        <v>10</v>
      </c>
      <c r="AI26" t="n">
        <v>10</v>
      </c>
      <c r="AJ26" t="n">
        <v>23</v>
      </c>
      <c r="AK26" t="n">
        <v>23</v>
      </c>
      <c r="AL26" t="n">
        <v>5</v>
      </c>
      <c r="AM26" t="n">
        <v>5</v>
      </c>
      <c r="AN26" t="n">
        <v>0</v>
      </c>
      <c r="AO26" t="n">
        <v>0</v>
      </c>
      <c r="AP26" t="inlineStr">
        <is>
          <t>No</t>
        </is>
      </c>
      <c r="AQ26" t="inlineStr">
        <is>
          <t>Yes</t>
        </is>
      </c>
      <c r="AR26">
        <f>HYPERLINK("http://catalog.hathitrust.org/Record/000973119","HathiTrust Record")</f>
        <v/>
      </c>
      <c r="AS26">
        <f>HYPERLINK("https://creighton-primo.hosted.exlibrisgroup.com/primo-explore/search?tab=default_tab&amp;search_scope=EVERYTHING&amp;vid=01CRU&amp;lang=en_US&amp;offset=0&amp;query=any,contains,991001980419702656","Catalog Record")</f>
        <v/>
      </c>
      <c r="AT26">
        <f>HYPERLINK("http://www.worldcat.org/oclc/254615","WorldCat Record")</f>
        <v/>
      </c>
      <c r="AU26" t="inlineStr">
        <is>
          <t>1102414811:eng</t>
        </is>
      </c>
      <c r="AV26" t="inlineStr">
        <is>
          <t>254615</t>
        </is>
      </c>
      <c r="AW26" t="inlineStr">
        <is>
          <t>991001980419702656</t>
        </is>
      </c>
      <c r="AX26" t="inlineStr">
        <is>
          <t>991001980419702656</t>
        </is>
      </c>
      <c r="AY26" t="inlineStr">
        <is>
          <t>2269212150002656</t>
        </is>
      </c>
      <c r="AZ26" t="inlineStr">
        <is>
          <t>BOOK</t>
        </is>
      </c>
      <c r="BC26" t="inlineStr">
        <is>
          <t>32285000042100</t>
        </is>
      </c>
      <c r="BD26" t="inlineStr">
        <is>
          <t>893352094</t>
        </is>
      </c>
    </row>
    <row r="27">
      <c r="A27" t="inlineStr">
        <is>
          <t>No</t>
        </is>
      </c>
      <c r="B27" t="inlineStr">
        <is>
          <t>HM101 .P924</t>
        </is>
      </c>
      <c r="C27" t="inlineStr">
        <is>
          <t>0                      HM 0101000P  924</t>
        </is>
      </c>
      <c r="D27" t="inlineStr">
        <is>
          <t>Protagonists of change : subcultures in development and revolution / Abdul A. Said, editor.</t>
        </is>
      </c>
      <c r="F27" t="inlineStr">
        <is>
          <t>No</t>
        </is>
      </c>
      <c r="G27" t="inlineStr">
        <is>
          <t>1</t>
        </is>
      </c>
      <c r="H27" t="inlineStr">
        <is>
          <t>No</t>
        </is>
      </c>
      <c r="I27" t="inlineStr">
        <is>
          <t>No</t>
        </is>
      </c>
      <c r="J27" t="inlineStr">
        <is>
          <t>0</t>
        </is>
      </c>
      <c r="L27" t="inlineStr">
        <is>
          <t>Englewood Cliffs, N.J. : Prentice-Hall, [1971]</t>
        </is>
      </c>
      <c r="M27" t="inlineStr">
        <is>
          <t>1971</t>
        </is>
      </c>
      <c r="O27" t="inlineStr">
        <is>
          <t>eng</t>
        </is>
      </c>
      <c r="P27" t="inlineStr">
        <is>
          <t>nju</t>
        </is>
      </c>
      <c r="Q27" t="inlineStr">
        <is>
          <t>A Spectrum book</t>
        </is>
      </c>
      <c r="R27" t="inlineStr">
        <is>
          <t xml:space="preserve">HM </t>
        </is>
      </c>
      <c r="S27" t="n">
        <v>3</v>
      </c>
      <c r="T27" t="n">
        <v>3</v>
      </c>
      <c r="U27" t="inlineStr">
        <is>
          <t>2001-03-22</t>
        </is>
      </c>
      <c r="V27" t="inlineStr">
        <is>
          <t>2001-03-22</t>
        </is>
      </c>
      <c r="W27" t="inlineStr">
        <is>
          <t>1993-07-21</t>
        </is>
      </c>
      <c r="X27" t="inlineStr">
        <is>
          <t>1993-07-21</t>
        </is>
      </c>
      <c r="Y27" t="n">
        <v>333</v>
      </c>
      <c r="Z27" t="n">
        <v>260</v>
      </c>
      <c r="AA27" t="n">
        <v>262</v>
      </c>
      <c r="AB27" t="n">
        <v>2</v>
      </c>
      <c r="AC27" t="n">
        <v>2</v>
      </c>
      <c r="AD27" t="n">
        <v>11</v>
      </c>
      <c r="AE27" t="n">
        <v>11</v>
      </c>
      <c r="AF27" t="n">
        <v>4</v>
      </c>
      <c r="AG27" t="n">
        <v>4</v>
      </c>
      <c r="AH27" t="n">
        <v>3</v>
      </c>
      <c r="AI27" t="n">
        <v>3</v>
      </c>
      <c r="AJ27" t="n">
        <v>6</v>
      </c>
      <c r="AK27" t="n">
        <v>6</v>
      </c>
      <c r="AL27" t="n">
        <v>1</v>
      </c>
      <c r="AM27" t="n">
        <v>1</v>
      </c>
      <c r="AN27" t="n">
        <v>0</v>
      </c>
      <c r="AO27" t="n">
        <v>0</v>
      </c>
      <c r="AP27" t="inlineStr">
        <is>
          <t>No</t>
        </is>
      </c>
      <c r="AQ27" t="inlineStr">
        <is>
          <t>Yes</t>
        </is>
      </c>
      <c r="AR27">
        <f>HYPERLINK("http://catalog.hathitrust.org/Record/000973128","HathiTrust Record")</f>
        <v/>
      </c>
      <c r="AS27">
        <f>HYPERLINK("https://creighton-primo.hosted.exlibrisgroup.com/primo-explore/search?tab=default_tab&amp;search_scope=EVERYTHING&amp;vid=01CRU&amp;lang=en_US&amp;offset=0&amp;query=any,contains,991001923389702656","Catalog Record")</f>
        <v/>
      </c>
      <c r="AT27">
        <f>HYPERLINK("http://www.worldcat.org/oclc/245866","WorldCat Record")</f>
        <v/>
      </c>
      <c r="AU27" t="inlineStr">
        <is>
          <t>896350691:eng</t>
        </is>
      </c>
      <c r="AV27" t="inlineStr">
        <is>
          <t>245866</t>
        </is>
      </c>
      <c r="AW27" t="inlineStr">
        <is>
          <t>991001923389702656</t>
        </is>
      </c>
      <c r="AX27" t="inlineStr">
        <is>
          <t>991001923389702656</t>
        </is>
      </c>
      <c r="AY27" t="inlineStr">
        <is>
          <t>2267038570002656</t>
        </is>
      </c>
      <c r="AZ27" t="inlineStr">
        <is>
          <t>BOOK</t>
        </is>
      </c>
      <c r="BB27" t="inlineStr">
        <is>
          <t>9780137313723</t>
        </is>
      </c>
      <c r="BC27" t="inlineStr">
        <is>
          <t>32285001724078</t>
        </is>
      </c>
      <c r="BD27" t="inlineStr">
        <is>
          <t>893879307</t>
        </is>
      </c>
    </row>
    <row r="28">
      <c r="A28" t="inlineStr">
        <is>
          <t>No</t>
        </is>
      </c>
      <c r="B28" t="inlineStr">
        <is>
          <t>HM101 .R425 1993</t>
        </is>
      </c>
      <c r="C28" t="inlineStr">
        <is>
          <t>0                      HM 0101000R  425         1993</t>
        </is>
      </c>
      <c r="D28" t="inlineStr">
        <is>
          <t>Relocating cultural studies : developments in theory and research / edited by Valda Blundell, John Shepherd, and Ian Taylor.</t>
        </is>
      </c>
      <c r="F28" t="inlineStr">
        <is>
          <t>No</t>
        </is>
      </c>
      <c r="G28" t="inlineStr">
        <is>
          <t>1</t>
        </is>
      </c>
      <c r="H28" t="inlineStr">
        <is>
          <t>No</t>
        </is>
      </c>
      <c r="I28" t="inlineStr">
        <is>
          <t>No</t>
        </is>
      </c>
      <c r="J28" t="inlineStr">
        <is>
          <t>0</t>
        </is>
      </c>
      <c r="L28" t="inlineStr">
        <is>
          <t>London ; New York : Routledge, 1993.</t>
        </is>
      </c>
      <c r="M28" t="inlineStr">
        <is>
          <t>1993</t>
        </is>
      </c>
      <c r="O28" t="inlineStr">
        <is>
          <t>eng</t>
        </is>
      </c>
      <c r="P28" t="inlineStr">
        <is>
          <t>enk</t>
        </is>
      </c>
      <c r="Q28" t="inlineStr">
        <is>
          <t>International library of sociology</t>
        </is>
      </c>
      <c r="R28" t="inlineStr">
        <is>
          <t xml:space="preserve">HM </t>
        </is>
      </c>
      <c r="S28" t="n">
        <v>1</v>
      </c>
      <c r="T28" t="n">
        <v>1</v>
      </c>
      <c r="U28" t="inlineStr">
        <is>
          <t>1997-03-06</t>
        </is>
      </c>
      <c r="V28" t="inlineStr">
        <is>
          <t>1997-03-06</t>
        </is>
      </c>
      <c r="W28" t="inlineStr">
        <is>
          <t>1993-09-28</t>
        </is>
      </c>
      <c r="X28" t="inlineStr">
        <is>
          <t>1993-09-28</t>
        </is>
      </c>
      <c r="Y28" t="n">
        <v>308</v>
      </c>
      <c r="Z28" t="n">
        <v>157</v>
      </c>
      <c r="AA28" t="n">
        <v>228</v>
      </c>
      <c r="AB28" t="n">
        <v>2</v>
      </c>
      <c r="AC28" t="n">
        <v>2</v>
      </c>
      <c r="AD28" t="n">
        <v>10</v>
      </c>
      <c r="AE28" t="n">
        <v>11</v>
      </c>
      <c r="AF28" t="n">
        <v>1</v>
      </c>
      <c r="AG28" t="n">
        <v>1</v>
      </c>
      <c r="AH28" t="n">
        <v>3</v>
      </c>
      <c r="AI28" t="n">
        <v>4</v>
      </c>
      <c r="AJ28" t="n">
        <v>6</v>
      </c>
      <c r="AK28" t="n">
        <v>7</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HYPERLINK("https://creighton-primo.hosted.exlibrisgroup.com/primo-explore/search?tab=default_tab&amp;search_scope=EVERYTHING&amp;vid=01CRU&amp;lang=en_US&amp;offset=0&amp;query=any,contains,991002104709702656","Catalog Record")</f>
        <v/>
      </c>
      <c r="AT28">
        <f>HYPERLINK("http://www.worldcat.org/oclc/27011650","WorldCat Record")</f>
        <v/>
      </c>
      <c r="AU28" t="inlineStr">
        <is>
          <t>797211151:eng</t>
        </is>
      </c>
      <c r="AV28" t="inlineStr">
        <is>
          <t>27011650</t>
        </is>
      </c>
      <c r="AW28" t="inlineStr">
        <is>
          <t>991002104709702656</t>
        </is>
      </c>
      <c r="AX28" t="inlineStr">
        <is>
          <t>991002104709702656</t>
        </is>
      </c>
      <c r="AY28" t="inlineStr">
        <is>
          <t>2270153010002656</t>
        </is>
      </c>
      <c r="AZ28" t="inlineStr">
        <is>
          <t>BOOK</t>
        </is>
      </c>
      <c r="BB28" t="inlineStr">
        <is>
          <t>9780415075480</t>
        </is>
      </c>
      <c r="BC28" t="inlineStr">
        <is>
          <t>32285001768257</t>
        </is>
      </c>
      <c r="BD28" t="inlineStr">
        <is>
          <t>893347110</t>
        </is>
      </c>
    </row>
    <row r="29">
      <c r="A29" t="inlineStr">
        <is>
          <t>No</t>
        </is>
      </c>
      <c r="B29" t="inlineStr">
        <is>
          <t>HM101 .R49 1984</t>
        </is>
      </c>
      <c r="C29" t="inlineStr">
        <is>
          <t>0                      HM 0101000R  49          1984</t>
        </is>
      </c>
      <c r="D29" t="inlineStr">
        <is>
          <t>Ideology and art : theories of mass culture from Walter Benjamin to Umberto Eco / Robin Ridless.</t>
        </is>
      </c>
      <c r="F29" t="inlineStr">
        <is>
          <t>No</t>
        </is>
      </c>
      <c r="G29" t="inlineStr">
        <is>
          <t>1</t>
        </is>
      </c>
      <c r="H29" t="inlineStr">
        <is>
          <t>No</t>
        </is>
      </c>
      <c r="I29" t="inlineStr">
        <is>
          <t>No</t>
        </is>
      </c>
      <c r="J29" t="inlineStr">
        <is>
          <t>0</t>
        </is>
      </c>
      <c r="K29" t="inlineStr">
        <is>
          <t>Ridless, Robin, 1950-</t>
        </is>
      </c>
      <c r="L29" t="inlineStr">
        <is>
          <t>New York : P. Lang, c1984.</t>
        </is>
      </c>
      <c r="M29" t="inlineStr">
        <is>
          <t>1984</t>
        </is>
      </c>
      <c r="O29" t="inlineStr">
        <is>
          <t>eng</t>
        </is>
      </c>
      <c r="P29" t="inlineStr">
        <is>
          <t>nyu</t>
        </is>
      </c>
      <c r="Q29" t="inlineStr">
        <is>
          <t>American university studies. Series V, Philosophy ; vol. 6</t>
        </is>
      </c>
      <c r="R29" t="inlineStr">
        <is>
          <t xml:space="preserve">HM </t>
        </is>
      </c>
      <c r="S29" t="n">
        <v>5</v>
      </c>
      <c r="T29" t="n">
        <v>5</v>
      </c>
      <c r="U29" t="inlineStr">
        <is>
          <t>2007-11-18</t>
        </is>
      </c>
      <c r="V29" t="inlineStr">
        <is>
          <t>2007-11-18</t>
        </is>
      </c>
      <c r="W29" t="inlineStr">
        <is>
          <t>1992-08-17</t>
        </is>
      </c>
      <c r="X29" t="inlineStr">
        <is>
          <t>1992-08-17</t>
        </is>
      </c>
      <c r="Y29" t="n">
        <v>293</v>
      </c>
      <c r="Z29" t="n">
        <v>226</v>
      </c>
      <c r="AA29" t="n">
        <v>227</v>
      </c>
      <c r="AB29" t="n">
        <v>3</v>
      </c>
      <c r="AC29" t="n">
        <v>3</v>
      </c>
      <c r="AD29" t="n">
        <v>10</v>
      </c>
      <c r="AE29" t="n">
        <v>10</v>
      </c>
      <c r="AF29" t="n">
        <v>1</v>
      </c>
      <c r="AG29" t="n">
        <v>1</v>
      </c>
      <c r="AH29" t="n">
        <v>4</v>
      </c>
      <c r="AI29" t="n">
        <v>4</v>
      </c>
      <c r="AJ29" t="n">
        <v>6</v>
      </c>
      <c r="AK29" t="n">
        <v>6</v>
      </c>
      <c r="AL29" t="n">
        <v>2</v>
      </c>
      <c r="AM29" t="n">
        <v>2</v>
      </c>
      <c r="AN29" t="n">
        <v>0</v>
      </c>
      <c r="AO29" t="n">
        <v>0</v>
      </c>
      <c r="AP29" t="inlineStr">
        <is>
          <t>No</t>
        </is>
      </c>
      <c r="AQ29" t="inlineStr">
        <is>
          <t>No</t>
        </is>
      </c>
      <c r="AS29">
        <f>HYPERLINK("https://creighton-primo.hosted.exlibrisgroup.com/primo-explore/search?tab=default_tab&amp;search_scope=EVERYTHING&amp;vid=01CRU&amp;lang=en_US&amp;offset=0&amp;query=any,contains,991000388989702656","Catalog Record")</f>
        <v/>
      </c>
      <c r="AT29">
        <f>HYPERLINK("http://www.worldcat.org/oclc/10533308","WorldCat Record")</f>
        <v/>
      </c>
      <c r="AU29" t="inlineStr">
        <is>
          <t>889303942:eng</t>
        </is>
      </c>
      <c r="AV29" t="inlineStr">
        <is>
          <t>10533308</t>
        </is>
      </c>
      <c r="AW29" t="inlineStr">
        <is>
          <t>991000388989702656</t>
        </is>
      </c>
      <c r="AX29" t="inlineStr">
        <is>
          <t>991000388989702656</t>
        </is>
      </c>
      <c r="AY29" t="inlineStr">
        <is>
          <t>2257606430002656</t>
        </is>
      </c>
      <c r="AZ29" t="inlineStr">
        <is>
          <t>BOOK</t>
        </is>
      </c>
      <c r="BB29" t="inlineStr">
        <is>
          <t>9780820401249</t>
        </is>
      </c>
      <c r="BC29" t="inlineStr">
        <is>
          <t>32285001265460</t>
        </is>
      </c>
      <c r="BD29" t="inlineStr">
        <is>
          <t>893502433</t>
        </is>
      </c>
    </row>
    <row r="30">
      <c r="A30" t="inlineStr">
        <is>
          <t>No</t>
        </is>
      </c>
      <c r="B30" t="inlineStr">
        <is>
          <t>HM101 .R57 1971</t>
        </is>
      </c>
      <c r="C30" t="inlineStr">
        <is>
          <t>0                      HM 0101000R  57          1971</t>
        </is>
      </c>
      <c r="D30" t="inlineStr">
        <is>
          <t>Communication of innovations : a cross-cultural approach / [by] Everett M. Rogers with F. Floyd Shoemaker.</t>
        </is>
      </c>
      <c r="F30" t="inlineStr">
        <is>
          <t>No</t>
        </is>
      </c>
      <c r="G30" t="inlineStr">
        <is>
          <t>1</t>
        </is>
      </c>
      <c r="H30" t="inlineStr">
        <is>
          <t>No</t>
        </is>
      </c>
      <c r="I30" t="inlineStr">
        <is>
          <t>No</t>
        </is>
      </c>
      <c r="J30" t="inlineStr">
        <is>
          <t>0</t>
        </is>
      </c>
      <c r="K30" t="inlineStr">
        <is>
          <t>Rogers, Everett M.</t>
        </is>
      </c>
      <c r="L30" t="inlineStr">
        <is>
          <t>New York : Free Press, [1971]</t>
        </is>
      </c>
      <c r="M30" t="inlineStr">
        <is>
          <t>1971</t>
        </is>
      </c>
      <c r="N30" t="inlineStr">
        <is>
          <t>2d ed.</t>
        </is>
      </c>
      <c r="O30" t="inlineStr">
        <is>
          <t>eng</t>
        </is>
      </c>
      <c r="P30" t="inlineStr">
        <is>
          <t>nyu</t>
        </is>
      </c>
      <c r="R30" t="inlineStr">
        <is>
          <t xml:space="preserve">HM </t>
        </is>
      </c>
      <c r="S30" t="n">
        <v>9</v>
      </c>
      <c r="T30" t="n">
        <v>9</v>
      </c>
      <c r="U30" t="inlineStr">
        <is>
          <t>2005-12-08</t>
        </is>
      </c>
      <c r="V30" t="inlineStr">
        <is>
          <t>2005-12-08</t>
        </is>
      </c>
      <c r="W30" t="inlineStr">
        <is>
          <t>1994-02-17</t>
        </is>
      </c>
      <c r="X30" t="inlineStr">
        <is>
          <t>1994-02-17</t>
        </is>
      </c>
      <c r="Y30" t="n">
        <v>901</v>
      </c>
      <c r="Z30" t="n">
        <v>640</v>
      </c>
      <c r="AA30" t="n">
        <v>652</v>
      </c>
      <c r="AB30" t="n">
        <v>10</v>
      </c>
      <c r="AC30" t="n">
        <v>10</v>
      </c>
      <c r="AD30" t="n">
        <v>39</v>
      </c>
      <c r="AE30" t="n">
        <v>39</v>
      </c>
      <c r="AF30" t="n">
        <v>13</v>
      </c>
      <c r="AG30" t="n">
        <v>13</v>
      </c>
      <c r="AH30" t="n">
        <v>6</v>
      </c>
      <c r="AI30" t="n">
        <v>6</v>
      </c>
      <c r="AJ30" t="n">
        <v>20</v>
      </c>
      <c r="AK30" t="n">
        <v>20</v>
      </c>
      <c r="AL30" t="n">
        <v>8</v>
      </c>
      <c r="AM30" t="n">
        <v>8</v>
      </c>
      <c r="AN30" t="n">
        <v>0</v>
      </c>
      <c r="AO30" t="n">
        <v>0</v>
      </c>
      <c r="AP30" t="inlineStr">
        <is>
          <t>No</t>
        </is>
      </c>
      <c r="AQ30" t="inlineStr">
        <is>
          <t>Yes</t>
        </is>
      </c>
      <c r="AR30">
        <f>HYPERLINK("http://catalog.hathitrust.org/Record/000742703","HathiTrust Record")</f>
        <v/>
      </c>
      <c r="AS30">
        <f>HYPERLINK("https://creighton-primo.hosted.exlibrisgroup.com/primo-explore/search?tab=default_tab&amp;search_scope=EVERYTHING&amp;vid=01CRU&amp;lang=en_US&amp;offset=0&amp;query=any,contains,991001222919702656","Catalog Record")</f>
        <v/>
      </c>
      <c r="AT30">
        <f>HYPERLINK("http://www.worldcat.org/oclc/198076","WorldCat Record")</f>
        <v/>
      </c>
      <c r="AU30" t="inlineStr">
        <is>
          <t>1374593:eng</t>
        </is>
      </c>
      <c r="AV30" t="inlineStr">
        <is>
          <t>198076</t>
        </is>
      </c>
      <c r="AW30" t="inlineStr">
        <is>
          <t>991001222919702656</t>
        </is>
      </c>
      <c r="AX30" t="inlineStr">
        <is>
          <t>991001222919702656</t>
        </is>
      </c>
      <c r="AY30" t="inlineStr">
        <is>
          <t>2271270450002656</t>
        </is>
      </c>
      <c r="AZ30" t="inlineStr">
        <is>
          <t>BOOK</t>
        </is>
      </c>
      <c r="BC30" t="inlineStr">
        <is>
          <t>32285001838837</t>
        </is>
      </c>
      <c r="BD30" t="inlineStr">
        <is>
          <t>893426432</t>
        </is>
      </c>
    </row>
    <row r="31">
      <c r="A31" t="inlineStr">
        <is>
          <t>No</t>
        </is>
      </c>
      <c r="B31" t="inlineStr">
        <is>
          <t>HM101 .S4 1957</t>
        </is>
      </c>
      <c r="C31" t="inlineStr">
        <is>
          <t>0                      HM 0101000S  4           1957</t>
        </is>
      </c>
      <c r="D31" t="inlineStr">
        <is>
          <t>Posthistoric man : an inquiry / Roderick Seidenberg.</t>
        </is>
      </c>
      <c r="F31" t="inlineStr">
        <is>
          <t>No</t>
        </is>
      </c>
      <c r="G31" t="inlineStr">
        <is>
          <t>1</t>
        </is>
      </c>
      <c r="H31" t="inlineStr">
        <is>
          <t>No</t>
        </is>
      </c>
      <c r="I31" t="inlineStr">
        <is>
          <t>No</t>
        </is>
      </c>
      <c r="J31" t="inlineStr">
        <is>
          <t>0</t>
        </is>
      </c>
      <c r="K31" t="inlineStr">
        <is>
          <t>Seidenberg, Roderick, 1889-1973.</t>
        </is>
      </c>
      <c r="L31" t="inlineStr">
        <is>
          <t>Boston : Beacon Press, [1957, c1950]</t>
        </is>
      </c>
      <c r="M31" t="inlineStr">
        <is>
          <t>1957</t>
        </is>
      </c>
      <c r="N31" t="inlineStr">
        <is>
          <t>1st Beacon pbk. ed.</t>
        </is>
      </c>
      <c r="O31" t="inlineStr">
        <is>
          <t>eng</t>
        </is>
      </c>
      <c r="P31" t="inlineStr">
        <is>
          <t>mau</t>
        </is>
      </c>
      <c r="Q31" t="inlineStr">
        <is>
          <t>Beacon paperback no. 47</t>
        </is>
      </c>
      <c r="R31" t="inlineStr">
        <is>
          <t xml:space="preserve">HM </t>
        </is>
      </c>
      <c r="S31" t="n">
        <v>1</v>
      </c>
      <c r="T31" t="n">
        <v>1</v>
      </c>
      <c r="U31" t="inlineStr">
        <is>
          <t>2001-07-24</t>
        </is>
      </c>
      <c r="V31" t="inlineStr">
        <is>
          <t>2001-07-24</t>
        </is>
      </c>
      <c r="W31" t="inlineStr">
        <is>
          <t>2001-07-23</t>
        </is>
      </c>
      <c r="X31" t="inlineStr">
        <is>
          <t>2001-07-23</t>
        </is>
      </c>
      <c r="Y31" t="n">
        <v>169</v>
      </c>
      <c r="Z31" t="n">
        <v>142</v>
      </c>
      <c r="AA31" t="n">
        <v>513</v>
      </c>
      <c r="AB31" t="n">
        <v>2</v>
      </c>
      <c r="AC31" t="n">
        <v>5</v>
      </c>
      <c r="AD31" t="n">
        <v>4</v>
      </c>
      <c r="AE31" t="n">
        <v>24</v>
      </c>
      <c r="AF31" t="n">
        <v>2</v>
      </c>
      <c r="AG31" t="n">
        <v>8</v>
      </c>
      <c r="AH31" t="n">
        <v>0</v>
      </c>
      <c r="AI31" t="n">
        <v>6</v>
      </c>
      <c r="AJ31" t="n">
        <v>2</v>
      </c>
      <c r="AK31" t="n">
        <v>11</v>
      </c>
      <c r="AL31" t="n">
        <v>1</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HYPERLINK("https://creighton-primo.hosted.exlibrisgroup.com/primo-explore/search?tab=default_tab&amp;search_scope=EVERYTHING&amp;vid=01CRU&amp;lang=en_US&amp;offset=0&amp;query=any,contains,991003587879702656","Catalog Record")</f>
        <v/>
      </c>
      <c r="AT31">
        <f>HYPERLINK("http://www.worldcat.org/oclc/2439209","WorldCat Record")</f>
        <v/>
      </c>
      <c r="AU31" t="inlineStr">
        <is>
          <t>1349819:eng</t>
        </is>
      </c>
      <c r="AV31" t="inlineStr">
        <is>
          <t>2439209</t>
        </is>
      </c>
      <c r="AW31" t="inlineStr">
        <is>
          <t>991003587879702656</t>
        </is>
      </c>
      <c r="AX31" t="inlineStr">
        <is>
          <t>991003587879702656</t>
        </is>
      </c>
      <c r="AY31" t="inlineStr">
        <is>
          <t>2264221550002656</t>
        </is>
      </c>
      <c r="AZ31" t="inlineStr">
        <is>
          <t>BOOK</t>
        </is>
      </c>
      <c r="BC31" t="inlineStr">
        <is>
          <t>32285004334651</t>
        </is>
      </c>
      <c r="BD31" t="inlineStr">
        <is>
          <t>893524991</t>
        </is>
      </c>
    </row>
    <row r="32">
      <c r="A32" t="inlineStr">
        <is>
          <t>No</t>
        </is>
      </c>
      <c r="B32" t="inlineStr">
        <is>
          <t>HM101 .S62 1998</t>
        </is>
      </c>
      <c r="C32" t="inlineStr">
        <is>
          <t>0                      HM 0101000S  62          1998</t>
        </is>
      </c>
      <c r="D32" t="inlineStr">
        <is>
          <t>Social change : an anthology / [edited by] Roxanne Friedenfels.</t>
        </is>
      </c>
      <c r="F32" t="inlineStr">
        <is>
          <t>No</t>
        </is>
      </c>
      <c r="G32" t="inlineStr">
        <is>
          <t>1</t>
        </is>
      </c>
      <c r="H32" t="inlineStr">
        <is>
          <t>No</t>
        </is>
      </c>
      <c r="I32" t="inlineStr">
        <is>
          <t>No</t>
        </is>
      </c>
      <c r="J32" t="inlineStr">
        <is>
          <t>0</t>
        </is>
      </c>
      <c r="L32" t="inlineStr">
        <is>
          <t>Dix Hills, N.Y. : General Hall, c1998.</t>
        </is>
      </c>
      <c r="M32" t="inlineStr">
        <is>
          <t>1998</t>
        </is>
      </c>
      <c r="O32" t="inlineStr">
        <is>
          <t>eng</t>
        </is>
      </c>
      <c r="P32" t="inlineStr">
        <is>
          <t>nyu</t>
        </is>
      </c>
      <c r="Q32" t="inlineStr">
        <is>
          <t>The Reynolds series in sociology</t>
        </is>
      </c>
      <c r="R32" t="inlineStr">
        <is>
          <t xml:space="preserve">HM </t>
        </is>
      </c>
      <c r="S32" t="n">
        <v>4</v>
      </c>
      <c r="T32" t="n">
        <v>4</v>
      </c>
      <c r="U32" t="inlineStr">
        <is>
          <t>2007-02-22</t>
        </is>
      </c>
      <c r="V32" t="inlineStr">
        <is>
          <t>2007-02-22</t>
        </is>
      </c>
      <c r="W32" t="inlineStr">
        <is>
          <t>1999-01-06</t>
        </is>
      </c>
      <c r="X32" t="inlineStr">
        <is>
          <t>1999-01-06</t>
        </is>
      </c>
      <c r="Y32" t="n">
        <v>25</v>
      </c>
      <c r="Z32" t="n">
        <v>25</v>
      </c>
      <c r="AA32" t="n">
        <v>30</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HYPERLINK("https://creighton-primo.hosted.exlibrisgroup.com/primo-explore/search?tab=default_tab&amp;search_scope=EVERYTHING&amp;vid=01CRU&amp;lang=en_US&amp;offset=0&amp;query=any,contains,991002980099702656","Catalog Record")</f>
        <v/>
      </c>
      <c r="AT32">
        <f>HYPERLINK("http://www.worldcat.org/oclc/40064887","WorldCat Record")</f>
        <v/>
      </c>
      <c r="AU32" t="inlineStr">
        <is>
          <t>5164597277:eng</t>
        </is>
      </c>
      <c r="AV32" t="inlineStr">
        <is>
          <t>40064887</t>
        </is>
      </c>
      <c r="AW32" t="inlineStr">
        <is>
          <t>991002980099702656</t>
        </is>
      </c>
      <c r="AX32" t="inlineStr">
        <is>
          <t>991002980099702656</t>
        </is>
      </c>
      <c r="AY32" t="inlineStr">
        <is>
          <t>2268357800002656</t>
        </is>
      </c>
      <c r="AZ32" t="inlineStr">
        <is>
          <t>BOOK</t>
        </is>
      </c>
      <c r="BB32" t="inlineStr">
        <is>
          <t>9781882289592</t>
        </is>
      </c>
      <c r="BC32" t="inlineStr">
        <is>
          <t>32285003481933</t>
        </is>
      </c>
      <c r="BD32" t="inlineStr">
        <is>
          <t>893610561</t>
        </is>
      </c>
    </row>
    <row r="33">
      <c r="A33" t="inlineStr">
        <is>
          <t>No</t>
        </is>
      </c>
      <c r="B33" t="inlineStr">
        <is>
          <t>HM101 .S713</t>
        </is>
      </c>
      <c r="C33" t="inlineStr">
        <is>
          <t>0                      HM 0101000S  713</t>
        </is>
      </c>
      <c r="D33" t="inlineStr">
        <is>
          <t>The illusions of progress. Translated by John and Charlotte Stanley with a foreword by Robert A. Nisbet and an introd. by John Stanley.</t>
        </is>
      </c>
      <c r="F33" t="inlineStr">
        <is>
          <t>No</t>
        </is>
      </c>
      <c r="G33" t="inlineStr">
        <is>
          <t>1</t>
        </is>
      </c>
      <c r="H33" t="inlineStr">
        <is>
          <t>No</t>
        </is>
      </c>
      <c r="I33" t="inlineStr">
        <is>
          <t>No</t>
        </is>
      </c>
      <c r="J33" t="inlineStr">
        <is>
          <t>0</t>
        </is>
      </c>
      <c r="K33" t="inlineStr">
        <is>
          <t>Sorel, Georges, 1847-1922.</t>
        </is>
      </c>
      <c r="L33" t="inlineStr">
        <is>
          <t>Berkeley, University of California Press, 1969.</t>
        </is>
      </c>
      <c r="M33" t="inlineStr">
        <is>
          <t>1969</t>
        </is>
      </c>
      <c r="O33" t="inlineStr">
        <is>
          <t>eng</t>
        </is>
      </c>
      <c r="P33" t="inlineStr">
        <is>
          <t>cau</t>
        </is>
      </c>
      <c r="R33" t="inlineStr">
        <is>
          <t xml:space="preserve">HM </t>
        </is>
      </c>
      <c r="S33" t="n">
        <v>1</v>
      </c>
      <c r="T33" t="n">
        <v>1</v>
      </c>
      <c r="U33" t="inlineStr">
        <is>
          <t>2010-04-15</t>
        </is>
      </c>
      <c r="V33" t="inlineStr">
        <is>
          <t>2010-04-15</t>
        </is>
      </c>
      <c r="W33" t="inlineStr">
        <is>
          <t>1997-07-29</t>
        </is>
      </c>
      <c r="X33" t="inlineStr">
        <is>
          <t>1997-07-29</t>
        </is>
      </c>
      <c r="Y33" t="n">
        <v>771</v>
      </c>
      <c r="Z33" t="n">
        <v>641</v>
      </c>
      <c r="AA33" t="n">
        <v>657</v>
      </c>
      <c r="AB33" t="n">
        <v>8</v>
      </c>
      <c r="AC33" t="n">
        <v>8</v>
      </c>
      <c r="AD33" t="n">
        <v>32</v>
      </c>
      <c r="AE33" t="n">
        <v>33</v>
      </c>
      <c r="AF33" t="n">
        <v>11</v>
      </c>
      <c r="AG33" t="n">
        <v>12</v>
      </c>
      <c r="AH33" t="n">
        <v>6</v>
      </c>
      <c r="AI33" t="n">
        <v>6</v>
      </c>
      <c r="AJ33" t="n">
        <v>17</v>
      </c>
      <c r="AK33" t="n">
        <v>18</v>
      </c>
      <c r="AL33" t="n">
        <v>6</v>
      </c>
      <c r="AM33" t="n">
        <v>6</v>
      </c>
      <c r="AN33" t="n">
        <v>0</v>
      </c>
      <c r="AO33" t="n">
        <v>0</v>
      </c>
      <c r="AP33" t="inlineStr">
        <is>
          <t>No</t>
        </is>
      </c>
      <c r="AQ33" t="inlineStr">
        <is>
          <t>No</t>
        </is>
      </c>
      <c r="AS33">
        <f>HYPERLINK("https://creighton-primo.hosted.exlibrisgroup.com/primo-explore/search?tab=default_tab&amp;search_scope=EVERYTHING&amp;vid=01CRU&amp;lang=en_US&amp;offset=0&amp;query=any,contains,991000054159702656","Catalog Record")</f>
        <v/>
      </c>
      <c r="AT33">
        <f>HYPERLINK("http://www.worldcat.org/oclc/23216","WorldCat Record")</f>
        <v/>
      </c>
      <c r="AU33" t="inlineStr">
        <is>
          <t>5090681655:eng</t>
        </is>
      </c>
      <c r="AV33" t="inlineStr">
        <is>
          <t>23216</t>
        </is>
      </c>
      <c r="AW33" t="inlineStr">
        <is>
          <t>991000054159702656</t>
        </is>
      </c>
      <c r="AX33" t="inlineStr">
        <is>
          <t>991000054159702656</t>
        </is>
      </c>
      <c r="AY33" t="inlineStr">
        <is>
          <t>2267704830002656</t>
        </is>
      </c>
      <c r="AZ33" t="inlineStr">
        <is>
          <t>BOOK</t>
        </is>
      </c>
      <c r="BC33" t="inlineStr">
        <is>
          <t>32285003015053</t>
        </is>
      </c>
      <c r="BD33" t="inlineStr">
        <is>
          <t>893695543</t>
        </is>
      </c>
    </row>
    <row r="34">
      <c r="A34" t="inlineStr">
        <is>
          <t>No</t>
        </is>
      </c>
      <c r="B34" t="inlineStr">
        <is>
          <t>HM101 .S785</t>
        </is>
      </c>
      <c r="C34" t="inlineStr">
        <is>
          <t>0                      HM 0101000S  785</t>
        </is>
      </c>
      <c r="D34" t="inlineStr">
        <is>
          <t>Theory of culture change; the methodology of multilinear evolution.</t>
        </is>
      </c>
      <c r="F34" t="inlineStr">
        <is>
          <t>No</t>
        </is>
      </c>
      <c r="G34" t="inlineStr">
        <is>
          <t>1</t>
        </is>
      </c>
      <c r="H34" t="inlineStr">
        <is>
          <t>No</t>
        </is>
      </c>
      <c r="I34" t="inlineStr">
        <is>
          <t>No</t>
        </is>
      </c>
      <c r="J34" t="inlineStr">
        <is>
          <t>0</t>
        </is>
      </c>
      <c r="K34" t="inlineStr">
        <is>
          <t>Steward, Julian Haynes, 1902-1972.</t>
        </is>
      </c>
      <c r="L34" t="inlineStr">
        <is>
          <t>Urbana, University of Illinois Press, 1955.</t>
        </is>
      </c>
      <c r="M34" t="inlineStr">
        <is>
          <t>1955</t>
        </is>
      </c>
      <c r="O34" t="inlineStr">
        <is>
          <t>eng</t>
        </is>
      </c>
      <c r="P34" t="inlineStr">
        <is>
          <t>ilu</t>
        </is>
      </c>
      <c r="R34" t="inlineStr">
        <is>
          <t xml:space="preserve">HM </t>
        </is>
      </c>
      <c r="S34" t="n">
        <v>2</v>
      </c>
      <c r="T34" t="n">
        <v>2</v>
      </c>
      <c r="U34" t="inlineStr">
        <is>
          <t>2001-01-11</t>
        </is>
      </c>
      <c r="V34" t="inlineStr">
        <is>
          <t>2001-01-11</t>
        </is>
      </c>
      <c r="W34" t="inlineStr">
        <is>
          <t>1997-07-29</t>
        </is>
      </c>
      <c r="X34" t="inlineStr">
        <is>
          <t>1997-07-29</t>
        </is>
      </c>
      <c r="Y34" t="n">
        <v>614</v>
      </c>
      <c r="Z34" t="n">
        <v>504</v>
      </c>
      <c r="AA34" t="n">
        <v>743</v>
      </c>
      <c r="AB34" t="n">
        <v>4</v>
      </c>
      <c r="AC34" t="n">
        <v>4</v>
      </c>
      <c r="AD34" t="n">
        <v>25</v>
      </c>
      <c r="AE34" t="n">
        <v>34</v>
      </c>
      <c r="AF34" t="n">
        <v>10</v>
      </c>
      <c r="AG34" t="n">
        <v>14</v>
      </c>
      <c r="AH34" t="n">
        <v>5</v>
      </c>
      <c r="AI34" t="n">
        <v>7</v>
      </c>
      <c r="AJ34" t="n">
        <v>16</v>
      </c>
      <c r="AK34" t="n">
        <v>21</v>
      </c>
      <c r="AL34" t="n">
        <v>3</v>
      </c>
      <c r="AM34" t="n">
        <v>3</v>
      </c>
      <c r="AN34" t="n">
        <v>0</v>
      </c>
      <c r="AO34" t="n">
        <v>1</v>
      </c>
      <c r="AP34" t="inlineStr">
        <is>
          <t>No</t>
        </is>
      </c>
      <c r="AQ34" t="inlineStr">
        <is>
          <t>Yes</t>
        </is>
      </c>
      <c r="AR34">
        <f>HYPERLINK("http://catalog.hathitrust.org/Record/001109222","HathiTrust Record")</f>
        <v/>
      </c>
      <c r="AS34">
        <f>HYPERLINK("https://creighton-primo.hosted.exlibrisgroup.com/primo-explore/search?tab=default_tab&amp;search_scope=EVERYTHING&amp;vid=01CRU&amp;lang=en_US&amp;offset=0&amp;query=any,contains,991004327489702656","Catalog Record")</f>
        <v/>
      </c>
      <c r="AT34">
        <f>HYPERLINK("http://www.worldcat.org/oclc/3046259","WorldCat Record")</f>
        <v/>
      </c>
      <c r="AU34" t="inlineStr">
        <is>
          <t>1363688:eng</t>
        </is>
      </c>
      <c r="AV34" t="inlineStr">
        <is>
          <t>3046259</t>
        </is>
      </c>
      <c r="AW34" t="inlineStr">
        <is>
          <t>991004327489702656</t>
        </is>
      </c>
      <c r="AX34" t="inlineStr">
        <is>
          <t>991004327489702656</t>
        </is>
      </c>
      <c r="AY34" t="inlineStr">
        <is>
          <t>2261542590002656</t>
        </is>
      </c>
      <c r="AZ34" t="inlineStr">
        <is>
          <t>BOOK</t>
        </is>
      </c>
      <c r="BC34" t="inlineStr">
        <is>
          <t>32285003015137</t>
        </is>
      </c>
      <c r="BD34" t="inlineStr">
        <is>
          <t>893693807</t>
        </is>
      </c>
    </row>
    <row r="35">
      <c r="A35" t="inlineStr">
        <is>
          <t>No</t>
        </is>
      </c>
      <c r="B35" t="inlineStr">
        <is>
          <t>HM101 .T476 1996</t>
        </is>
      </c>
      <c r="C35" t="inlineStr">
        <is>
          <t>0                      HM 0101000T  476         1996</t>
        </is>
      </c>
      <c r="D35" t="inlineStr">
        <is>
          <t>The theory of institutional design / edited by Robert E. Goodin.</t>
        </is>
      </c>
      <c r="F35" t="inlineStr">
        <is>
          <t>No</t>
        </is>
      </c>
      <c r="G35" t="inlineStr">
        <is>
          <t>1</t>
        </is>
      </c>
      <c r="H35" t="inlineStr">
        <is>
          <t>No</t>
        </is>
      </c>
      <c r="I35" t="inlineStr">
        <is>
          <t>No</t>
        </is>
      </c>
      <c r="J35" t="inlineStr">
        <is>
          <t>0</t>
        </is>
      </c>
      <c r="L35" t="inlineStr">
        <is>
          <t>Cambridge [England] ; New York, NY, USA : Cambridge University Press, 1996.</t>
        </is>
      </c>
      <c r="M35" t="inlineStr">
        <is>
          <t>1996</t>
        </is>
      </c>
      <c r="O35" t="inlineStr">
        <is>
          <t>eng</t>
        </is>
      </c>
      <c r="P35" t="inlineStr">
        <is>
          <t>enk</t>
        </is>
      </c>
      <c r="Q35" t="inlineStr">
        <is>
          <t>Theories of institutional design</t>
        </is>
      </c>
      <c r="R35" t="inlineStr">
        <is>
          <t xml:space="preserve">HM </t>
        </is>
      </c>
      <c r="S35" t="n">
        <v>4</v>
      </c>
      <c r="T35" t="n">
        <v>4</v>
      </c>
      <c r="U35" t="inlineStr">
        <is>
          <t>2005-11-30</t>
        </is>
      </c>
      <c r="V35" t="inlineStr">
        <is>
          <t>2005-11-30</t>
        </is>
      </c>
      <c r="W35" t="inlineStr">
        <is>
          <t>1996-11-14</t>
        </is>
      </c>
      <c r="X35" t="inlineStr">
        <is>
          <t>1996-11-14</t>
        </is>
      </c>
      <c r="Y35" t="n">
        <v>304</v>
      </c>
      <c r="Z35" t="n">
        <v>179</v>
      </c>
      <c r="AA35" t="n">
        <v>205</v>
      </c>
      <c r="AB35" t="n">
        <v>3</v>
      </c>
      <c r="AC35" t="n">
        <v>3</v>
      </c>
      <c r="AD35" t="n">
        <v>8</v>
      </c>
      <c r="AE35" t="n">
        <v>10</v>
      </c>
      <c r="AF35" t="n">
        <v>0</v>
      </c>
      <c r="AG35" t="n">
        <v>0</v>
      </c>
      <c r="AH35" t="n">
        <v>3</v>
      </c>
      <c r="AI35" t="n">
        <v>3</v>
      </c>
      <c r="AJ35" t="n">
        <v>4</v>
      </c>
      <c r="AK35" t="n">
        <v>6</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HYPERLINK("https://creighton-primo.hosted.exlibrisgroup.com/primo-explore/search?tab=default_tab&amp;search_scope=EVERYTHING&amp;vid=01CRU&amp;lang=en_US&amp;offset=0&amp;query=any,contains,991002469339702656","Catalog Record")</f>
        <v/>
      </c>
      <c r="AT35">
        <f>HYPERLINK("http://www.worldcat.org/oclc/32167176","WorldCat Record")</f>
        <v/>
      </c>
      <c r="AU35" t="inlineStr">
        <is>
          <t>55911481:eng</t>
        </is>
      </c>
      <c r="AV35" t="inlineStr">
        <is>
          <t>32167176</t>
        </is>
      </c>
      <c r="AW35" t="inlineStr">
        <is>
          <t>991002469339702656</t>
        </is>
      </c>
      <c r="AX35" t="inlineStr">
        <is>
          <t>991002469339702656</t>
        </is>
      </c>
      <c r="AY35" t="inlineStr">
        <is>
          <t>2264682080002656</t>
        </is>
      </c>
      <c r="AZ35" t="inlineStr">
        <is>
          <t>BOOK</t>
        </is>
      </c>
      <c r="BB35" t="inlineStr">
        <is>
          <t>9780521471190</t>
        </is>
      </c>
      <c r="BC35" t="inlineStr">
        <is>
          <t>32285002373206</t>
        </is>
      </c>
      <c r="BD35" t="inlineStr">
        <is>
          <t>893245219</t>
        </is>
      </c>
    </row>
    <row r="36">
      <c r="A36" t="inlineStr">
        <is>
          <t>No</t>
        </is>
      </c>
      <c r="B36" t="inlineStr">
        <is>
          <t>HM101 .V47 1983</t>
        </is>
      </c>
      <c r="C36" t="inlineStr">
        <is>
          <t>0                      HM 0101000V  47          1983</t>
        </is>
      </c>
      <c r="D36" t="inlineStr">
        <is>
          <t>Human systems are different / by Geoffrey Vickers.</t>
        </is>
      </c>
      <c r="F36" t="inlineStr">
        <is>
          <t>No</t>
        </is>
      </c>
      <c r="G36" t="inlineStr">
        <is>
          <t>1</t>
        </is>
      </c>
      <c r="H36" t="inlineStr">
        <is>
          <t>No</t>
        </is>
      </c>
      <c r="I36" t="inlineStr">
        <is>
          <t>No</t>
        </is>
      </c>
      <c r="J36" t="inlineStr">
        <is>
          <t>0</t>
        </is>
      </c>
      <c r="K36" t="inlineStr">
        <is>
          <t>Vickers, Geoffrey, Sir, 1894-1982.</t>
        </is>
      </c>
      <c r="L36" t="inlineStr">
        <is>
          <t>London ; New York : Harper &amp; Row, c1983.</t>
        </is>
      </c>
      <c r="M36" t="inlineStr">
        <is>
          <t>1983</t>
        </is>
      </c>
      <c r="O36" t="inlineStr">
        <is>
          <t>eng</t>
        </is>
      </c>
      <c r="P36" t="inlineStr">
        <is>
          <t>enk</t>
        </is>
      </c>
      <c r="R36" t="inlineStr">
        <is>
          <t xml:space="preserve">HM </t>
        </is>
      </c>
      <c r="S36" t="n">
        <v>1</v>
      </c>
      <c r="T36" t="n">
        <v>1</v>
      </c>
      <c r="U36" t="inlineStr">
        <is>
          <t>2001-01-11</t>
        </is>
      </c>
      <c r="V36" t="inlineStr">
        <is>
          <t>2001-01-11</t>
        </is>
      </c>
      <c r="W36" t="inlineStr">
        <is>
          <t>1992-08-17</t>
        </is>
      </c>
      <c r="X36" t="inlineStr">
        <is>
          <t>1992-08-17</t>
        </is>
      </c>
      <c r="Y36" t="n">
        <v>187</v>
      </c>
      <c r="Z36" t="n">
        <v>112</v>
      </c>
      <c r="AA36" t="n">
        <v>119</v>
      </c>
      <c r="AB36" t="n">
        <v>1</v>
      </c>
      <c r="AC36" t="n">
        <v>1</v>
      </c>
      <c r="AD36" t="n">
        <v>2</v>
      </c>
      <c r="AE36" t="n">
        <v>2</v>
      </c>
      <c r="AF36" t="n">
        <v>2</v>
      </c>
      <c r="AG36" t="n">
        <v>2</v>
      </c>
      <c r="AH36" t="n">
        <v>0</v>
      </c>
      <c r="AI36" t="n">
        <v>0</v>
      </c>
      <c r="AJ36" t="n">
        <v>1</v>
      </c>
      <c r="AK36" t="n">
        <v>1</v>
      </c>
      <c r="AL36" t="n">
        <v>0</v>
      </c>
      <c r="AM36" t="n">
        <v>0</v>
      </c>
      <c r="AN36" t="n">
        <v>0</v>
      </c>
      <c r="AO36" t="n">
        <v>0</v>
      </c>
      <c r="AP36" t="inlineStr">
        <is>
          <t>No</t>
        </is>
      </c>
      <c r="AQ36" t="inlineStr">
        <is>
          <t>Yes</t>
        </is>
      </c>
      <c r="AR36">
        <f>HYPERLINK("http://catalog.hathitrust.org/Record/002727612","HathiTrust Record")</f>
        <v/>
      </c>
      <c r="AS36">
        <f>HYPERLINK("https://creighton-primo.hosted.exlibrisgroup.com/primo-explore/search?tab=default_tab&amp;search_scope=EVERYTHING&amp;vid=01CRU&amp;lang=en_US&amp;offset=0&amp;query=any,contains,991000403119702656","Catalog Record")</f>
        <v/>
      </c>
      <c r="AT36">
        <f>HYPERLINK("http://www.worldcat.org/oclc/10640669","WorldCat Record")</f>
        <v/>
      </c>
      <c r="AU36" t="inlineStr">
        <is>
          <t>3354318:eng</t>
        </is>
      </c>
      <c r="AV36" t="inlineStr">
        <is>
          <t>10640669</t>
        </is>
      </c>
      <c r="AW36" t="inlineStr">
        <is>
          <t>991000403119702656</t>
        </is>
      </c>
      <c r="AX36" t="inlineStr">
        <is>
          <t>991000403119702656</t>
        </is>
      </c>
      <c r="AY36" t="inlineStr">
        <is>
          <t>2258850990002656</t>
        </is>
      </c>
      <c r="AZ36" t="inlineStr">
        <is>
          <t>BOOK</t>
        </is>
      </c>
      <c r="BB36" t="inlineStr">
        <is>
          <t>9780063182622</t>
        </is>
      </c>
      <c r="BC36" t="inlineStr">
        <is>
          <t>32285001265528</t>
        </is>
      </c>
      <c r="BD36" t="inlineStr">
        <is>
          <t>893413318</t>
        </is>
      </c>
    </row>
    <row r="37">
      <c r="A37" t="inlineStr">
        <is>
          <t>No</t>
        </is>
      </c>
      <c r="B37" t="inlineStr">
        <is>
          <t>HM101 .Z285</t>
        </is>
      </c>
      <c r="C37" t="inlineStr">
        <is>
          <t>0                      HM 0101000Z  285</t>
        </is>
      </c>
      <c r="D37" t="inlineStr">
        <is>
          <t>Processes and phenomena of social change [by] Gerald Zaltman and [others]</t>
        </is>
      </c>
      <c r="F37" t="inlineStr">
        <is>
          <t>No</t>
        </is>
      </c>
      <c r="G37" t="inlineStr">
        <is>
          <t>1</t>
        </is>
      </c>
      <c r="H37" t="inlineStr">
        <is>
          <t>No</t>
        </is>
      </c>
      <c r="I37" t="inlineStr">
        <is>
          <t>No</t>
        </is>
      </c>
      <c r="J37" t="inlineStr">
        <is>
          <t>0</t>
        </is>
      </c>
      <c r="K37" t="inlineStr">
        <is>
          <t>Zaltman, Gerald.</t>
        </is>
      </c>
      <c r="L37" t="inlineStr">
        <is>
          <t>New York, J. Wiley [1973]</t>
        </is>
      </c>
      <c r="M37" t="inlineStr">
        <is>
          <t>1973</t>
        </is>
      </c>
      <c r="O37" t="inlineStr">
        <is>
          <t>eng</t>
        </is>
      </c>
      <c r="P37" t="inlineStr">
        <is>
          <t>nyu</t>
        </is>
      </c>
      <c r="R37" t="inlineStr">
        <is>
          <t xml:space="preserve">HM </t>
        </is>
      </c>
      <c r="S37" t="n">
        <v>3</v>
      </c>
      <c r="T37" t="n">
        <v>3</v>
      </c>
      <c r="U37" t="inlineStr">
        <is>
          <t>2007-12-05</t>
        </is>
      </c>
      <c r="V37" t="inlineStr">
        <is>
          <t>2007-12-05</t>
        </is>
      </c>
      <c r="W37" t="inlineStr">
        <is>
          <t>1997-07-29</t>
        </is>
      </c>
      <c r="X37" t="inlineStr">
        <is>
          <t>1997-07-29</t>
        </is>
      </c>
      <c r="Y37" t="n">
        <v>487</v>
      </c>
      <c r="Z37" t="n">
        <v>375</v>
      </c>
      <c r="AA37" t="n">
        <v>410</v>
      </c>
      <c r="AB37" t="n">
        <v>4</v>
      </c>
      <c r="AC37" t="n">
        <v>4</v>
      </c>
      <c r="AD37" t="n">
        <v>23</v>
      </c>
      <c r="AE37" t="n">
        <v>24</v>
      </c>
      <c r="AF37" t="n">
        <v>9</v>
      </c>
      <c r="AG37" t="n">
        <v>9</v>
      </c>
      <c r="AH37" t="n">
        <v>4</v>
      </c>
      <c r="AI37" t="n">
        <v>5</v>
      </c>
      <c r="AJ37" t="n">
        <v>11</v>
      </c>
      <c r="AK37" t="n">
        <v>12</v>
      </c>
      <c r="AL37" t="n">
        <v>3</v>
      </c>
      <c r="AM37" t="n">
        <v>3</v>
      </c>
      <c r="AN37" t="n">
        <v>0</v>
      </c>
      <c r="AO37" t="n">
        <v>0</v>
      </c>
      <c r="AP37" t="inlineStr">
        <is>
          <t>No</t>
        </is>
      </c>
      <c r="AQ37" t="inlineStr">
        <is>
          <t>Yes</t>
        </is>
      </c>
      <c r="AR37">
        <f>HYPERLINK("http://catalog.hathitrust.org/Record/001109224","HathiTrust Record")</f>
        <v/>
      </c>
      <c r="AS37">
        <f>HYPERLINK("https://creighton-primo.hosted.exlibrisgroup.com/primo-explore/search?tab=default_tab&amp;search_scope=EVERYTHING&amp;vid=01CRU&amp;lang=en_US&amp;offset=0&amp;query=any,contains,991002916589702656","Catalog Record")</f>
        <v/>
      </c>
      <c r="AT37">
        <f>HYPERLINK("http://www.worldcat.org/oclc/524219","WorldCat Record")</f>
        <v/>
      </c>
      <c r="AU37" t="inlineStr">
        <is>
          <t>490474:eng</t>
        </is>
      </c>
      <c r="AV37" t="inlineStr">
        <is>
          <t>524219</t>
        </is>
      </c>
      <c r="AW37" t="inlineStr">
        <is>
          <t>991002916589702656</t>
        </is>
      </c>
      <c r="AX37" t="inlineStr">
        <is>
          <t>991002916589702656</t>
        </is>
      </c>
      <c r="AY37" t="inlineStr">
        <is>
          <t>2261306060002656</t>
        </is>
      </c>
      <c r="AZ37" t="inlineStr">
        <is>
          <t>BOOK</t>
        </is>
      </c>
      <c r="BB37" t="inlineStr">
        <is>
          <t>9780471981305</t>
        </is>
      </c>
      <c r="BC37" t="inlineStr">
        <is>
          <t>32285003015145</t>
        </is>
      </c>
      <c r="BD37" t="inlineStr">
        <is>
          <t>893622899</t>
        </is>
      </c>
    </row>
    <row r="38">
      <c r="A38" t="inlineStr">
        <is>
          <t>No</t>
        </is>
      </c>
      <c r="B38" t="inlineStr">
        <is>
          <t>HM1027.U6 K82 2008</t>
        </is>
      </c>
      <c r="C38" t="inlineStr">
        <is>
          <t>0                      HM 1027000U  6                  K  82          2008</t>
        </is>
      </c>
      <c r="D38" t="inlineStr">
        <is>
          <t>Cultural movements and collective memory : Christopher Columbus and the rewriting of the national origin myth / Timothy Kubal.</t>
        </is>
      </c>
      <c r="F38" t="inlineStr">
        <is>
          <t>No</t>
        </is>
      </c>
      <c r="G38" t="inlineStr">
        <is>
          <t>1</t>
        </is>
      </c>
      <c r="H38" t="inlineStr">
        <is>
          <t>No</t>
        </is>
      </c>
      <c r="I38" t="inlineStr">
        <is>
          <t>No</t>
        </is>
      </c>
      <c r="J38" t="inlineStr">
        <is>
          <t>0</t>
        </is>
      </c>
      <c r="K38" t="inlineStr">
        <is>
          <t>Kubal, Timothy.</t>
        </is>
      </c>
      <c r="L38" t="inlineStr">
        <is>
          <t>New York, NY : Palgrave Macmillan, 2008.</t>
        </is>
      </c>
      <c r="M38" t="inlineStr">
        <is>
          <t>2008</t>
        </is>
      </c>
      <c r="N38" t="inlineStr">
        <is>
          <t>1st ed.</t>
        </is>
      </c>
      <c r="O38" t="inlineStr">
        <is>
          <t>eng</t>
        </is>
      </c>
      <c r="P38" t="inlineStr">
        <is>
          <t>nyu</t>
        </is>
      </c>
      <c r="R38" t="inlineStr">
        <is>
          <t xml:space="preserve">HM </t>
        </is>
      </c>
      <c r="S38" t="n">
        <v>3</v>
      </c>
      <c r="T38" t="n">
        <v>3</v>
      </c>
      <c r="U38" t="inlineStr">
        <is>
          <t>2010-04-15</t>
        </is>
      </c>
      <c r="V38" t="inlineStr">
        <is>
          <t>2010-04-15</t>
        </is>
      </c>
      <c r="W38" t="inlineStr">
        <is>
          <t>2010-04-15</t>
        </is>
      </c>
      <c r="X38" t="inlineStr">
        <is>
          <t>2010-04-15</t>
        </is>
      </c>
      <c r="Y38" t="n">
        <v>228</v>
      </c>
      <c r="Z38" t="n">
        <v>182</v>
      </c>
      <c r="AA38" t="n">
        <v>215</v>
      </c>
      <c r="AB38" t="n">
        <v>2</v>
      </c>
      <c r="AC38" t="n">
        <v>2</v>
      </c>
      <c r="AD38" t="n">
        <v>11</v>
      </c>
      <c r="AE38" t="n">
        <v>12</v>
      </c>
      <c r="AF38" t="n">
        <v>5</v>
      </c>
      <c r="AG38" t="n">
        <v>6</v>
      </c>
      <c r="AH38" t="n">
        <v>4</v>
      </c>
      <c r="AI38" t="n">
        <v>4</v>
      </c>
      <c r="AJ38" t="n">
        <v>5</v>
      </c>
      <c r="AK38" t="n">
        <v>6</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HYPERLINK("https://creighton-primo.hosted.exlibrisgroup.com/primo-explore/search?tab=default_tab&amp;search_scope=EVERYTHING&amp;vid=01CRU&amp;lang=en_US&amp;offset=0&amp;query=any,contains,991005383519702656","Catalog Record")</f>
        <v/>
      </c>
      <c r="AT38">
        <f>HYPERLINK("http://www.worldcat.org/oclc/187417721","WorldCat Record")</f>
        <v/>
      </c>
      <c r="AU38" t="inlineStr">
        <is>
          <t>200194940:eng</t>
        </is>
      </c>
      <c r="AV38" t="inlineStr">
        <is>
          <t>187417721</t>
        </is>
      </c>
      <c r="AW38" t="inlineStr">
        <is>
          <t>991005383519702656</t>
        </is>
      </c>
      <c r="AX38" t="inlineStr">
        <is>
          <t>991005383519702656</t>
        </is>
      </c>
      <c r="AY38" t="inlineStr">
        <is>
          <t>2258466850002656</t>
        </is>
      </c>
      <c r="AZ38" t="inlineStr">
        <is>
          <t>BOOK</t>
        </is>
      </c>
      <c r="BB38" t="inlineStr">
        <is>
          <t>9781403975775</t>
        </is>
      </c>
      <c r="BC38" t="inlineStr">
        <is>
          <t>32285005564934</t>
        </is>
      </c>
      <c r="BD38" t="inlineStr">
        <is>
          <t>893714006</t>
        </is>
      </c>
    </row>
    <row r="39">
      <c r="A39" t="inlineStr">
        <is>
          <t>No</t>
        </is>
      </c>
      <c r="B39" t="inlineStr">
        <is>
          <t>HM1027.U6 L43 2007</t>
        </is>
      </c>
      <c r="C39" t="inlineStr">
        <is>
          <t>0                      HM 1027000U  6                  L  43          2007</t>
        </is>
      </c>
      <c r="D39" t="inlineStr">
        <is>
          <t>Iconic events : media, politics, and power in retelling history / Patricia Leavy.</t>
        </is>
      </c>
      <c r="F39" t="inlineStr">
        <is>
          <t>No</t>
        </is>
      </c>
      <c r="G39" t="inlineStr">
        <is>
          <t>1</t>
        </is>
      </c>
      <c r="H39" t="inlineStr">
        <is>
          <t>No</t>
        </is>
      </c>
      <c r="I39" t="inlineStr">
        <is>
          <t>No</t>
        </is>
      </c>
      <c r="J39" t="inlineStr">
        <is>
          <t>0</t>
        </is>
      </c>
      <c r="K39" t="inlineStr">
        <is>
          <t>Leavy, Patricia, 1975-</t>
        </is>
      </c>
      <c r="L39" t="inlineStr">
        <is>
          <t>Lanham, MD : Lexington Books, c2007.</t>
        </is>
      </c>
      <c r="M39" t="inlineStr">
        <is>
          <t>2007</t>
        </is>
      </c>
      <c r="O39" t="inlineStr">
        <is>
          <t>eng</t>
        </is>
      </c>
      <c r="P39" t="inlineStr">
        <is>
          <t>mdu</t>
        </is>
      </c>
      <c r="R39" t="inlineStr">
        <is>
          <t xml:space="preserve">HM </t>
        </is>
      </c>
      <c r="S39" t="n">
        <v>1</v>
      </c>
      <c r="T39" t="n">
        <v>1</v>
      </c>
      <c r="U39" t="inlineStr">
        <is>
          <t>2008-11-19</t>
        </is>
      </c>
      <c r="V39" t="inlineStr">
        <is>
          <t>2008-11-19</t>
        </is>
      </c>
      <c r="W39" t="inlineStr">
        <is>
          <t>2008-11-19</t>
        </is>
      </c>
      <c r="X39" t="inlineStr">
        <is>
          <t>2008-11-19</t>
        </is>
      </c>
      <c r="Y39" t="n">
        <v>330</v>
      </c>
      <c r="Z39" t="n">
        <v>262</v>
      </c>
      <c r="AA39" t="n">
        <v>283</v>
      </c>
      <c r="AB39" t="n">
        <v>2</v>
      </c>
      <c r="AC39" t="n">
        <v>2</v>
      </c>
      <c r="AD39" t="n">
        <v>14</v>
      </c>
      <c r="AE39" t="n">
        <v>15</v>
      </c>
      <c r="AF39" t="n">
        <v>7</v>
      </c>
      <c r="AG39" t="n">
        <v>8</v>
      </c>
      <c r="AH39" t="n">
        <v>4</v>
      </c>
      <c r="AI39" t="n">
        <v>5</v>
      </c>
      <c r="AJ39" t="n">
        <v>5</v>
      </c>
      <c r="AK39" t="n">
        <v>5</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HYPERLINK("https://creighton-primo.hosted.exlibrisgroup.com/primo-explore/search?tab=default_tab&amp;search_scope=EVERYTHING&amp;vid=01CRU&amp;lang=en_US&amp;offset=0&amp;query=any,contains,991005275849702656","Catalog Record")</f>
        <v/>
      </c>
      <c r="AT39">
        <f>HYPERLINK("http://www.worldcat.org/oclc/85018718","WorldCat Record")</f>
        <v/>
      </c>
      <c r="AU39" t="inlineStr">
        <is>
          <t>1047321007:eng</t>
        </is>
      </c>
      <c r="AV39" t="inlineStr">
        <is>
          <t>85018718</t>
        </is>
      </c>
      <c r="AW39" t="inlineStr">
        <is>
          <t>991005275849702656</t>
        </is>
      </c>
      <c r="AX39" t="inlineStr">
        <is>
          <t>991005275849702656</t>
        </is>
      </c>
      <c r="AY39" t="inlineStr">
        <is>
          <t>2268413990002656</t>
        </is>
      </c>
      <c r="AZ39" t="inlineStr">
        <is>
          <t>BOOK</t>
        </is>
      </c>
      <c r="BB39" t="inlineStr">
        <is>
          <t>9780739115190</t>
        </is>
      </c>
      <c r="BC39" t="inlineStr">
        <is>
          <t>32285005467930</t>
        </is>
      </c>
      <c r="BD39" t="inlineStr">
        <is>
          <t>893789725</t>
        </is>
      </c>
    </row>
    <row r="40">
      <c r="A40" t="inlineStr">
        <is>
          <t>No</t>
        </is>
      </c>
      <c r="B40" t="inlineStr">
        <is>
          <t>HM1031.M55 B57 2004</t>
        </is>
      </c>
      <c r="C40" t="inlineStr">
        <is>
          <t>0                      HM 1031000M  55                 B  57          2004</t>
        </is>
      </c>
      <c r="D40" t="inlineStr">
        <is>
          <t>The man who shocked the world : the life and legacy of Stanley Milgram / Thomas Blass.</t>
        </is>
      </c>
      <c r="F40" t="inlineStr">
        <is>
          <t>No</t>
        </is>
      </c>
      <c r="G40" t="inlineStr">
        <is>
          <t>1</t>
        </is>
      </c>
      <c r="H40" t="inlineStr">
        <is>
          <t>No</t>
        </is>
      </c>
      <c r="I40" t="inlineStr">
        <is>
          <t>No</t>
        </is>
      </c>
      <c r="J40" t="inlineStr">
        <is>
          <t>0</t>
        </is>
      </c>
      <c r="K40" t="inlineStr">
        <is>
          <t>Blass, Thomas.</t>
        </is>
      </c>
      <c r="L40" t="inlineStr">
        <is>
          <t>New York : Basic Books, c2004.</t>
        </is>
      </c>
      <c r="M40" t="inlineStr">
        <is>
          <t>2004</t>
        </is>
      </c>
      <c r="N40" t="inlineStr">
        <is>
          <t>1st ed.</t>
        </is>
      </c>
      <c r="O40" t="inlineStr">
        <is>
          <t>eng</t>
        </is>
      </c>
      <c r="P40" t="inlineStr">
        <is>
          <t>nyu</t>
        </is>
      </c>
      <c r="R40" t="inlineStr">
        <is>
          <t xml:space="preserve">HM </t>
        </is>
      </c>
      <c r="S40" t="n">
        <v>8</v>
      </c>
      <c r="T40" t="n">
        <v>8</v>
      </c>
      <c r="U40" t="inlineStr">
        <is>
          <t>2009-10-03</t>
        </is>
      </c>
      <c r="V40" t="inlineStr">
        <is>
          <t>2009-10-03</t>
        </is>
      </c>
      <c r="W40" t="inlineStr">
        <is>
          <t>2005-01-27</t>
        </is>
      </c>
      <c r="X40" t="inlineStr">
        <is>
          <t>2005-01-27</t>
        </is>
      </c>
      <c r="Y40" t="n">
        <v>1147</v>
      </c>
      <c r="Z40" t="n">
        <v>1003</v>
      </c>
      <c r="AA40" t="n">
        <v>1541</v>
      </c>
      <c r="AB40" t="n">
        <v>11</v>
      </c>
      <c r="AC40" t="n">
        <v>13</v>
      </c>
      <c r="AD40" t="n">
        <v>43</v>
      </c>
      <c r="AE40" t="n">
        <v>52</v>
      </c>
      <c r="AF40" t="n">
        <v>19</v>
      </c>
      <c r="AG40" t="n">
        <v>20</v>
      </c>
      <c r="AH40" t="n">
        <v>8</v>
      </c>
      <c r="AI40" t="n">
        <v>10</v>
      </c>
      <c r="AJ40" t="n">
        <v>18</v>
      </c>
      <c r="AK40" t="n">
        <v>21</v>
      </c>
      <c r="AL40" t="n">
        <v>9</v>
      </c>
      <c r="AM40" t="n">
        <v>11</v>
      </c>
      <c r="AN40" t="n">
        <v>0</v>
      </c>
      <c r="AO40" t="n">
        <v>1</v>
      </c>
      <c r="AP40" t="inlineStr">
        <is>
          <t>No</t>
        </is>
      </c>
      <c r="AQ40" t="inlineStr">
        <is>
          <t>No</t>
        </is>
      </c>
      <c r="AS40">
        <f>HYPERLINK("https://creighton-primo.hosted.exlibrisgroup.com/primo-explore/search?tab=default_tab&amp;search_scope=EVERYTHING&amp;vid=01CRU&amp;lang=en_US&amp;offset=0&amp;query=any,contains,991004300949702656","Catalog Record")</f>
        <v/>
      </c>
      <c r="AT40">
        <f>HYPERLINK("http://www.worldcat.org/oclc/53398166","WorldCat Record")</f>
        <v/>
      </c>
      <c r="AU40" t="inlineStr">
        <is>
          <t>56420239:eng</t>
        </is>
      </c>
      <c r="AV40" t="inlineStr">
        <is>
          <t>53398166</t>
        </is>
      </c>
      <c r="AW40" t="inlineStr">
        <is>
          <t>991004300949702656</t>
        </is>
      </c>
      <c r="AX40" t="inlineStr">
        <is>
          <t>991004300949702656</t>
        </is>
      </c>
      <c r="AY40" t="inlineStr">
        <is>
          <t>2271832270002656</t>
        </is>
      </c>
      <c r="AZ40" t="inlineStr">
        <is>
          <t>BOOK</t>
        </is>
      </c>
      <c r="BB40" t="inlineStr">
        <is>
          <t>9780738203997</t>
        </is>
      </c>
      <c r="BC40" t="inlineStr">
        <is>
          <t>32285005023584</t>
        </is>
      </c>
      <c r="BD40" t="inlineStr">
        <is>
          <t>893599671</t>
        </is>
      </c>
    </row>
    <row r="41">
      <c r="A41" t="inlineStr">
        <is>
          <t>No</t>
        </is>
      </c>
      <c r="B41" t="inlineStr">
        <is>
          <t>HM1033 .C95 2000</t>
        </is>
      </c>
      <c r="C41" t="inlineStr">
        <is>
          <t>0                      HM 1033000C  95          2000</t>
        </is>
      </c>
      <c r="D41" t="inlineStr">
        <is>
          <t>The things we do : using the lessons of Bernard and Darwin to understand the what, how, and why of our behavior / Gary Cziko.</t>
        </is>
      </c>
      <c r="F41" t="inlineStr">
        <is>
          <t>No</t>
        </is>
      </c>
      <c r="G41" t="inlineStr">
        <is>
          <t>1</t>
        </is>
      </c>
      <c r="H41" t="inlineStr">
        <is>
          <t>No</t>
        </is>
      </c>
      <c r="I41" t="inlineStr">
        <is>
          <t>No</t>
        </is>
      </c>
      <c r="J41" t="inlineStr">
        <is>
          <t>0</t>
        </is>
      </c>
      <c r="K41" t="inlineStr">
        <is>
          <t>Cziko, Gary.</t>
        </is>
      </c>
      <c r="L41" t="inlineStr">
        <is>
          <t>Cambridge, Mass. : MIT Press, c2000.</t>
        </is>
      </c>
      <c r="M41" t="inlineStr">
        <is>
          <t>2000</t>
        </is>
      </c>
      <c r="O41" t="inlineStr">
        <is>
          <t>eng</t>
        </is>
      </c>
      <c r="P41" t="inlineStr">
        <is>
          <t>mau</t>
        </is>
      </c>
      <c r="R41" t="inlineStr">
        <is>
          <t xml:space="preserve">HM </t>
        </is>
      </c>
      <c r="S41" t="n">
        <v>3</v>
      </c>
      <c r="T41" t="n">
        <v>3</v>
      </c>
      <c r="U41" t="inlineStr">
        <is>
          <t>2009-02-19</t>
        </is>
      </c>
      <c r="V41" t="inlineStr">
        <is>
          <t>2009-02-19</t>
        </is>
      </c>
      <c r="W41" t="inlineStr">
        <is>
          <t>2002-10-03</t>
        </is>
      </c>
      <c r="X41" t="inlineStr">
        <is>
          <t>2002-10-03</t>
        </is>
      </c>
      <c r="Y41" t="n">
        <v>466</v>
      </c>
      <c r="Z41" t="n">
        <v>382</v>
      </c>
      <c r="AA41" t="n">
        <v>459</v>
      </c>
      <c r="AB41" t="n">
        <v>3</v>
      </c>
      <c r="AC41" t="n">
        <v>3</v>
      </c>
      <c r="AD41" t="n">
        <v>21</v>
      </c>
      <c r="AE41" t="n">
        <v>22</v>
      </c>
      <c r="AF41" t="n">
        <v>5</v>
      </c>
      <c r="AG41" t="n">
        <v>5</v>
      </c>
      <c r="AH41" t="n">
        <v>6</v>
      </c>
      <c r="AI41" t="n">
        <v>7</v>
      </c>
      <c r="AJ41" t="n">
        <v>12</v>
      </c>
      <c r="AK41" t="n">
        <v>13</v>
      </c>
      <c r="AL41" t="n">
        <v>2</v>
      </c>
      <c r="AM41" t="n">
        <v>2</v>
      </c>
      <c r="AN41" t="n">
        <v>0</v>
      </c>
      <c r="AO41" t="n">
        <v>0</v>
      </c>
      <c r="AP41" t="inlineStr">
        <is>
          <t>No</t>
        </is>
      </c>
      <c r="AQ41" t="inlineStr">
        <is>
          <t>No</t>
        </is>
      </c>
      <c r="AS41">
        <f>HYPERLINK("https://creighton-primo.hosted.exlibrisgroup.com/primo-explore/search?tab=default_tab&amp;search_scope=EVERYTHING&amp;vid=01CRU&amp;lang=en_US&amp;offset=0&amp;query=any,contains,991003883029702656","Catalog Record")</f>
        <v/>
      </c>
      <c r="AT41">
        <f>HYPERLINK("http://www.worldcat.org/oclc/42680409","WorldCat Record")</f>
        <v/>
      </c>
      <c r="AU41" t="inlineStr">
        <is>
          <t>993547:eng</t>
        </is>
      </c>
      <c r="AV41" t="inlineStr">
        <is>
          <t>42680409</t>
        </is>
      </c>
      <c r="AW41" t="inlineStr">
        <is>
          <t>991003883029702656</t>
        </is>
      </c>
      <c r="AX41" t="inlineStr">
        <is>
          <t>991003883029702656</t>
        </is>
      </c>
      <c r="AY41" t="inlineStr">
        <is>
          <t>2262002680002656</t>
        </is>
      </c>
      <c r="AZ41" t="inlineStr">
        <is>
          <t>BOOK</t>
        </is>
      </c>
      <c r="BB41" t="inlineStr">
        <is>
          <t>9780262032773</t>
        </is>
      </c>
      <c r="BC41" t="inlineStr">
        <is>
          <t>32285004651740</t>
        </is>
      </c>
      <c r="BD41" t="inlineStr">
        <is>
          <t>893800285</t>
        </is>
      </c>
    </row>
    <row r="42">
      <c r="A42" t="inlineStr">
        <is>
          <t>No</t>
        </is>
      </c>
      <c r="B42" t="inlineStr">
        <is>
          <t>HM1033 .J64 2000</t>
        </is>
      </c>
      <c r="C42" t="inlineStr">
        <is>
          <t>0                      HM 1033000J  64          2000</t>
        </is>
      </c>
      <c r="D42" t="inlineStr">
        <is>
          <t>Social psychology and modernity / Thomas Johansson.</t>
        </is>
      </c>
      <c r="F42" t="inlineStr">
        <is>
          <t>No</t>
        </is>
      </c>
      <c r="G42" t="inlineStr">
        <is>
          <t>1</t>
        </is>
      </c>
      <c r="H42" t="inlineStr">
        <is>
          <t>No</t>
        </is>
      </c>
      <c r="I42" t="inlineStr">
        <is>
          <t>No</t>
        </is>
      </c>
      <c r="J42" t="inlineStr">
        <is>
          <t>0</t>
        </is>
      </c>
      <c r="K42" t="inlineStr">
        <is>
          <t>Johansson, Thomas, 1959-</t>
        </is>
      </c>
      <c r="L42" t="inlineStr">
        <is>
          <t>Buckingham [England] ; Philadelphia : Open University Press, 2000.</t>
        </is>
      </c>
      <c r="M42" t="inlineStr">
        <is>
          <t>2000</t>
        </is>
      </c>
      <c r="O42" t="inlineStr">
        <is>
          <t>eng</t>
        </is>
      </c>
      <c r="P42" t="inlineStr">
        <is>
          <t>enk</t>
        </is>
      </c>
      <c r="R42" t="inlineStr">
        <is>
          <t xml:space="preserve">HM </t>
        </is>
      </c>
      <c r="S42" t="n">
        <v>2</v>
      </c>
      <c r="T42" t="n">
        <v>2</v>
      </c>
      <c r="U42" t="inlineStr">
        <is>
          <t>2005-10-17</t>
        </is>
      </c>
      <c r="V42" t="inlineStr">
        <is>
          <t>2005-10-17</t>
        </is>
      </c>
      <c r="W42" t="inlineStr">
        <is>
          <t>2004-04-20</t>
        </is>
      </c>
      <c r="X42" t="inlineStr">
        <is>
          <t>2004-04-20</t>
        </is>
      </c>
      <c r="Y42" t="n">
        <v>188</v>
      </c>
      <c r="Z42" t="n">
        <v>98</v>
      </c>
      <c r="AA42" t="n">
        <v>99</v>
      </c>
      <c r="AB42" t="n">
        <v>2</v>
      </c>
      <c r="AC42" t="n">
        <v>2</v>
      </c>
      <c r="AD42" t="n">
        <v>4</v>
      </c>
      <c r="AE42" t="n">
        <v>4</v>
      </c>
      <c r="AF42" t="n">
        <v>0</v>
      </c>
      <c r="AG42" t="n">
        <v>0</v>
      </c>
      <c r="AH42" t="n">
        <v>2</v>
      </c>
      <c r="AI42" t="n">
        <v>2</v>
      </c>
      <c r="AJ42" t="n">
        <v>3</v>
      </c>
      <c r="AK42" t="n">
        <v>3</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HYPERLINK("https://creighton-primo.hosted.exlibrisgroup.com/primo-explore/search?tab=default_tab&amp;search_scope=EVERYTHING&amp;vid=01CRU&amp;lang=en_US&amp;offset=0&amp;query=any,contains,991004231929702656","Catalog Record")</f>
        <v/>
      </c>
      <c r="AT42">
        <f>HYPERLINK("http://www.worldcat.org/oclc/42780613","WorldCat Record")</f>
        <v/>
      </c>
      <c r="AU42" t="inlineStr">
        <is>
          <t>28212329:eng</t>
        </is>
      </c>
      <c r="AV42" t="inlineStr">
        <is>
          <t>42780613</t>
        </is>
      </c>
      <c r="AW42" t="inlineStr">
        <is>
          <t>991004231929702656</t>
        </is>
      </c>
      <c r="AX42" t="inlineStr">
        <is>
          <t>991004231929702656</t>
        </is>
      </c>
      <c r="AY42" t="inlineStr">
        <is>
          <t>2256332370002656</t>
        </is>
      </c>
      <c r="AZ42" t="inlineStr">
        <is>
          <t>BOOK</t>
        </is>
      </c>
      <c r="BB42" t="inlineStr">
        <is>
          <t>9780335201044</t>
        </is>
      </c>
      <c r="BC42" t="inlineStr">
        <is>
          <t>32285004900964</t>
        </is>
      </c>
      <c r="BD42" t="inlineStr">
        <is>
          <t>893247322</t>
        </is>
      </c>
    </row>
    <row r="43">
      <c r="A43" t="inlineStr">
        <is>
          <t>No</t>
        </is>
      </c>
      <c r="B43" t="inlineStr">
        <is>
          <t>HM1033 .T87 2005</t>
        </is>
      </c>
      <c r="C43" t="inlineStr">
        <is>
          <t>0                      HM 1033000T  87          2005</t>
        </is>
      </c>
      <c r="D43" t="inlineStr">
        <is>
          <t>The sociology of emotions / Jonathan H. Turner, Jan E. Stets.</t>
        </is>
      </c>
      <c r="F43" t="inlineStr">
        <is>
          <t>No</t>
        </is>
      </c>
      <c r="G43" t="inlineStr">
        <is>
          <t>1</t>
        </is>
      </c>
      <c r="H43" t="inlineStr">
        <is>
          <t>No</t>
        </is>
      </c>
      <c r="I43" t="inlineStr">
        <is>
          <t>No</t>
        </is>
      </c>
      <c r="J43" t="inlineStr">
        <is>
          <t>0</t>
        </is>
      </c>
      <c r="K43" t="inlineStr">
        <is>
          <t>Turner, Jonathan H.</t>
        </is>
      </c>
      <c r="L43" t="inlineStr">
        <is>
          <t>Cambridge [UK] ; New York : Cambridge University Press, 2005.</t>
        </is>
      </c>
      <c r="M43" t="inlineStr">
        <is>
          <t>2005</t>
        </is>
      </c>
      <c r="O43" t="inlineStr">
        <is>
          <t>eng</t>
        </is>
      </c>
      <c r="P43" t="inlineStr">
        <is>
          <t>enk</t>
        </is>
      </c>
      <c r="R43" t="inlineStr">
        <is>
          <t xml:space="preserve">HM </t>
        </is>
      </c>
      <c r="S43" t="n">
        <v>1</v>
      </c>
      <c r="T43" t="n">
        <v>1</v>
      </c>
      <c r="U43" t="inlineStr">
        <is>
          <t>2006-06-05</t>
        </is>
      </c>
      <c r="V43" t="inlineStr">
        <is>
          <t>2006-06-05</t>
        </is>
      </c>
      <c r="W43" t="inlineStr">
        <is>
          <t>2006-06-05</t>
        </is>
      </c>
      <c r="X43" t="inlineStr">
        <is>
          <t>2006-06-05</t>
        </is>
      </c>
      <c r="Y43" t="n">
        <v>771</v>
      </c>
      <c r="Z43" t="n">
        <v>593</v>
      </c>
      <c r="AA43" t="n">
        <v>606</v>
      </c>
      <c r="AB43" t="n">
        <v>7</v>
      </c>
      <c r="AC43" t="n">
        <v>7</v>
      </c>
      <c r="AD43" t="n">
        <v>37</v>
      </c>
      <c r="AE43" t="n">
        <v>37</v>
      </c>
      <c r="AF43" t="n">
        <v>17</v>
      </c>
      <c r="AG43" t="n">
        <v>17</v>
      </c>
      <c r="AH43" t="n">
        <v>7</v>
      </c>
      <c r="AI43" t="n">
        <v>7</v>
      </c>
      <c r="AJ43" t="n">
        <v>16</v>
      </c>
      <c r="AK43" t="n">
        <v>16</v>
      </c>
      <c r="AL43" t="n">
        <v>6</v>
      </c>
      <c r="AM43" t="n">
        <v>6</v>
      </c>
      <c r="AN43" t="n">
        <v>0</v>
      </c>
      <c r="AO43" t="n">
        <v>0</v>
      </c>
      <c r="AP43" t="inlineStr">
        <is>
          <t>No</t>
        </is>
      </c>
      <c r="AQ43" t="inlineStr">
        <is>
          <t>No</t>
        </is>
      </c>
      <c r="AS43">
        <f>HYPERLINK("https://creighton-primo.hosted.exlibrisgroup.com/primo-explore/search?tab=default_tab&amp;search_scope=EVERYTHING&amp;vid=01CRU&amp;lang=en_US&amp;offset=0&amp;query=any,contains,991004815779702656","Catalog Record")</f>
        <v/>
      </c>
      <c r="AT43">
        <f>HYPERLINK("http://www.worldcat.org/oclc/56195004","WorldCat Record")</f>
        <v/>
      </c>
      <c r="AU43" t="inlineStr">
        <is>
          <t>3758557535:eng</t>
        </is>
      </c>
      <c r="AV43" t="inlineStr">
        <is>
          <t>56195004</t>
        </is>
      </c>
      <c r="AW43" t="inlineStr">
        <is>
          <t>991004815779702656</t>
        </is>
      </c>
      <c r="AX43" t="inlineStr">
        <is>
          <t>991004815779702656</t>
        </is>
      </c>
      <c r="AY43" t="inlineStr">
        <is>
          <t>2272062120002656</t>
        </is>
      </c>
      <c r="AZ43" t="inlineStr">
        <is>
          <t>BOOK</t>
        </is>
      </c>
      <c r="BB43" t="inlineStr">
        <is>
          <t>9780521612227</t>
        </is>
      </c>
      <c r="BC43" t="inlineStr">
        <is>
          <t>32285005190391</t>
        </is>
      </c>
      <c r="BD43" t="inlineStr">
        <is>
          <t>893526557</t>
        </is>
      </c>
    </row>
    <row r="44">
      <c r="A44" t="inlineStr">
        <is>
          <t>No</t>
        </is>
      </c>
      <c r="B44" t="inlineStr">
        <is>
          <t>HM104 .K5</t>
        </is>
      </c>
      <c r="C44" t="inlineStr">
        <is>
          <t>0                      HM 0104000K  5</t>
        </is>
      </c>
      <c r="D44" t="inlineStr">
        <is>
          <t>Models of social order: an introduction to sociological theory / by Orrin E. Klapp. --</t>
        </is>
      </c>
      <c r="F44" t="inlineStr">
        <is>
          <t>No</t>
        </is>
      </c>
      <c r="G44" t="inlineStr">
        <is>
          <t>1</t>
        </is>
      </c>
      <c r="H44" t="inlineStr">
        <is>
          <t>No</t>
        </is>
      </c>
      <c r="I44" t="inlineStr">
        <is>
          <t>No</t>
        </is>
      </c>
      <c r="J44" t="inlineStr">
        <is>
          <t>0</t>
        </is>
      </c>
      <c r="K44" t="inlineStr">
        <is>
          <t>Klapp, Orrin E. (Orrin Edgar), 1915-1997.</t>
        </is>
      </c>
      <c r="L44" t="inlineStr">
        <is>
          <t>Palo Alto, Calif. : National Press Books, [1973]</t>
        </is>
      </c>
      <c r="M44" t="inlineStr">
        <is>
          <t>1973</t>
        </is>
      </c>
      <c r="N44" t="inlineStr">
        <is>
          <t>[1st ed.]</t>
        </is>
      </c>
      <c r="O44" t="inlineStr">
        <is>
          <t>eng</t>
        </is>
      </c>
      <c r="P44" t="inlineStr">
        <is>
          <t>cau</t>
        </is>
      </c>
      <c r="R44" t="inlineStr">
        <is>
          <t xml:space="preserve">HM </t>
        </is>
      </c>
      <c r="S44" t="n">
        <v>7</v>
      </c>
      <c r="T44" t="n">
        <v>7</v>
      </c>
      <c r="U44" t="inlineStr">
        <is>
          <t>1995-10-01</t>
        </is>
      </c>
      <c r="V44" t="inlineStr">
        <is>
          <t>1995-10-01</t>
        </is>
      </c>
      <c r="W44" t="inlineStr">
        <is>
          <t>1992-08-17</t>
        </is>
      </c>
      <c r="X44" t="inlineStr">
        <is>
          <t>1992-08-17</t>
        </is>
      </c>
      <c r="Y44" t="n">
        <v>367</v>
      </c>
      <c r="Z44" t="n">
        <v>289</v>
      </c>
      <c r="AA44" t="n">
        <v>316</v>
      </c>
      <c r="AB44" t="n">
        <v>3</v>
      </c>
      <c r="AC44" t="n">
        <v>3</v>
      </c>
      <c r="AD44" t="n">
        <v>11</v>
      </c>
      <c r="AE44" t="n">
        <v>12</v>
      </c>
      <c r="AF44" t="n">
        <v>3</v>
      </c>
      <c r="AG44" t="n">
        <v>3</v>
      </c>
      <c r="AH44" t="n">
        <v>3</v>
      </c>
      <c r="AI44" t="n">
        <v>4</v>
      </c>
      <c r="AJ44" t="n">
        <v>8</v>
      </c>
      <c r="AK44" t="n">
        <v>8</v>
      </c>
      <c r="AL44" t="n">
        <v>2</v>
      </c>
      <c r="AM44" t="n">
        <v>2</v>
      </c>
      <c r="AN44" t="n">
        <v>0</v>
      </c>
      <c r="AO44" t="n">
        <v>0</v>
      </c>
      <c r="AP44" t="inlineStr">
        <is>
          <t>No</t>
        </is>
      </c>
      <c r="AQ44" t="inlineStr">
        <is>
          <t>Yes</t>
        </is>
      </c>
      <c r="AR44">
        <f>HYPERLINK("http://catalog.hathitrust.org/Record/000973174","HathiTrust Record")</f>
        <v/>
      </c>
      <c r="AS44">
        <f>HYPERLINK("https://creighton-primo.hosted.exlibrisgroup.com/primo-explore/search?tab=default_tab&amp;search_scope=EVERYTHING&amp;vid=01CRU&amp;lang=en_US&amp;offset=0&amp;query=any,contains,991003128729702656","Catalog Record")</f>
        <v/>
      </c>
      <c r="AT44">
        <f>HYPERLINK("http://www.worldcat.org/oclc/672052","WorldCat Record")</f>
        <v/>
      </c>
      <c r="AU44" t="inlineStr">
        <is>
          <t>1707533:eng</t>
        </is>
      </c>
      <c r="AV44" t="inlineStr">
        <is>
          <t>672052</t>
        </is>
      </c>
      <c r="AW44" t="inlineStr">
        <is>
          <t>991003128729702656</t>
        </is>
      </c>
      <c r="AX44" t="inlineStr">
        <is>
          <t>991003128729702656</t>
        </is>
      </c>
      <c r="AY44" t="inlineStr">
        <is>
          <t>2267909420002656</t>
        </is>
      </c>
      <c r="AZ44" t="inlineStr">
        <is>
          <t>BOOK</t>
        </is>
      </c>
      <c r="BB44" t="inlineStr">
        <is>
          <t>9780874842234</t>
        </is>
      </c>
      <c r="BC44" t="inlineStr">
        <is>
          <t>32285001265544</t>
        </is>
      </c>
      <c r="BD44" t="inlineStr">
        <is>
          <t>893239909</t>
        </is>
      </c>
    </row>
    <row r="45">
      <c r="A45" t="inlineStr">
        <is>
          <t>No</t>
        </is>
      </c>
      <c r="B45" t="inlineStr">
        <is>
          <t>HM104 .V57 1984</t>
        </is>
      </c>
      <c r="C45" t="inlineStr">
        <is>
          <t>0                      HM 0104000V  57          1984</t>
        </is>
      </c>
      <c r="D45" t="inlineStr">
        <is>
          <t>Vision and method in historical sociology / edited by Theda Skocpol.</t>
        </is>
      </c>
      <c r="F45" t="inlineStr">
        <is>
          <t>No</t>
        </is>
      </c>
      <c r="G45" t="inlineStr">
        <is>
          <t>1</t>
        </is>
      </c>
      <c r="H45" t="inlineStr">
        <is>
          <t>No</t>
        </is>
      </c>
      <c r="I45" t="inlineStr">
        <is>
          <t>No</t>
        </is>
      </c>
      <c r="J45" t="inlineStr">
        <is>
          <t>0</t>
        </is>
      </c>
      <c r="L45" t="inlineStr">
        <is>
          <t>Cambridge [Cambridgeshire] ; New York : Cambridge University Press, 1984.</t>
        </is>
      </c>
      <c r="M45" t="inlineStr">
        <is>
          <t>1984</t>
        </is>
      </c>
      <c r="O45" t="inlineStr">
        <is>
          <t>eng</t>
        </is>
      </c>
      <c r="P45" t="inlineStr">
        <is>
          <t>enk</t>
        </is>
      </c>
      <c r="R45" t="inlineStr">
        <is>
          <t xml:space="preserve">HM </t>
        </is>
      </c>
      <c r="S45" t="n">
        <v>2</v>
      </c>
      <c r="T45" t="n">
        <v>2</v>
      </c>
      <c r="U45" t="inlineStr">
        <is>
          <t>2005-05-23</t>
        </is>
      </c>
      <c r="V45" t="inlineStr">
        <is>
          <t>2005-05-23</t>
        </is>
      </c>
      <c r="W45" t="inlineStr">
        <is>
          <t>1992-08-17</t>
        </is>
      </c>
      <c r="X45" t="inlineStr">
        <is>
          <t>1992-08-17</t>
        </is>
      </c>
      <c r="Y45" t="n">
        <v>653</v>
      </c>
      <c r="Z45" t="n">
        <v>470</v>
      </c>
      <c r="AA45" t="n">
        <v>484</v>
      </c>
      <c r="AB45" t="n">
        <v>5</v>
      </c>
      <c r="AC45" t="n">
        <v>5</v>
      </c>
      <c r="AD45" t="n">
        <v>23</v>
      </c>
      <c r="AE45" t="n">
        <v>23</v>
      </c>
      <c r="AF45" t="n">
        <v>5</v>
      </c>
      <c r="AG45" t="n">
        <v>5</v>
      </c>
      <c r="AH45" t="n">
        <v>8</v>
      </c>
      <c r="AI45" t="n">
        <v>8</v>
      </c>
      <c r="AJ45" t="n">
        <v>13</v>
      </c>
      <c r="AK45" t="n">
        <v>13</v>
      </c>
      <c r="AL45" t="n">
        <v>4</v>
      </c>
      <c r="AM45" t="n">
        <v>4</v>
      </c>
      <c r="AN45" t="n">
        <v>0</v>
      </c>
      <c r="AO45" t="n">
        <v>0</v>
      </c>
      <c r="AP45" t="inlineStr">
        <is>
          <t>No</t>
        </is>
      </c>
      <c r="AQ45" t="inlineStr">
        <is>
          <t>No</t>
        </is>
      </c>
      <c r="AS45">
        <f>HYPERLINK("https://creighton-primo.hosted.exlibrisgroup.com/primo-explore/search?tab=default_tab&amp;search_scope=EVERYTHING&amp;vid=01CRU&amp;lang=en_US&amp;offset=0&amp;query=any,contains,991000410559702656","Catalog Record")</f>
        <v/>
      </c>
      <c r="AT45">
        <f>HYPERLINK("http://www.worldcat.org/oclc/10710478","WorldCat Record")</f>
        <v/>
      </c>
      <c r="AU45" t="inlineStr">
        <is>
          <t>133207746:eng</t>
        </is>
      </c>
      <c r="AV45" t="inlineStr">
        <is>
          <t>10710478</t>
        </is>
      </c>
      <c r="AW45" t="inlineStr">
        <is>
          <t>991000410559702656</t>
        </is>
      </c>
      <c r="AX45" t="inlineStr">
        <is>
          <t>991000410559702656</t>
        </is>
      </c>
      <c r="AY45" t="inlineStr">
        <is>
          <t>2261847350002656</t>
        </is>
      </c>
      <c r="AZ45" t="inlineStr">
        <is>
          <t>BOOK</t>
        </is>
      </c>
      <c r="BB45" t="inlineStr">
        <is>
          <t>9780521297240</t>
        </is>
      </c>
      <c r="BC45" t="inlineStr">
        <is>
          <t>32285001265551</t>
        </is>
      </c>
      <c r="BD45" t="inlineStr">
        <is>
          <t>893708341</t>
        </is>
      </c>
    </row>
    <row r="46">
      <c r="A46" t="inlineStr">
        <is>
          <t>No</t>
        </is>
      </c>
      <c r="B46" t="inlineStr">
        <is>
          <t>HM1041 .D37 2000</t>
        </is>
      </c>
      <c r="C46" t="inlineStr">
        <is>
          <t>0                      HM 1041000D  37          2000</t>
        </is>
      </c>
      <c r="D46" t="inlineStr">
        <is>
          <t>Darwinizing culture : the status of memetics as a science / edited by Robert Aunger ; with a foreword by Daniel Dennett.</t>
        </is>
      </c>
      <c r="F46" t="inlineStr">
        <is>
          <t>No</t>
        </is>
      </c>
      <c r="G46" t="inlineStr">
        <is>
          <t>1</t>
        </is>
      </c>
      <c r="H46" t="inlineStr">
        <is>
          <t>No</t>
        </is>
      </c>
      <c r="I46" t="inlineStr">
        <is>
          <t>No</t>
        </is>
      </c>
      <c r="J46" t="inlineStr">
        <is>
          <t>0</t>
        </is>
      </c>
      <c r="L46" t="inlineStr">
        <is>
          <t>Oxford ; New York : Oxford University Press, 2000.</t>
        </is>
      </c>
      <c r="M46" t="inlineStr">
        <is>
          <t>2000</t>
        </is>
      </c>
      <c r="O46" t="inlineStr">
        <is>
          <t>eng</t>
        </is>
      </c>
      <c r="P46" t="inlineStr">
        <is>
          <t>enk</t>
        </is>
      </c>
      <c r="R46" t="inlineStr">
        <is>
          <t xml:space="preserve">HM </t>
        </is>
      </c>
      <c r="S46" t="n">
        <v>5</v>
      </c>
      <c r="T46" t="n">
        <v>5</v>
      </c>
      <c r="U46" t="inlineStr">
        <is>
          <t>2010-11-13</t>
        </is>
      </c>
      <c r="V46" t="inlineStr">
        <is>
          <t>2010-11-13</t>
        </is>
      </c>
      <c r="W46" t="inlineStr">
        <is>
          <t>2002-12-02</t>
        </is>
      </c>
      <c r="X46" t="inlineStr">
        <is>
          <t>2002-12-02</t>
        </is>
      </c>
      <c r="Y46" t="n">
        <v>417</v>
      </c>
      <c r="Z46" t="n">
        <v>297</v>
      </c>
      <c r="AA46" t="n">
        <v>334</v>
      </c>
      <c r="AB46" t="n">
        <v>2</v>
      </c>
      <c r="AC46" t="n">
        <v>2</v>
      </c>
      <c r="AD46" t="n">
        <v>14</v>
      </c>
      <c r="AE46" t="n">
        <v>15</v>
      </c>
      <c r="AF46" t="n">
        <v>5</v>
      </c>
      <c r="AG46" t="n">
        <v>5</v>
      </c>
      <c r="AH46" t="n">
        <v>3</v>
      </c>
      <c r="AI46" t="n">
        <v>4</v>
      </c>
      <c r="AJ46" t="n">
        <v>10</v>
      </c>
      <c r="AK46" t="n">
        <v>10</v>
      </c>
      <c r="AL46" t="n">
        <v>1</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HYPERLINK("https://creighton-primo.hosted.exlibrisgroup.com/primo-explore/search?tab=default_tab&amp;search_scope=EVERYTHING&amp;vid=01CRU&amp;lang=en_US&amp;offset=0&amp;query=any,contains,991003913899702656","Catalog Record")</f>
        <v/>
      </c>
      <c r="AT46">
        <f>HYPERLINK("http://www.worldcat.org/oclc/44518383","WorldCat Record")</f>
        <v/>
      </c>
      <c r="AU46" t="inlineStr">
        <is>
          <t>837008489:eng</t>
        </is>
      </c>
      <c r="AV46" t="inlineStr">
        <is>
          <t>44518383</t>
        </is>
      </c>
      <c r="AW46" t="inlineStr">
        <is>
          <t>991003913899702656</t>
        </is>
      </c>
      <c r="AX46" t="inlineStr">
        <is>
          <t>991003913899702656</t>
        </is>
      </c>
      <c r="AY46" t="inlineStr">
        <is>
          <t>2259824620002656</t>
        </is>
      </c>
      <c r="AZ46" t="inlineStr">
        <is>
          <t>BOOK</t>
        </is>
      </c>
      <c r="BB46" t="inlineStr">
        <is>
          <t>9780192632449</t>
        </is>
      </c>
      <c r="BC46" t="inlineStr">
        <is>
          <t>32285004666540</t>
        </is>
      </c>
      <c r="BD46" t="inlineStr">
        <is>
          <t>893894355</t>
        </is>
      </c>
    </row>
    <row r="47">
      <c r="A47" t="inlineStr">
        <is>
          <t>No</t>
        </is>
      </c>
      <c r="B47" t="inlineStr">
        <is>
          <t>HM106 .A44</t>
        </is>
      </c>
      <c r="C47" t="inlineStr">
        <is>
          <t>0                      HM 0106000A  44</t>
        </is>
      </c>
      <c r="D47" t="inlineStr">
        <is>
          <t>Darwinism and human affairs / Richard D. Alexander.</t>
        </is>
      </c>
      <c r="F47" t="inlineStr">
        <is>
          <t>No</t>
        </is>
      </c>
      <c r="G47" t="inlineStr">
        <is>
          <t>1</t>
        </is>
      </c>
      <c r="H47" t="inlineStr">
        <is>
          <t>No</t>
        </is>
      </c>
      <c r="I47" t="inlineStr">
        <is>
          <t>No</t>
        </is>
      </c>
      <c r="J47" t="inlineStr">
        <is>
          <t>0</t>
        </is>
      </c>
      <c r="K47" t="inlineStr">
        <is>
          <t>Alexander, Richard D., 1929-</t>
        </is>
      </c>
      <c r="L47" t="inlineStr">
        <is>
          <t>Seattle : University of Washington Press, c1979.</t>
        </is>
      </c>
      <c r="M47" t="inlineStr">
        <is>
          <t>1979</t>
        </is>
      </c>
      <c r="O47" t="inlineStr">
        <is>
          <t>eng</t>
        </is>
      </c>
      <c r="P47" t="inlineStr">
        <is>
          <t>wau</t>
        </is>
      </c>
      <c r="Q47" t="inlineStr">
        <is>
          <t>The Jessie and John Danz lectures</t>
        </is>
      </c>
      <c r="R47" t="inlineStr">
        <is>
          <t xml:space="preserve">HM </t>
        </is>
      </c>
      <c r="S47" t="n">
        <v>12</v>
      </c>
      <c r="T47" t="n">
        <v>12</v>
      </c>
      <c r="U47" t="inlineStr">
        <is>
          <t>2000-03-23</t>
        </is>
      </c>
      <c r="V47" t="inlineStr">
        <is>
          <t>2000-03-23</t>
        </is>
      </c>
      <c r="W47" t="inlineStr">
        <is>
          <t>1992-08-19</t>
        </is>
      </c>
      <c r="X47" t="inlineStr">
        <is>
          <t>1992-08-19</t>
        </is>
      </c>
      <c r="Y47" t="n">
        <v>696</v>
      </c>
      <c r="Z47" t="n">
        <v>596</v>
      </c>
      <c r="AA47" t="n">
        <v>613</v>
      </c>
      <c r="AB47" t="n">
        <v>6</v>
      </c>
      <c r="AC47" t="n">
        <v>6</v>
      </c>
      <c r="AD47" t="n">
        <v>22</v>
      </c>
      <c r="AE47" t="n">
        <v>22</v>
      </c>
      <c r="AF47" t="n">
        <v>8</v>
      </c>
      <c r="AG47" t="n">
        <v>8</v>
      </c>
      <c r="AH47" t="n">
        <v>6</v>
      </c>
      <c r="AI47" t="n">
        <v>6</v>
      </c>
      <c r="AJ47" t="n">
        <v>9</v>
      </c>
      <c r="AK47" t="n">
        <v>9</v>
      </c>
      <c r="AL47" t="n">
        <v>4</v>
      </c>
      <c r="AM47" t="n">
        <v>4</v>
      </c>
      <c r="AN47" t="n">
        <v>0</v>
      </c>
      <c r="AO47" t="n">
        <v>0</v>
      </c>
      <c r="AP47" t="inlineStr">
        <is>
          <t>No</t>
        </is>
      </c>
      <c r="AQ47" t="inlineStr">
        <is>
          <t>No</t>
        </is>
      </c>
      <c r="AS47">
        <f>HYPERLINK("https://creighton-primo.hosted.exlibrisgroup.com/primo-explore/search?tab=default_tab&amp;search_scope=EVERYTHING&amp;vid=01CRU&amp;lang=en_US&amp;offset=0&amp;query=any,contains,991004754059702656","Catalog Record")</f>
        <v/>
      </c>
      <c r="AT47">
        <f>HYPERLINK("http://www.worldcat.org/oclc/4956611","WorldCat Record")</f>
        <v/>
      </c>
      <c r="AU47" t="inlineStr">
        <is>
          <t>571801:eng</t>
        </is>
      </c>
      <c r="AV47" t="inlineStr">
        <is>
          <t>4956611</t>
        </is>
      </c>
      <c r="AW47" t="inlineStr">
        <is>
          <t>991004754059702656</t>
        </is>
      </c>
      <c r="AX47" t="inlineStr">
        <is>
          <t>991004754059702656</t>
        </is>
      </c>
      <c r="AY47" t="inlineStr">
        <is>
          <t>2268906390002656</t>
        </is>
      </c>
      <c r="AZ47" t="inlineStr">
        <is>
          <t>BOOK</t>
        </is>
      </c>
      <c r="BB47" t="inlineStr">
        <is>
          <t>9780295956411</t>
        </is>
      </c>
      <c r="BC47" t="inlineStr">
        <is>
          <t>32285001265577</t>
        </is>
      </c>
      <c r="BD47" t="inlineStr">
        <is>
          <t>893700614</t>
        </is>
      </c>
    </row>
    <row r="48">
      <c r="A48" t="inlineStr">
        <is>
          <t>No</t>
        </is>
      </c>
      <c r="B48" t="inlineStr">
        <is>
          <t>HM106 .B268 1988</t>
        </is>
      </c>
      <c r="C48" t="inlineStr">
        <is>
          <t>0                      HM 0106000B  268         1988</t>
        </is>
      </c>
      <c r="D48" t="inlineStr">
        <is>
          <t>Biology and freedom : an essay on the implications of human ethology / S.A. Barnett.</t>
        </is>
      </c>
      <c r="F48" t="inlineStr">
        <is>
          <t>No</t>
        </is>
      </c>
      <c r="G48" t="inlineStr">
        <is>
          <t>1</t>
        </is>
      </c>
      <c r="H48" t="inlineStr">
        <is>
          <t>No</t>
        </is>
      </c>
      <c r="I48" t="inlineStr">
        <is>
          <t>No</t>
        </is>
      </c>
      <c r="J48" t="inlineStr">
        <is>
          <t>0</t>
        </is>
      </c>
      <c r="K48" t="inlineStr">
        <is>
          <t>Barnett, S. A. (Samuel Anthony), 1915-2003.</t>
        </is>
      </c>
      <c r="L48" t="inlineStr">
        <is>
          <t>Cambridge ; New York : Cambridge University Press, 1988.</t>
        </is>
      </c>
      <c r="M48" t="inlineStr">
        <is>
          <t>1988</t>
        </is>
      </c>
      <c r="O48" t="inlineStr">
        <is>
          <t>eng</t>
        </is>
      </c>
      <c r="P48" t="inlineStr">
        <is>
          <t>enk</t>
        </is>
      </c>
      <c r="R48" t="inlineStr">
        <is>
          <t xml:space="preserve">HM </t>
        </is>
      </c>
      <c r="S48" t="n">
        <v>6</v>
      </c>
      <c r="T48" t="n">
        <v>6</v>
      </c>
      <c r="U48" t="inlineStr">
        <is>
          <t>1997-03-28</t>
        </is>
      </c>
      <c r="V48" t="inlineStr">
        <is>
          <t>1997-03-28</t>
        </is>
      </c>
      <c r="W48" t="inlineStr">
        <is>
          <t>1992-08-19</t>
        </is>
      </c>
      <c r="X48" t="inlineStr">
        <is>
          <t>1992-08-19</t>
        </is>
      </c>
      <c r="Y48" t="n">
        <v>359</v>
      </c>
      <c r="Z48" t="n">
        <v>245</v>
      </c>
      <c r="AA48" t="n">
        <v>258</v>
      </c>
      <c r="AB48" t="n">
        <v>3</v>
      </c>
      <c r="AC48" t="n">
        <v>3</v>
      </c>
      <c r="AD48" t="n">
        <v>14</v>
      </c>
      <c r="AE48" t="n">
        <v>14</v>
      </c>
      <c r="AF48" t="n">
        <v>3</v>
      </c>
      <c r="AG48" t="n">
        <v>3</v>
      </c>
      <c r="AH48" t="n">
        <v>5</v>
      </c>
      <c r="AI48" t="n">
        <v>5</v>
      </c>
      <c r="AJ48" t="n">
        <v>8</v>
      </c>
      <c r="AK48" t="n">
        <v>8</v>
      </c>
      <c r="AL48" t="n">
        <v>2</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HYPERLINK("https://creighton-primo.hosted.exlibrisgroup.com/primo-explore/search?tab=default_tab&amp;search_scope=EVERYTHING&amp;vid=01CRU&amp;lang=en_US&amp;offset=0&amp;query=any,contains,991001192449702656","Catalog Record")</f>
        <v/>
      </c>
      <c r="AT48">
        <f>HYPERLINK("http://www.worldcat.org/oclc/17261470","WorldCat Record")</f>
        <v/>
      </c>
      <c r="AU48" t="inlineStr">
        <is>
          <t>836743523:eng</t>
        </is>
      </c>
      <c r="AV48" t="inlineStr">
        <is>
          <t>17261470</t>
        </is>
      </c>
      <c r="AW48" t="inlineStr">
        <is>
          <t>991001192449702656</t>
        </is>
      </c>
      <c r="AX48" t="inlineStr">
        <is>
          <t>991001192449702656</t>
        </is>
      </c>
      <c r="AY48" t="inlineStr">
        <is>
          <t>2268324610002656</t>
        </is>
      </c>
      <c r="AZ48" t="inlineStr">
        <is>
          <t>BOOK</t>
        </is>
      </c>
      <c r="BB48" t="inlineStr">
        <is>
          <t>9780521353168</t>
        </is>
      </c>
      <c r="BC48" t="inlineStr">
        <is>
          <t>32285001265585</t>
        </is>
      </c>
      <c r="BD48" t="inlineStr">
        <is>
          <t>893503182</t>
        </is>
      </c>
    </row>
    <row r="49">
      <c r="A49" t="inlineStr">
        <is>
          <t>No</t>
        </is>
      </c>
      <c r="B49" t="inlineStr">
        <is>
          <t>HM106 .B27</t>
        </is>
      </c>
      <c r="C49" t="inlineStr">
        <is>
          <t>0                      HM 0106000B  27</t>
        </is>
      </c>
      <c r="D49" t="inlineStr">
        <is>
          <t>Social change in developing areas : a reinterpretation of evolutionary theory / edited by Herbert R. Barringer, George I. Blanksten and Raymond W. Mack.</t>
        </is>
      </c>
      <c r="F49" t="inlineStr">
        <is>
          <t>No</t>
        </is>
      </c>
      <c r="G49" t="inlineStr">
        <is>
          <t>1</t>
        </is>
      </c>
      <c r="H49" t="inlineStr">
        <is>
          <t>No</t>
        </is>
      </c>
      <c r="I49" t="inlineStr">
        <is>
          <t>No</t>
        </is>
      </c>
      <c r="J49" t="inlineStr">
        <is>
          <t>0</t>
        </is>
      </c>
      <c r="K49" t="inlineStr">
        <is>
          <t>Barringer, Herbert R., editor.</t>
        </is>
      </c>
      <c r="L49" t="inlineStr">
        <is>
          <t>Cambridge, Mass. : Schenkman Pub. Co., [1965]</t>
        </is>
      </c>
      <c r="M49" t="inlineStr">
        <is>
          <t>1965</t>
        </is>
      </c>
      <c r="O49" t="inlineStr">
        <is>
          <t>eng</t>
        </is>
      </c>
      <c r="P49" t="inlineStr">
        <is>
          <t>mau</t>
        </is>
      </c>
      <c r="R49" t="inlineStr">
        <is>
          <t xml:space="preserve">HM </t>
        </is>
      </c>
      <c r="S49" t="n">
        <v>1</v>
      </c>
      <c r="T49" t="n">
        <v>1</v>
      </c>
      <c r="U49" t="inlineStr">
        <is>
          <t>2001-02-28</t>
        </is>
      </c>
      <c r="V49" t="inlineStr">
        <is>
          <t>2001-02-28</t>
        </is>
      </c>
      <c r="W49" t="inlineStr">
        <is>
          <t>1994-11-10</t>
        </is>
      </c>
      <c r="X49" t="inlineStr">
        <is>
          <t>1994-11-10</t>
        </is>
      </c>
      <c r="Y49" t="n">
        <v>544</v>
      </c>
      <c r="Z49" t="n">
        <v>420</v>
      </c>
      <c r="AA49" t="n">
        <v>425</v>
      </c>
      <c r="AB49" t="n">
        <v>4</v>
      </c>
      <c r="AC49" t="n">
        <v>4</v>
      </c>
      <c r="AD49" t="n">
        <v>22</v>
      </c>
      <c r="AE49" t="n">
        <v>22</v>
      </c>
      <c r="AF49" t="n">
        <v>5</v>
      </c>
      <c r="AG49" t="n">
        <v>5</v>
      </c>
      <c r="AH49" t="n">
        <v>5</v>
      </c>
      <c r="AI49" t="n">
        <v>5</v>
      </c>
      <c r="AJ49" t="n">
        <v>15</v>
      </c>
      <c r="AK49" t="n">
        <v>15</v>
      </c>
      <c r="AL49" t="n">
        <v>3</v>
      </c>
      <c r="AM49" t="n">
        <v>3</v>
      </c>
      <c r="AN49" t="n">
        <v>0</v>
      </c>
      <c r="AO49" t="n">
        <v>0</v>
      </c>
      <c r="AP49" t="inlineStr">
        <is>
          <t>No</t>
        </is>
      </c>
      <c r="AQ49" t="inlineStr">
        <is>
          <t>No</t>
        </is>
      </c>
      <c r="AS49">
        <f>HYPERLINK("https://creighton-primo.hosted.exlibrisgroup.com/primo-explore/search?tab=default_tab&amp;search_scope=EVERYTHING&amp;vid=01CRU&amp;lang=en_US&amp;offset=0&amp;query=any,contains,991001975999702656","Catalog Record")</f>
        <v/>
      </c>
      <c r="AT49">
        <f>HYPERLINK("http://www.worldcat.org/oclc/254345","WorldCat Record")</f>
        <v/>
      </c>
      <c r="AU49" t="inlineStr">
        <is>
          <t>196171230:eng</t>
        </is>
      </c>
      <c r="AV49" t="inlineStr">
        <is>
          <t>254345</t>
        </is>
      </c>
      <c r="AW49" t="inlineStr">
        <is>
          <t>991001975999702656</t>
        </is>
      </c>
      <c r="AX49" t="inlineStr">
        <is>
          <t>991001975999702656</t>
        </is>
      </c>
      <c r="AY49" t="inlineStr">
        <is>
          <t>2269430030002656</t>
        </is>
      </c>
      <c r="AZ49" t="inlineStr">
        <is>
          <t>BOOK</t>
        </is>
      </c>
      <c r="BC49" t="inlineStr">
        <is>
          <t>32285001965234</t>
        </is>
      </c>
      <c r="BD49" t="inlineStr">
        <is>
          <t>893433352</t>
        </is>
      </c>
    </row>
    <row r="50">
      <c r="A50" t="inlineStr">
        <is>
          <t>No</t>
        </is>
      </c>
      <c r="B50" t="inlineStr">
        <is>
          <t>HM106 .B8</t>
        </is>
      </c>
      <c r="C50" t="inlineStr">
        <is>
          <t>0                      HM 0106000B  8</t>
        </is>
      </c>
      <c r="D50" t="inlineStr">
        <is>
          <t>Evolution and society : a study in Victorian social theory / by J.W. Burrow.</t>
        </is>
      </c>
      <c r="F50" t="inlineStr">
        <is>
          <t>No</t>
        </is>
      </c>
      <c r="G50" t="inlineStr">
        <is>
          <t>1</t>
        </is>
      </c>
      <c r="H50" t="inlineStr">
        <is>
          <t>No</t>
        </is>
      </c>
      <c r="I50" t="inlineStr">
        <is>
          <t>No</t>
        </is>
      </c>
      <c r="J50" t="inlineStr">
        <is>
          <t>0</t>
        </is>
      </c>
      <c r="K50" t="inlineStr">
        <is>
          <t>Burrow, J. W. (John Wyon), 1935-2009.</t>
        </is>
      </c>
      <c r="L50" t="inlineStr">
        <is>
          <t>London : Cambridge U.P., 1966.</t>
        </is>
      </c>
      <c r="M50" t="inlineStr">
        <is>
          <t>1966</t>
        </is>
      </c>
      <c r="O50" t="inlineStr">
        <is>
          <t>eng</t>
        </is>
      </c>
      <c r="P50" t="inlineStr">
        <is>
          <t>enk</t>
        </is>
      </c>
      <c r="R50" t="inlineStr">
        <is>
          <t xml:space="preserve">HM </t>
        </is>
      </c>
      <c r="S50" t="n">
        <v>9</v>
      </c>
      <c r="T50" t="n">
        <v>9</v>
      </c>
      <c r="U50" t="inlineStr">
        <is>
          <t>1995-09-01</t>
        </is>
      </c>
      <c r="V50" t="inlineStr">
        <is>
          <t>1995-09-01</t>
        </is>
      </c>
      <c r="W50" t="inlineStr">
        <is>
          <t>1994-09-27</t>
        </is>
      </c>
      <c r="X50" t="inlineStr">
        <is>
          <t>1994-09-27</t>
        </is>
      </c>
      <c r="Y50" t="n">
        <v>945</v>
      </c>
      <c r="Z50" t="n">
        <v>760</v>
      </c>
      <c r="AA50" t="n">
        <v>784</v>
      </c>
      <c r="AB50" t="n">
        <v>7</v>
      </c>
      <c r="AC50" t="n">
        <v>7</v>
      </c>
      <c r="AD50" t="n">
        <v>37</v>
      </c>
      <c r="AE50" t="n">
        <v>37</v>
      </c>
      <c r="AF50" t="n">
        <v>13</v>
      </c>
      <c r="AG50" t="n">
        <v>13</v>
      </c>
      <c r="AH50" t="n">
        <v>8</v>
      </c>
      <c r="AI50" t="n">
        <v>8</v>
      </c>
      <c r="AJ50" t="n">
        <v>20</v>
      </c>
      <c r="AK50" t="n">
        <v>20</v>
      </c>
      <c r="AL50" t="n">
        <v>6</v>
      </c>
      <c r="AM50" t="n">
        <v>6</v>
      </c>
      <c r="AN50" t="n">
        <v>0</v>
      </c>
      <c r="AO50" t="n">
        <v>0</v>
      </c>
      <c r="AP50" t="inlineStr">
        <is>
          <t>No</t>
        </is>
      </c>
      <c r="AQ50" t="inlineStr">
        <is>
          <t>No</t>
        </is>
      </c>
      <c r="AS50">
        <f>HYPERLINK("https://creighton-primo.hosted.exlibrisgroup.com/primo-explore/search?tab=default_tab&amp;search_scope=EVERYTHING&amp;vid=01CRU&amp;lang=en_US&amp;offset=0&amp;query=any,contains,991001975729702656","Catalog Record")</f>
        <v/>
      </c>
      <c r="AT50">
        <f>HYPERLINK("http://www.worldcat.org/oclc/254344","WorldCat Record")</f>
        <v/>
      </c>
      <c r="AU50" t="inlineStr">
        <is>
          <t>364728728:eng</t>
        </is>
      </c>
      <c r="AV50" t="inlineStr">
        <is>
          <t>254344</t>
        </is>
      </c>
      <c r="AW50" t="inlineStr">
        <is>
          <t>991001975729702656</t>
        </is>
      </c>
      <c r="AX50" t="inlineStr">
        <is>
          <t>991001975729702656</t>
        </is>
      </c>
      <c r="AY50" t="inlineStr">
        <is>
          <t>2269449670002656</t>
        </is>
      </c>
      <c r="AZ50" t="inlineStr">
        <is>
          <t>BOOK</t>
        </is>
      </c>
      <c r="BC50" t="inlineStr">
        <is>
          <t>32285001952620</t>
        </is>
      </c>
      <c r="BD50" t="inlineStr">
        <is>
          <t>893872952</t>
        </is>
      </c>
    </row>
    <row r="51">
      <c r="A51" t="inlineStr">
        <is>
          <t>No</t>
        </is>
      </c>
      <c r="B51" t="inlineStr">
        <is>
          <t>HM106 .D6</t>
        </is>
      </c>
      <c r="C51" t="inlineStr">
        <is>
          <t>0                      HM 0106000D  6</t>
        </is>
      </c>
      <c r="D51" t="inlineStr">
        <is>
          <t>The biological basis of human freedom.</t>
        </is>
      </c>
      <c r="F51" t="inlineStr">
        <is>
          <t>No</t>
        </is>
      </c>
      <c r="G51" t="inlineStr">
        <is>
          <t>1</t>
        </is>
      </c>
      <c r="H51" t="inlineStr">
        <is>
          <t>No</t>
        </is>
      </c>
      <c r="I51" t="inlineStr">
        <is>
          <t>No</t>
        </is>
      </c>
      <c r="J51" t="inlineStr">
        <is>
          <t>0</t>
        </is>
      </c>
      <c r="K51" t="inlineStr">
        <is>
          <t>Dobzhansky, Theodosius, 1900-1975.</t>
        </is>
      </c>
      <c r="L51" t="inlineStr">
        <is>
          <t>New York : Columbia University Press, 1956.</t>
        </is>
      </c>
      <c r="M51" t="inlineStr">
        <is>
          <t>1956</t>
        </is>
      </c>
      <c r="O51" t="inlineStr">
        <is>
          <t>eng</t>
        </is>
      </c>
      <c r="P51" t="inlineStr">
        <is>
          <t>nyu</t>
        </is>
      </c>
      <c r="R51" t="inlineStr">
        <is>
          <t xml:space="preserve">HM </t>
        </is>
      </c>
      <c r="S51" t="n">
        <v>4</v>
      </c>
      <c r="T51" t="n">
        <v>4</v>
      </c>
      <c r="U51" t="inlineStr">
        <is>
          <t>1998-05-11</t>
        </is>
      </c>
      <c r="V51" t="inlineStr">
        <is>
          <t>1998-05-11</t>
        </is>
      </c>
      <c r="W51" t="inlineStr">
        <is>
          <t>1994-12-12</t>
        </is>
      </c>
      <c r="X51" t="inlineStr">
        <is>
          <t>1994-12-12</t>
        </is>
      </c>
      <c r="Y51" t="n">
        <v>845</v>
      </c>
      <c r="Z51" t="n">
        <v>748</v>
      </c>
      <c r="AA51" t="n">
        <v>822</v>
      </c>
      <c r="AB51" t="n">
        <v>4</v>
      </c>
      <c r="AC51" t="n">
        <v>5</v>
      </c>
      <c r="AD51" t="n">
        <v>38</v>
      </c>
      <c r="AE51" t="n">
        <v>40</v>
      </c>
      <c r="AF51" t="n">
        <v>14</v>
      </c>
      <c r="AG51" t="n">
        <v>15</v>
      </c>
      <c r="AH51" t="n">
        <v>7</v>
      </c>
      <c r="AI51" t="n">
        <v>7</v>
      </c>
      <c r="AJ51" t="n">
        <v>23</v>
      </c>
      <c r="AK51" t="n">
        <v>23</v>
      </c>
      <c r="AL51" t="n">
        <v>3</v>
      </c>
      <c r="AM51" t="n">
        <v>4</v>
      </c>
      <c r="AN51" t="n">
        <v>0</v>
      </c>
      <c r="AO51" t="n">
        <v>0</v>
      </c>
      <c r="AP51" t="inlineStr">
        <is>
          <t>No</t>
        </is>
      </c>
      <c r="AQ51" t="inlineStr">
        <is>
          <t>Yes</t>
        </is>
      </c>
      <c r="AR51">
        <f>HYPERLINK("http://catalog.hathitrust.org/Record/001109227","HathiTrust Record")</f>
        <v/>
      </c>
      <c r="AS51">
        <f>HYPERLINK("https://creighton-primo.hosted.exlibrisgroup.com/primo-explore/search?tab=default_tab&amp;search_scope=EVERYTHING&amp;vid=01CRU&amp;lang=en_US&amp;offset=0&amp;query=any,contains,991000991249702656","Catalog Record")</f>
        <v/>
      </c>
      <c r="AT51">
        <f>HYPERLINK("http://www.worldcat.org/oclc/171164","WorldCat Record")</f>
        <v/>
      </c>
      <c r="AU51" t="inlineStr">
        <is>
          <t>1296985:eng</t>
        </is>
      </c>
      <c r="AV51" t="inlineStr">
        <is>
          <t>171164</t>
        </is>
      </c>
      <c r="AW51" t="inlineStr">
        <is>
          <t>991000991249702656</t>
        </is>
      </c>
      <c r="AX51" t="inlineStr">
        <is>
          <t>991000991249702656</t>
        </is>
      </c>
      <c r="AY51" t="inlineStr">
        <is>
          <t>2267415000002656</t>
        </is>
      </c>
      <c r="AZ51" t="inlineStr">
        <is>
          <t>BOOK</t>
        </is>
      </c>
      <c r="BC51" t="inlineStr">
        <is>
          <t>32285001981850</t>
        </is>
      </c>
      <c r="BD51" t="inlineStr">
        <is>
          <t>893784717</t>
        </is>
      </c>
    </row>
    <row r="52">
      <c r="A52" t="inlineStr">
        <is>
          <t>No</t>
        </is>
      </c>
      <c r="B52" t="inlineStr">
        <is>
          <t>HM106 .F85</t>
        </is>
      </c>
      <c r="C52" t="inlineStr">
        <is>
          <t>0                      HM 0106000F  85</t>
        </is>
      </c>
      <c r="D52" t="inlineStr">
        <is>
          <t>The Fundamental connection between nature and nurture : a review of the evidence / edited by Walter R. Gove, G. Russell Carpenter.</t>
        </is>
      </c>
      <c r="F52" t="inlineStr">
        <is>
          <t>No</t>
        </is>
      </c>
      <c r="G52" t="inlineStr">
        <is>
          <t>1</t>
        </is>
      </c>
      <c r="H52" t="inlineStr">
        <is>
          <t>No</t>
        </is>
      </c>
      <c r="I52" t="inlineStr">
        <is>
          <t>No</t>
        </is>
      </c>
      <c r="J52" t="inlineStr">
        <is>
          <t>0</t>
        </is>
      </c>
      <c r="L52" t="inlineStr">
        <is>
          <t>Lexington, Mass. : Lexington Books, c1982.</t>
        </is>
      </c>
      <c r="M52" t="inlineStr">
        <is>
          <t>1982</t>
        </is>
      </c>
      <c r="O52" t="inlineStr">
        <is>
          <t>eng</t>
        </is>
      </c>
      <c r="P52" t="inlineStr">
        <is>
          <t>mau</t>
        </is>
      </c>
      <c r="R52" t="inlineStr">
        <is>
          <t xml:space="preserve">HM </t>
        </is>
      </c>
      <c r="S52" t="n">
        <v>5</v>
      </c>
      <c r="T52" t="n">
        <v>5</v>
      </c>
      <c r="U52" t="inlineStr">
        <is>
          <t>2002-04-21</t>
        </is>
      </c>
      <c r="V52" t="inlineStr">
        <is>
          <t>2002-04-21</t>
        </is>
      </c>
      <c r="W52" t="inlineStr">
        <is>
          <t>1991-12-06</t>
        </is>
      </c>
      <c r="X52" t="inlineStr">
        <is>
          <t>1991-12-06</t>
        </is>
      </c>
      <c r="Y52" t="n">
        <v>392</v>
      </c>
      <c r="Z52" t="n">
        <v>322</v>
      </c>
      <c r="AA52" t="n">
        <v>329</v>
      </c>
      <c r="AB52" t="n">
        <v>3</v>
      </c>
      <c r="AC52" t="n">
        <v>3</v>
      </c>
      <c r="AD52" t="n">
        <v>15</v>
      </c>
      <c r="AE52" t="n">
        <v>15</v>
      </c>
      <c r="AF52" t="n">
        <v>6</v>
      </c>
      <c r="AG52" t="n">
        <v>6</v>
      </c>
      <c r="AH52" t="n">
        <v>3</v>
      </c>
      <c r="AI52" t="n">
        <v>3</v>
      </c>
      <c r="AJ52" t="n">
        <v>9</v>
      </c>
      <c r="AK52" t="n">
        <v>9</v>
      </c>
      <c r="AL52" t="n">
        <v>2</v>
      </c>
      <c r="AM52" t="n">
        <v>2</v>
      </c>
      <c r="AN52" t="n">
        <v>0</v>
      </c>
      <c r="AO52" t="n">
        <v>0</v>
      </c>
      <c r="AP52" t="inlineStr">
        <is>
          <t>No</t>
        </is>
      </c>
      <c r="AQ52" t="inlineStr">
        <is>
          <t>Yes</t>
        </is>
      </c>
      <c r="AR52">
        <f>HYPERLINK("http://catalog.hathitrust.org/Record/000764820","HathiTrust Record")</f>
        <v/>
      </c>
      <c r="AS52">
        <f>HYPERLINK("https://creighton-primo.hosted.exlibrisgroup.com/primo-explore/search?tab=default_tab&amp;search_scope=EVERYTHING&amp;vid=01CRU&amp;lang=en_US&amp;offset=0&amp;query=any,contains,991005181269702656","Catalog Record")</f>
        <v/>
      </c>
      <c r="AT52">
        <f>HYPERLINK("http://www.worldcat.org/oclc/7946120","WorldCat Record")</f>
        <v/>
      </c>
      <c r="AU52" t="inlineStr">
        <is>
          <t>889799279:eng</t>
        </is>
      </c>
      <c r="AV52" t="inlineStr">
        <is>
          <t>7946120</t>
        </is>
      </c>
      <c r="AW52" t="inlineStr">
        <is>
          <t>991005181269702656</t>
        </is>
      </c>
      <c r="AX52" t="inlineStr">
        <is>
          <t>991005181269702656</t>
        </is>
      </c>
      <c r="AY52" t="inlineStr">
        <is>
          <t>2272479560002656</t>
        </is>
      </c>
      <c r="AZ52" t="inlineStr">
        <is>
          <t>BOOK</t>
        </is>
      </c>
      <c r="BB52" t="inlineStr">
        <is>
          <t>9780669044836</t>
        </is>
      </c>
      <c r="BC52" t="inlineStr">
        <is>
          <t>32285000829100</t>
        </is>
      </c>
      <c r="BD52" t="inlineStr">
        <is>
          <t>893701148</t>
        </is>
      </c>
    </row>
    <row r="53">
      <c r="A53" t="inlineStr">
        <is>
          <t>No</t>
        </is>
      </c>
      <c r="B53" t="inlineStr">
        <is>
          <t>HM106 .G65 1995</t>
        </is>
      </c>
      <c r="C53" t="inlineStr">
        <is>
          <t>0                      HM 0106000G  65          1995</t>
        </is>
      </c>
      <c r="D53" t="inlineStr">
        <is>
          <t>A scientific model of social and cultural evolution / Robert Bates Graber.</t>
        </is>
      </c>
      <c r="F53" t="inlineStr">
        <is>
          <t>No</t>
        </is>
      </c>
      <c r="G53" t="inlineStr">
        <is>
          <t>1</t>
        </is>
      </c>
      <c r="H53" t="inlineStr">
        <is>
          <t>No</t>
        </is>
      </c>
      <c r="I53" t="inlineStr">
        <is>
          <t>No</t>
        </is>
      </c>
      <c r="J53" t="inlineStr">
        <is>
          <t>0</t>
        </is>
      </c>
      <c r="K53" t="inlineStr">
        <is>
          <t>Graber, Robert Bates, 1950-</t>
        </is>
      </c>
      <c r="L53" t="inlineStr">
        <is>
          <t>Kirksville, Mo. : Thomas Jefferson University Press ; Lanham, MD : University Pub. Associates [distributor], c1995.</t>
        </is>
      </c>
      <c r="M53" t="inlineStr">
        <is>
          <t>1995</t>
        </is>
      </c>
      <c r="O53" t="inlineStr">
        <is>
          <t>eng</t>
        </is>
      </c>
      <c r="P53" t="inlineStr">
        <is>
          <t>mou</t>
        </is>
      </c>
      <c r="R53" t="inlineStr">
        <is>
          <t xml:space="preserve">HM </t>
        </is>
      </c>
      <c r="S53" t="n">
        <v>1</v>
      </c>
      <c r="T53" t="n">
        <v>1</v>
      </c>
      <c r="U53" t="inlineStr">
        <is>
          <t>1997-08-08</t>
        </is>
      </c>
      <c r="V53" t="inlineStr">
        <is>
          <t>1997-08-08</t>
        </is>
      </c>
      <c r="W53" t="inlineStr">
        <is>
          <t>1997-06-17</t>
        </is>
      </c>
      <c r="X53" t="inlineStr">
        <is>
          <t>1997-06-17</t>
        </is>
      </c>
      <c r="Y53" t="n">
        <v>170</v>
      </c>
      <c r="Z53" t="n">
        <v>141</v>
      </c>
      <c r="AA53" t="n">
        <v>142</v>
      </c>
      <c r="AB53" t="n">
        <v>2</v>
      </c>
      <c r="AC53" t="n">
        <v>2</v>
      </c>
      <c r="AD53" t="n">
        <v>9</v>
      </c>
      <c r="AE53" t="n">
        <v>9</v>
      </c>
      <c r="AF53" t="n">
        <v>3</v>
      </c>
      <c r="AG53" t="n">
        <v>3</v>
      </c>
      <c r="AH53" t="n">
        <v>2</v>
      </c>
      <c r="AI53" t="n">
        <v>2</v>
      </c>
      <c r="AJ53" t="n">
        <v>5</v>
      </c>
      <c r="AK53" t="n">
        <v>5</v>
      </c>
      <c r="AL53" t="n">
        <v>1</v>
      </c>
      <c r="AM53" t="n">
        <v>1</v>
      </c>
      <c r="AN53" t="n">
        <v>0</v>
      </c>
      <c r="AO53" t="n">
        <v>0</v>
      </c>
      <c r="AP53" t="inlineStr">
        <is>
          <t>No</t>
        </is>
      </c>
      <c r="AQ53" t="inlineStr">
        <is>
          <t>Yes</t>
        </is>
      </c>
      <c r="AR53">
        <f>HYPERLINK("http://catalog.hathitrust.org/Record/002966183","HathiTrust Record")</f>
        <v/>
      </c>
      <c r="AS53">
        <f>HYPERLINK("https://creighton-primo.hosted.exlibrisgroup.com/primo-explore/search?tab=default_tab&amp;search_scope=EVERYTHING&amp;vid=01CRU&amp;lang=en_US&amp;offset=0&amp;query=any,contains,991002328889702656","Catalog Record")</f>
        <v/>
      </c>
      <c r="AT53">
        <f>HYPERLINK("http://www.worldcat.org/oclc/30319032","WorldCat Record")</f>
        <v/>
      </c>
      <c r="AU53" t="inlineStr">
        <is>
          <t>351675309:eng</t>
        </is>
      </c>
      <c r="AV53" t="inlineStr">
        <is>
          <t>30319032</t>
        </is>
      </c>
      <c r="AW53" t="inlineStr">
        <is>
          <t>991002328889702656</t>
        </is>
      </c>
      <c r="AX53" t="inlineStr">
        <is>
          <t>991002328889702656</t>
        </is>
      </c>
      <c r="AY53" t="inlineStr">
        <is>
          <t>2265487630002656</t>
        </is>
      </c>
      <c r="AZ53" t="inlineStr">
        <is>
          <t>BOOK</t>
        </is>
      </c>
      <c r="BB53" t="inlineStr">
        <is>
          <t>9780943549194</t>
        </is>
      </c>
      <c r="BC53" t="inlineStr">
        <is>
          <t>32285002751906</t>
        </is>
      </c>
      <c r="BD53" t="inlineStr">
        <is>
          <t>893517165</t>
        </is>
      </c>
    </row>
    <row r="54">
      <c r="A54" t="inlineStr">
        <is>
          <t>No</t>
        </is>
      </c>
      <c r="B54" t="inlineStr">
        <is>
          <t>HM106 .H313</t>
        </is>
      </c>
      <c r="C54" t="inlineStr">
        <is>
          <t>0                      HM 0106000H  313</t>
        </is>
      </c>
      <c r="D54" t="inlineStr">
        <is>
          <t>Communication and the evolution of society / Jürgen Habermas ; translated and with introd. by Thomas McCarthy.</t>
        </is>
      </c>
      <c r="F54" t="inlineStr">
        <is>
          <t>No</t>
        </is>
      </c>
      <c r="G54" t="inlineStr">
        <is>
          <t>1</t>
        </is>
      </c>
      <c r="H54" t="inlineStr">
        <is>
          <t>No</t>
        </is>
      </c>
      <c r="I54" t="inlineStr">
        <is>
          <t>No</t>
        </is>
      </c>
      <c r="J54" t="inlineStr">
        <is>
          <t>0</t>
        </is>
      </c>
      <c r="K54" t="inlineStr">
        <is>
          <t>Habermas, Jürgen.</t>
        </is>
      </c>
      <c r="L54" t="inlineStr">
        <is>
          <t>Boston : Beacon Press, [1979]</t>
        </is>
      </c>
      <c r="M54" t="inlineStr">
        <is>
          <t>1979</t>
        </is>
      </c>
      <c r="O54" t="inlineStr">
        <is>
          <t>eng</t>
        </is>
      </c>
      <c r="P54" t="inlineStr">
        <is>
          <t>mau</t>
        </is>
      </c>
      <c r="R54" t="inlineStr">
        <is>
          <t xml:space="preserve">HM </t>
        </is>
      </c>
      <c r="S54" t="n">
        <v>8</v>
      </c>
      <c r="T54" t="n">
        <v>8</v>
      </c>
      <c r="U54" t="inlineStr">
        <is>
          <t>2009-08-24</t>
        </is>
      </c>
      <c r="V54" t="inlineStr">
        <is>
          <t>2009-08-24</t>
        </is>
      </c>
      <c r="W54" t="inlineStr">
        <is>
          <t>1992-08-19</t>
        </is>
      </c>
      <c r="X54" t="inlineStr">
        <is>
          <t>1992-08-19</t>
        </is>
      </c>
      <c r="Y54" t="n">
        <v>894</v>
      </c>
      <c r="Z54" t="n">
        <v>740</v>
      </c>
      <c r="AA54" t="n">
        <v>777</v>
      </c>
      <c r="AB54" t="n">
        <v>4</v>
      </c>
      <c r="AC54" t="n">
        <v>4</v>
      </c>
      <c r="AD54" t="n">
        <v>41</v>
      </c>
      <c r="AE54" t="n">
        <v>42</v>
      </c>
      <c r="AF54" t="n">
        <v>20</v>
      </c>
      <c r="AG54" t="n">
        <v>21</v>
      </c>
      <c r="AH54" t="n">
        <v>7</v>
      </c>
      <c r="AI54" t="n">
        <v>8</v>
      </c>
      <c r="AJ54" t="n">
        <v>21</v>
      </c>
      <c r="AK54" t="n">
        <v>21</v>
      </c>
      <c r="AL54" t="n">
        <v>3</v>
      </c>
      <c r="AM54" t="n">
        <v>3</v>
      </c>
      <c r="AN54" t="n">
        <v>1</v>
      </c>
      <c r="AO54" t="n">
        <v>1</v>
      </c>
      <c r="AP54" t="inlineStr">
        <is>
          <t>No</t>
        </is>
      </c>
      <c r="AQ54" t="inlineStr">
        <is>
          <t>Yes</t>
        </is>
      </c>
      <c r="AR54">
        <f>HYPERLINK("http://catalog.hathitrust.org/Record/000256926","HathiTrust Record")</f>
        <v/>
      </c>
      <c r="AS54">
        <f>HYPERLINK("https://creighton-primo.hosted.exlibrisgroup.com/primo-explore/search?tab=default_tab&amp;search_scope=EVERYTHING&amp;vid=01CRU&amp;lang=en_US&amp;offset=0&amp;query=any,contains,991004663969702656","Catalog Record")</f>
        <v/>
      </c>
      <c r="AT54">
        <f>HYPERLINK("http://www.worldcat.org/oclc/4499717","WorldCat Record")</f>
        <v/>
      </c>
      <c r="AU54" t="inlineStr">
        <is>
          <t>2045981679:eng</t>
        </is>
      </c>
      <c r="AV54" t="inlineStr">
        <is>
          <t>4499717</t>
        </is>
      </c>
      <c r="AW54" t="inlineStr">
        <is>
          <t>991004663969702656</t>
        </is>
      </c>
      <c r="AX54" t="inlineStr">
        <is>
          <t>991004663969702656</t>
        </is>
      </c>
      <c r="AY54" t="inlineStr">
        <is>
          <t>2265876580002656</t>
        </is>
      </c>
      <c r="AZ54" t="inlineStr">
        <is>
          <t>BOOK</t>
        </is>
      </c>
      <c r="BB54" t="inlineStr">
        <is>
          <t>9780807015124</t>
        </is>
      </c>
      <c r="BC54" t="inlineStr">
        <is>
          <t>32285001265601</t>
        </is>
      </c>
      <c r="BD54" t="inlineStr">
        <is>
          <t>893901497</t>
        </is>
      </c>
    </row>
    <row r="55">
      <c r="A55" t="inlineStr">
        <is>
          <t>No</t>
        </is>
      </c>
      <c r="B55" t="inlineStr">
        <is>
          <t>HM106 .M8 1919</t>
        </is>
      </c>
      <c r="C55" t="inlineStr">
        <is>
          <t>0                      HM 0106000M  8           1919</t>
        </is>
      </c>
      <c r="D55" t="inlineStr">
        <is>
          <t>Attitude of Catholics towards Darwinism and evolution.</t>
        </is>
      </c>
      <c r="F55" t="inlineStr">
        <is>
          <t>No</t>
        </is>
      </c>
      <c r="G55" t="inlineStr">
        <is>
          <t>1</t>
        </is>
      </c>
      <c r="H55" t="inlineStr">
        <is>
          <t>No</t>
        </is>
      </c>
      <c r="I55" t="inlineStr">
        <is>
          <t>No</t>
        </is>
      </c>
      <c r="J55" t="inlineStr">
        <is>
          <t>0</t>
        </is>
      </c>
      <c r="K55" t="inlineStr">
        <is>
          <t>Muckermann, Hermann, 1877-1962.</t>
        </is>
      </c>
      <c r="L55" t="inlineStr">
        <is>
          <t>St. Louis, B. Herder, 1919.</t>
        </is>
      </c>
      <c r="M55" t="inlineStr">
        <is>
          <t>1919</t>
        </is>
      </c>
      <c r="N55" t="inlineStr">
        <is>
          <t>2d ed.</t>
        </is>
      </c>
      <c r="O55" t="inlineStr">
        <is>
          <t>eng</t>
        </is>
      </c>
      <c r="P55" t="inlineStr">
        <is>
          <t>mou</t>
        </is>
      </c>
      <c r="R55" t="inlineStr">
        <is>
          <t xml:space="preserve">HM </t>
        </is>
      </c>
      <c r="S55" t="n">
        <v>4</v>
      </c>
      <c r="T55" t="n">
        <v>4</v>
      </c>
      <c r="U55" t="inlineStr">
        <is>
          <t>2007-12-02</t>
        </is>
      </c>
      <c r="V55" t="inlineStr">
        <is>
          <t>2007-12-02</t>
        </is>
      </c>
      <c r="W55" t="inlineStr">
        <is>
          <t>1997-07-29</t>
        </is>
      </c>
      <c r="X55" t="inlineStr">
        <is>
          <t>1997-07-29</t>
        </is>
      </c>
      <c r="Y55" t="n">
        <v>6</v>
      </c>
      <c r="Z55" t="n">
        <v>6</v>
      </c>
      <c r="AA55" t="n">
        <v>116</v>
      </c>
      <c r="AB55" t="n">
        <v>1</v>
      </c>
      <c r="AC55" t="n">
        <v>2</v>
      </c>
      <c r="AD55" t="n">
        <v>2</v>
      </c>
      <c r="AE55" t="n">
        <v>22</v>
      </c>
      <c r="AF55" t="n">
        <v>0</v>
      </c>
      <c r="AG55" t="n">
        <v>5</v>
      </c>
      <c r="AH55" t="n">
        <v>0</v>
      </c>
      <c r="AI55" t="n">
        <v>6</v>
      </c>
      <c r="AJ55" t="n">
        <v>2</v>
      </c>
      <c r="AK55" t="n">
        <v>17</v>
      </c>
      <c r="AL55" t="n">
        <v>0</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HYPERLINK("https://creighton-primo.hosted.exlibrisgroup.com/primo-explore/search?tab=default_tab&amp;search_scope=EVERYTHING&amp;vid=01CRU&amp;lang=en_US&amp;offset=0&amp;query=any,contains,991002033569702656","Catalog Record")</f>
        <v/>
      </c>
      <c r="AT55">
        <f>HYPERLINK("http://www.worldcat.org/oclc/25896861","WorldCat Record")</f>
        <v/>
      </c>
      <c r="AU55" t="inlineStr">
        <is>
          <t>2432363:eng</t>
        </is>
      </c>
      <c r="AV55" t="inlineStr">
        <is>
          <t>25896861</t>
        </is>
      </c>
      <c r="AW55" t="inlineStr">
        <is>
          <t>991002033569702656</t>
        </is>
      </c>
      <c r="AX55" t="inlineStr">
        <is>
          <t>991002033569702656</t>
        </is>
      </c>
      <c r="AY55" t="inlineStr">
        <is>
          <t>2263465620002656</t>
        </is>
      </c>
      <c r="AZ55" t="inlineStr">
        <is>
          <t>BOOK</t>
        </is>
      </c>
      <c r="BC55" t="inlineStr">
        <is>
          <t>32285003015210</t>
        </is>
      </c>
      <c r="BD55" t="inlineStr">
        <is>
          <t>893684873</t>
        </is>
      </c>
    </row>
    <row r="56">
      <c r="A56" t="inlineStr">
        <is>
          <t>No</t>
        </is>
      </c>
      <c r="B56" t="inlineStr">
        <is>
          <t>HM106 .W66 1983</t>
        </is>
      </c>
      <c r="C56" t="inlineStr">
        <is>
          <t>0                      HM 0106000W  66          1983</t>
        </is>
      </c>
      <c r="D56" t="inlineStr">
        <is>
          <t>The Wider domain of evolutionary thought / edited by David Oldroyd and Ian Langham.</t>
        </is>
      </c>
      <c r="F56" t="inlineStr">
        <is>
          <t>No</t>
        </is>
      </c>
      <c r="G56" t="inlineStr">
        <is>
          <t>1</t>
        </is>
      </c>
      <c r="H56" t="inlineStr">
        <is>
          <t>No</t>
        </is>
      </c>
      <c r="I56" t="inlineStr">
        <is>
          <t>No</t>
        </is>
      </c>
      <c r="J56" t="inlineStr">
        <is>
          <t>0</t>
        </is>
      </c>
      <c r="L56" t="inlineStr">
        <is>
          <t>Dordrecht, Holland ; Boston, U.S.A. : D. Reidel ; Hingham, MA : Sold and distributed in U.S.A. and Canada by Kluwer Boston, c1983.</t>
        </is>
      </c>
      <c r="M56" t="inlineStr">
        <is>
          <t>1983</t>
        </is>
      </c>
      <c r="O56" t="inlineStr">
        <is>
          <t>eng</t>
        </is>
      </c>
      <c r="P56" t="inlineStr">
        <is>
          <t xml:space="preserve">ne </t>
        </is>
      </c>
      <c r="Q56" t="inlineStr">
        <is>
          <t>Australasian studies in history and philosophy of science ; v. 2</t>
        </is>
      </c>
      <c r="R56" t="inlineStr">
        <is>
          <t xml:space="preserve">HM </t>
        </is>
      </c>
      <c r="S56" t="n">
        <v>13</v>
      </c>
      <c r="T56" t="n">
        <v>13</v>
      </c>
      <c r="U56" t="inlineStr">
        <is>
          <t>1997-03-24</t>
        </is>
      </c>
      <c r="V56" t="inlineStr">
        <is>
          <t>1997-03-24</t>
        </is>
      </c>
      <c r="W56" t="inlineStr">
        <is>
          <t>1992-08-19</t>
        </is>
      </c>
      <c r="X56" t="inlineStr">
        <is>
          <t>1992-08-19</t>
        </is>
      </c>
      <c r="Y56" t="n">
        <v>309</v>
      </c>
      <c r="Z56" t="n">
        <v>193</v>
      </c>
      <c r="AA56" t="n">
        <v>202</v>
      </c>
      <c r="AB56" t="n">
        <v>2</v>
      </c>
      <c r="AC56" t="n">
        <v>2</v>
      </c>
      <c r="AD56" t="n">
        <v>7</v>
      </c>
      <c r="AE56" t="n">
        <v>9</v>
      </c>
      <c r="AF56" t="n">
        <v>0</v>
      </c>
      <c r="AG56" t="n">
        <v>2</v>
      </c>
      <c r="AH56" t="n">
        <v>3</v>
      </c>
      <c r="AI56" t="n">
        <v>4</v>
      </c>
      <c r="AJ56" t="n">
        <v>5</v>
      </c>
      <c r="AK56" t="n">
        <v>6</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HYPERLINK("https://creighton-primo.hosted.exlibrisgroup.com/primo-explore/search?tab=default_tab&amp;search_scope=EVERYTHING&amp;vid=01CRU&amp;lang=en_US&amp;offset=0&amp;query=any,contains,991000164999702656","Catalog Record")</f>
        <v/>
      </c>
      <c r="AT56">
        <f>HYPERLINK("http://www.worldcat.org/oclc/9282716","WorldCat Record")</f>
        <v/>
      </c>
      <c r="AU56" t="inlineStr">
        <is>
          <t>350165637:eng</t>
        </is>
      </c>
      <c r="AV56" t="inlineStr">
        <is>
          <t>9282716</t>
        </is>
      </c>
      <c r="AW56" t="inlineStr">
        <is>
          <t>991000164999702656</t>
        </is>
      </c>
      <c r="AX56" t="inlineStr">
        <is>
          <t>991000164999702656</t>
        </is>
      </c>
      <c r="AY56" t="inlineStr">
        <is>
          <t>2260006400002656</t>
        </is>
      </c>
      <c r="AZ56" t="inlineStr">
        <is>
          <t>BOOK</t>
        </is>
      </c>
      <c r="BB56" t="inlineStr">
        <is>
          <t>9789027714770</t>
        </is>
      </c>
      <c r="BC56" t="inlineStr">
        <is>
          <t>32285001265650</t>
        </is>
      </c>
      <c r="BD56" t="inlineStr">
        <is>
          <t>893444232</t>
        </is>
      </c>
    </row>
    <row r="57">
      <c r="A57" t="inlineStr">
        <is>
          <t>No</t>
        </is>
      </c>
      <c r="B57" t="inlineStr">
        <is>
          <t>HM106 .W73 1983</t>
        </is>
      </c>
      <c r="C57" t="inlineStr">
        <is>
          <t>0                      HM 0106000W  73          1983</t>
        </is>
      </c>
      <c r="D57" t="inlineStr">
        <is>
          <t>Genetic basis of society : by the origin of human inequalities / by Fred Winner.</t>
        </is>
      </c>
      <c r="F57" t="inlineStr">
        <is>
          <t>No</t>
        </is>
      </c>
      <c r="G57" t="inlineStr">
        <is>
          <t>1</t>
        </is>
      </c>
      <c r="H57" t="inlineStr">
        <is>
          <t>Yes</t>
        </is>
      </c>
      <c r="I57" t="inlineStr">
        <is>
          <t>No</t>
        </is>
      </c>
      <c r="J57" t="inlineStr">
        <is>
          <t>0</t>
        </is>
      </c>
      <c r="K57" t="inlineStr">
        <is>
          <t>Winner, Fred, 1913-</t>
        </is>
      </c>
      <c r="L57" t="inlineStr">
        <is>
          <t>Dunedin, Fla. : Shakespeare Pub. Co., c1983.</t>
        </is>
      </c>
      <c r="M57" t="inlineStr">
        <is>
          <t>1983</t>
        </is>
      </c>
      <c r="N57" t="inlineStr">
        <is>
          <t>1st ed.</t>
        </is>
      </c>
      <c r="O57" t="inlineStr">
        <is>
          <t>eng</t>
        </is>
      </c>
      <c r="P57" t="inlineStr">
        <is>
          <t>flu</t>
        </is>
      </c>
      <c r="R57" t="inlineStr">
        <is>
          <t xml:space="preserve">HM </t>
        </is>
      </c>
      <c r="S57" t="n">
        <v>16</v>
      </c>
      <c r="T57" t="n">
        <v>17</v>
      </c>
      <c r="U57" t="inlineStr">
        <is>
          <t>2009-02-19</t>
        </is>
      </c>
      <c r="V57" t="inlineStr">
        <is>
          <t>2009-02-19</t>
        </is>
      </c>
      <c r="W57" t="inlineStr">
        <is>
          <t>1992-03-23</t>
        </is>
      </c>
      <c r="X57" t="inlineStr">
        <is>
          <t>1992-03-23</t>
        </is>
      </c>
      <c r="Y57" t="n">
        <v>334</v>
      </c>
      <c r="Z57" t="n">
        <v>263</v>
      </c>
      <c r="AA57" t="n">
        <v>263</v>
      </c>
      <c r="AB57" t="n">
        <v>3</v>
      </c>
      <c r="AC57" t="n">
        <v>3</v>
      </c>
      <c r="AD57" t="n">
        <v>8</v>
      </c>
      <c r="AE57" t="n">
        <v>8</v>
      </c>
      <c r="AF57" t="n">
        <v>3</v>
      </c>
      <c r="AG57" t="n">
        <v>3</v>
      </c>
      <c r="AH57" t="n">
        <v>1</v>
      </c>
      <c r="AI57" t="n">
        <v>1</v>
      </c>
      <c r="AJ57" t="n">
        <v>4</v>
      </c>
      <c r="AK57" t="n">
        <v>4</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HYPERLINK("https://creighton-primo.hosted.exlibrisgroup.com/primo-explore/search?tab=default_tab&amp;search_scope=EVERYTHING&amp;vid=01CRU&amp;lang=en_US&amp;offset=0&amp;query=any,contains,991001765629702656","Catalog Record")</f>
        <v/>
      </c>
      <c r="AT57">
        <f>HYPERLINK("http://www.worldcat.org/oclc/11187880","WorldCat Record")</f>
        <v/>
      </c>
      <c r="AU57" t="inlineStr">
        <is>
          <t>4168090:eng</t>
        </is>
      </c>
      <c r="AV57" t="inlineStr">
        <is>
          <t>11187880</t>
        </is>
      </c>
      <c r="AW57" t="inlineStr">
        <is>
          <t>991001765629702656</t>
        </is>
      </c>
      <c r="AX57" t="inlineStr">
        <is>
          <t>991001765629702656</t>
        </is>
      </c>
      <c r="AY57" t="inlineStr">
        <is>
          <t>2263164830002656</t>
        </is>
      </c>
      <c r="AZ57" t="inlineStr">
        <is>
          <t>BOOK</t>
        </is>
      </c>
      <c r="BB57" t="inlineStr">
        <is>
          <t>9780914713005</t>
        </is>
      </c>
      <c r="BC57" t="inlineStr">
        <is>
          <t>32285001026250</t>
        </is>
      </c>
      <c r="BD57" t="inlineStr">
        <is>
          <t>893872779</t>
        </is>
      </c>
    </row>
    <row r="58">
      <c r="A58" t="inlineStr">
        <is>
          <t>No</t>
        </is>
      </c>
      <c r="B58" t="inlineStr">
        <is>
          <t>HM108 .V36</t>
        </is>
      </c>
      <c r="C58" t="inlineStr">
        <is>
          <t>0                      HM 0108000V  36</t>
        </is>
      </c>
      <c r="D58" t="inlineStr">
        <is>
          <t>Darwin and Darwinism : revolutionary insights concerning man, nature, religion, and society / edited and with an introd. by Harold Y. Vanderpool.</t>
        </is>
      </c>
      <c r="F58" t="inlineStr">
        <is>
          <t>No</t>
        </is>
      </c>
      <c r="G58" t="inlineStr">
        <is>
          <t>1</t>
        </is>
      </c>
      <c r="H58" t="inlineStr">
        <is>
          <t>No</t>
        </is>
      </c>
      <c r="I58" t="inlineStr">
        <is>
          <t>No</t>
        </is>
      </c>
      <c r="J58" t="inlineStr">
        <is>
          <t>0</t>
        </is>
      </c>
      <c r="K58" t="inlineStr">
        <is>
          <t>Vanderpool, Harold Y., compiler.</t>
        </is>
      </c>
      <c r="L58" t="inlineStr">
        <is>
          <t>Lexington, Mass. : Heath, [1973]</t>
        </is>
      </c>
      <c r="M58" t="inlineStr">
        <is>
          <t>1973</t>
        </is>
      </c>
      <c r="O58" t="inlineStr">
        <is>
          <t>eng</t>
        </is>
      </c>
      <c r="P58" t="inlineStr">
        <is>
          <t>mau</t>
        </is>
      </c>
      <c r="Q58" t="inlineStr">
        <is>
          <t>Problems in European civilization</t>
        </is>
      </c>
      <c r="R58" t="inlineStr">
        <is>
          <t xml:space="preserve">HM </t>
        </is>
      </c>
      <c r="S58" t="n">
        <v>13</v>
      </c>
      <c r="T58" t="n">
        <v>13</v>
      </c>
      <c r="U58" t="inlineStr">
        <is>
          <t>2009-02-19</t>
        </is>
      </c>
      <c r="V58" t="inlineStr">
        <is>
          <t>2009-02-19</t>
        </is>
      </c>
      <c r="W58" t="inlineStr">
        <is>
          <t>1994-12-12</t>
        </is>
      </c>
      <c r="X58" t="inlineStr">
        <is>
          <t>1994-12-12</t>
        </is>
      </c>
      <c r="Y58" t="n">
        <v>353</v>
      </c>
      <c r="Z58" t="n">
        <v>274</v>
      </c>
      <c r="AA58" t="n">
        <v>276</v>
      </c>
      <c r="AB58" t="n">
        <v>2</v>
      </c>
      <c r="AC58" t="n">
        <v>2</v>
      </c>
      <c r="AD58" t="n">
        <v>15</v>
      </c>
      <c r="AE58" t="n">
        <v>15</v>
      </c>
      <c r="AF58" t="n">
        <v>5</v>
      </c>
      <c r="AG58" t="n">
        <v>5</v>
      </c>
      <c r="AH58" t="n">
        <v>6</v>
      </c>
      <c r="AI58" t="n">
        <v>6</v>
      </c>
      <c r="AJ58" t="n">
        <v>8</v>
      </c>
      <c r="AK58" t="n">
        <v>8</v>
      </c>
      <c r="AL58" t="n">
        <v>1</v>
      </c>
      <c r="AM58" t="n">
        <v>1</v>
      </c>
      <c r="AN58" t="n">
        <v>0</v>
      </c>
      <c r="AO58" t="n">
        <v>0</v>
      </c>
      <c r="AP58" t="inlineStr">
        <is>
          <t>No</t>
        </is>
      </c>
      <c r="AQ58" t="inlineStr">
        <is>
          <t>Yes</t>
        </is>
      </c>
      <c r="AR58">
        <f>HYPERLINK("http://catalog.hathitrust.org/Record/001109236","HathiTrust Record")</f>
        <v/>
      </c>
      <c r="AS58">
        <f>HYPERLINK("https://creighton-primo.hosted.exlibrisgroup.com/primo-explore/search?tab=default_tab&amp;search_scope=EVERYTHING&amp;vid=01CRU&amp;lang=en_US&amp;offset=0&amp;query=any,contains,991003271159702656","Catalog Record")</f>
        <v/>
      </c>
      <c r="AT58">
        <f>HYPERLINK("http://www.worldcat.org/oclc/796892","WorldCat Record")</f>
        <v/>
      </c>
      <c r="AU58" t="inlineStr">
        <is>
          <t>1765223:eng</t>
        </is>
      </c>
      <c r="AV58" t="inlineStr">
        <is>
          <t>796892</t>
        </is>
      </c>
      <c r="AW58" t="inlineStr">
        <is>
          <t>991003271159702656</t>
        </is>
      </c>
      <c r="AX58" t="inlineStr">
        <is>
          <t>991003271159702656</t>
        </is>
      </c>
      <c r="AY58" t="inlineStr">
        <is>
          <t>2260606390002656</t>
        </is>
      </c>
      <c r="AZ58" t="inlineStr">
        <is>
          <t>BOOK</t>
        </is>
      </c>
      <c r="BB58" t="inlineStr">
        <is>
          <t>9780669854077</t>
        </is>
      </c>
      <c r="BC58" t="inlineStr">
        <is>
          <t>32285004468913</t>
        </is>
      </c>
      <c r="BD58" t="inlineStr">
        <is>
          <t>893592359</t>
        </is>
      </c>
    </row>
    <row r="59">
      <c r="A59" t="inlineStr">
        <is>
          <t>No</t>
        </is>
      </c>
      <c r="B59" t="inlineStr">
        <is>
          <t>HM1086 .K67 2001</t>
        </is>
      </c>
      <c r="C59" t="inlineStr">
        <is>
          <t>0                      HM 1086000K  67          2001</t>
        </is>
      </c>
      <c r="D59" t="inlineStr">
        <is>
          <t>Learning group leadership : an experiential approach / Jeffrey A. Kottler.</t>
        </is>
      </c>
      <c r="F59" t="inlineStr">
        <is>
          <t>No</t>
        </is>
      </c>
      <c r="G59" t="inlineStr">
        <is>
          <t>1</t>
        </is>
      </c>
      <c r="H59" t="inlineStr">
        <is>
          <t>No</t>
        </is>
      </c>
      <c r="I59" t="inlineStr">
        <is>
          <t>Yes</t>
        </is>
      </c>
      <c r="J59" t="inlineStr">
        <is>
          <t>0</t>
        </is>
      </c>
      <c r="K59" t="inlineStr">
        <is>
          <t>Kottler, Jeffrey A.</t>
        </is>
      </c>
      <c r="L59" t="inlineStr">
        <is>
          <t>Boston : Allyn and Bacon, c2001.</t>
        </is>
      </c>
      <c r="M59" t="inlineStr">
        <is>
          <t>2001</t>
        </is>
      </c>
      <c r="O59" t="inlineStr">
        <is>
          <t>eng</t>
        </is>
      </c>
      <c r="P59" t="inlineStr">
        <is>
          <t>mau</t>
        </is>
      </c>
      <c r="R59" t="inlineStr">
        <is>
          <t xml:space="preserve">HM </t>
        </is>
      </c>
      <c r="S59" t="n">
        <v>1</v>
      </c>
      <c r="T59" t="n">
        <v>1</v>
      </c>
      <c r="U59" t="inlineStr">
        <is>
          <t>2004-04-22</t>
        </is>
      </c>
      <c r="V59" t="inlineStr">
        <is>
          <t>2004-04-22</t>
        </is>
      </c>
      <c r="W59" t="inlineStr">
        <is>
          <t>2004-04-22</t>
        </is>
      </c>
      <c r="X59" t="inlineStr">
        <is>
          <t>2004-04-22</t>
        </is>
      </c>
      <c r="Y59" t="n">
        <v>160</v>
      </c>
      <c r="Z59" t="n">
        <v>117</v>
      </c>
      <c r="AA59" t="n">
        <v>222</v>
      </c>
      <c r="AB59" t="n">
        <v>1</v>
      </c>
      <c r="AC59" t="n">
        <v>1</v>
      </c>
      <c r="AD59" t="n">
        <v>6</v>
      </c>
      <c r="AE59" t="n">
        <v>12</v>
      </c>
      <c r="AF59" t="n">
        <v>3</v>
      </c>
      <c r="AG59" t="n">
        <v>5</v>
      </c>
      <c r="AH59" t="n">
        <v>0</v>
      </c>
      <c r="AI59" t="n">
        <v>1</v>
      </c>
      <c r="AJ59" t="n">
        <v>4</v>
      </c>
      <c r="AK59" t="n">
        <v>7</v>
      </c>
      <c r="AL59" t="n">
        <v>0</v>
      </c>
      <c r="AM59" t="n">
        <v>0</v>
      </c>
      <c r="AN59" t="n">
        <v>0</v>
      </c>
      <c r="AO59" t="n">
        <v>0</v>
      </c>
      <c r="AP59" t="inlineStr">
        <is>
          <t>No</t>
        </is>
      </c>
      <c r="AQ59" t="inlineStr">
        <is>
          <t>Yes</t>
        </is>
      </c>
      <c r="AR59">
        <f>HYPERLINK("http://catalog.hathitrust.org/Record/102011826","HathiTrust Record")</f>
        <v/>
      </c>
      <c r="AS59">
        <f>HYPERLINK("https://creighton-primo.hosted.exlibrisgroup.com/primo-explore/search?tab=default_tab&amp;search_scope=EVERYTHING&amp;vid=01CRU&amp;lang=en_US&amp;offset=0&amp;query=any,contains,991004190639702656","Catalog Record")</f>
        <v/>
      </c>
      <c r="AT59">
        <f>HYPERLINK("http://www.worldcat.org/oclc/43599077","WorldCat Record")</f>
        <v/>
      </c>
      <c r="AU59" t="inlineStr">
        <is>
          <t>864912933:eng</t>
        </is>
      </c>
      <c r="AV59" t="inlineStr">
        <is>
          <t>43599077</t>
        </is>
      </c>
      <c r="AW59" t="inlineStr">
        <is>
          <t>991004190639702656</t>
        </is>
      </c>
      <c r="AX59" t="inlineStr">
        <is>
          <t>991004190639702656</t>
        </is>
      </c>
      <c r="AY59" t="inlineStr">
        <is>
          <t>2266597590002656</t>
        </is>
      </c>
      <c r="AZ59" t="inlineStr">
        <is>
          <t>BOOK</t>
        </is>
      </c>
      <c r="BB59" t="inlineStr">
        <is>
          <t>9780205321513</t>
        </is>
      </c>
      <c r="BC59" t="inlineStr">
        <is>
          <t>32285004902234</t>
        </is>
      </c>
      <c r="BD59" t="inlineStr">
        <is>
          <t>893325047</t>
        </is>
      </c>
    </row>
    <row r="60">
      <c r="A60" t="inlineStr">
        <is>
          <t>No</t>
        </is>
      </c>
      <c r="B60" t="inlineStr">
        <is>
          <t>HM1101 .S77 2002</t>
        </is>
      </c>
      <c r="C60" t="inlineStr">
        <is>
          <t>0                      HM 1101000S  77          2002</t>
        </is>
      </c>
      <c r="D60" t="inlineStr">
        <is>
          <t>Risk, environment, and society : ongoing debates, current issues, and future prospects / Piet Strydom.</t>
        </is>
      </c>
      <c r="F60" t="inlineStr">
        <is>
          <t>No</t>
        </is>
      </c>
      <c r="G60" t="inlineStr">
        <is>
          <t>1</t>
        </is>
      </c>
      <c r="H60" t="inlineStr">
        <is>
          <t>No</t>
        </is>
      </c>
      <c r="I60" t="inlineStr">
        <is>
          <t>No</t>
        </is>
      </c>
      <c r="J60" t="inlineStr">
        <is>
          <t>0</t>
        </is>
      </c>
      <c r="K60" t="inlineStr">
        <is>
          <t>Strydom, Piet, 1946-</t>
        </is>
      </c>
      <c r="L60" t="inlineStr">
        <is>
          <t>Buckingham [England] ; Philadelphia : Open University Press, 2002.</t>
        </is>
      </c>
      <c r="M60" t="inlineStr">
        <is>
          <t>2002</t>
        </is>
      </c>
      <c r="O60" t="inlineStr">
        <is>
          <t>eng</t>
        </is>
      </c>
      <c r="P60" t="inlineStr">
        <is>
          <t>enk</t>
        </is>
      </c>
      <c r="Q60" t="inlineStr">
        <is>
          <t>Issues in society</t>
        </is>
      </c>
      <c r="R60" t="inlineStr">
        <is>
          <t xml:space="preserve">HM </t>
        </is>
      </c>
      <c r="S60" t="n">
        <v>3</v>
      </c>
      <c r="T60" t="n">
        <v>3</v>
      </c>
      <c r="U60" t="inlineStr">
        <is>
          <t>2006-04-04</t>
        </is>
      </c>
      <c r="V60" t="inlineStr">
        <is>
          <t>2006-04-04</t>
        </is>
      </c>
      <c r="W60" t="inlineStr">
        <is>
          <t>2003-01-09</t>
        </is>
      </c>
      <c r="X60" t="inlineStr">
        <is>
          <t>2003-01-09</t>
        </is>
      </c>
      <c r="Y60" t="n">
        <v>246</v>
      </c>
      <c r="Z60" t="n">
        <v>142</v>
      </c>
      <c r="AA60" t="n">
        <v>143</v>
      </c>
      <c r="AB60" t="n">
        <v>1</v>
      </c>
      <c r="AC60" t="n">
        <v>1</v>
      </c>
      <c r="AD60" t="n">
        <v>5</v>
      </c>
      <c r="AE60" t="n">
        <v>5</v>
      </c>
      <c r="AF60" t="n">
        <v>1</v>
      </c>
      <c r="AG60" t="n">
        <v>1</v>
      </c>
      <c r="AH60" t="n">
        <v>4</v>
      </c>
      <c r="AI60" t="n">
        <v>4</v>
      </c>
      <c r="AJ60" t="n">
        <v>2</v>
      </c>
      <c r="AK60" t="n">
        <v>2</v>
      </c>
      <c r="AL60" t="n">
        <v>0</v>
      </c>
      <c r="AM60" t="n">
        <v>0</v>
      </c>
      <c r="AN60" t="n">
        <v>0</v>
      </c>
      <c r="AO60" t="n">
        <v>0</v>
      </c>
      <c r="AP60" t="inlineStr">
        <is>
          <t>No</t>
        </is>
      </c>
      <c r="AQ60" t="inlineStr">
        <is>
          <t>Yes</t>
        </is>
      </c>
      <c r="AR60">
        <f>HYPERLINK("http://catalog.hathitrust.org/Record/008319317","HathiTrust Record")</f>
        <v/>
      </c>
      <c r="AS60">
        <f>HYPERLINK("https://creighton-primo.hosted.exlibrisgroup.com/primo-explore/search?tab=default_tab&amp;search_scope=EVERYTHING&amp;vid=01CRU&amp;lang=en_US&amp;offset=0&amp;query=any,contains,991003934319702656","Catalog Record")</f>
        <v/>
      </c>
      <c r="AT60">
        <f>HYPERLINK("http://www.worldcat.org/oclc/49226353","WorldCat Record")</f>
        <v/>
      </c>
      <c r="AU60" t="inlineStr">
        <is>
          <t>795786251:eng</t>
        </is>
      </c>
      <c r="AV60" t="inlineStr">
        <is>
          <t>49226353</t>
        </is>
      </c>
      <c r="AW60" t="inlineStr">
        <is>
          <t>991003934319702656</t>
        </is>
      </c>
      <c r="AX60" t="inlineStr">
        <is>
          <t>991003934319702656</t>
        </is>
      </c>
      <c r="AY60" t="inlineStr">
        <is>
          <t>2262797720002656</t>
        </is>
      </c>
      <c r="AZ60" t="inlineStr">
        <is>
          <t>BOOK</t>
        </is>
      </c>
      <c r="BB60" t="inlineStr">
        <is>
          <t>9780335207831</t>
        </is>
      </c>
      <c r="BC60" t="inlineStr">
        <is>
          <t>32285004692926</t>
        </is>
      </c>
      <c r="BD60" t="inlineStr">
        <is>
          <t>893611704</t>
        </is>
      </c>
    </row>
    <row r="61">
      <c r="A61" t="inlineStr">
        <is>
          <t>No</t>
        </is>
      </c>
      <c r="B61" t="inlineStr">
        <is>
          <t>HM1101 .W553 2010</t>
        </is>
      </c>
      <c r="C61" t="inlineStr">
        <is>
          <t>0                      HM 1101000W  553         2010</t>
        </is>
      </c>
      <c r="D61" t="inlineStr">
        <is>
          <t>Risk, vulnerability and everyday life / Iain Wilkinson.</t>
        </is>
      </c>
      <c r="F61" t="inlineStr">
        <is>
          <t>No</t>
        </is>
      </c>
      <c r="G61" t="inlineStr">
        <is>
          <t>1</t>
        </is>
      </c>
      <c r="H61" t="inlineStr">
        <is>
          <t>No</t>
        </is>
      </c>
      <c r="I61" t="inlineStr">
        <is>
          <t>No</t>
        </is>
      </c>
      <c r="J61" t="inlineStr">
        <is>
          <t>0</t>
        </is>
      </c>
      <c r="K61" t="inlineStr">
        <is>
          <t>Wilkinson, Iain, 1969-</t>
        </is>
      </c>
      <c r="L61" t="inlineStr">
        <is>
          <t>London ; New York : Routledge, c2010.</t>
        </is>
      </c>
      <c r="M61" t="inlineStr">
        <is>
          <t>2010</t>
        </is>
      </c>
      <c r="O61" t="inlineStr">
        <is>
          <t>eng</t>
        </is>
      </c>
      <c r="P61" t="inlineStr">
        <is>
          <t>enk</t>
        </is>
      </c>
      <c r="Q61" t="inlineStr">
        <is>
          <t>The new sociology</t>
        </is>
      </c>
      <c r="R61" t="inlineStr">
        <is>
          <t xml:space="preserve">HM </t>
        </is>
      </c>
      <c r="S61" t="n">
        <v>1</v>
      </c>
      <c r="T61" t="n">
        <v>1</v>
      </c>
      <c r="U61" t="inlineStr">
        <is>
          <t>2010-07-19</t>
        </is>
      </c>
      <c r="V61" t="inlineStr">
        <is>
          <t>2010-07-19</t>
        </is>
      </c>
      <c r="W61" t="inlineStr">
        <is>
          <t>2010-07-19</t>
        </is>
      </c>
      <c r="X61" t="inlineStr">
        <is>
          <t>2010-07-19</t>
        </is>
      </c>
      <c r="Y61" t="n">
        <v>203</v>
      </c>
      <c r="Z61" t="n">
        <v>145</v>
      </c>
      <c r="AA61" t="n">
        <v>186</v>
      </c>
      <c r="AB61" t="n">
        <v>3</v>
      </c>
      <c r="AC61" t="n">
        <v>3</v>
      </c>
      <c r="AD61" t="n">
        <v>13</v>
      </c>
      <c r="AE61" t="n">
        <v>14</v>
      </c>
      <c r="AF61" t="n">
        <v>4</v>
      </c>
      <c r="AG61" t="n">
        <v>4</v>
      </c>
      <c r="AH61" t="n">
        <v>3</v>
      </c>
      <c r="AI61" t="n">
        <v>3</v>
      </c>
      <c r="AJ61" t="n">
        <v>6</v>
      </c>
      <c r="AK61" t="n">
        <v>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HYPERLINK("https://creighton-primo.hosted.exlibrisgroup.com/primo-explore/search?tab=default_tab&amp;search_scope=EVERYTHING&amp;vid=01CRU&amp;lang=en_US&amp;offset=0&amp;query=any,contains,991000023829702656","Catalog Record")</f>
        <v/>
      </c>
      <c r="AT61">
        <f>HYPERLINK("http://www.worldcat.org/oclc/299143880","WorldCat Record")</f>
        <v/>
      </c>
      <c r="AU61" t="inlineStr">
        <is>
          <t>112906918:eng</t>
        </is>
      </c>
      <c r="AV61" t="inlineStr">
        <is>
          <t>299143880</t>
        </is>
      </c>
      <c r="AW61" t="inlineStr">
        <is>
          <t>991000023829702656</t>
        </is>
      </c>
      <c r="AX61" t="inlineStr">
        <is>
          <t>991000023829702656</t>
        </is>
      </c>
      <c r="AY61" t="inlineStr">
        <is>
          <t>2271979710002656</t>
        </is>
      </c>
      <c r="AZ61" t="inlineStr">
        <is>
          <t>BOOK</t>
        </is>
      </c>
      <c r="BB61" t="inlineStr">
        <is>
          <t>9780415370790</t>
        </is>
      </c>
      <c r="BC61" t="inlineStr">
        <is>
          <t>32285005590624</t>
        </is>
      </c>
      <c r="BD61" t="inlineStr">
        <is>
          <t>893589035</t>
        </is>
      </c>
    </row>
    <row r="62">
      <c r="A62" t="inlineStr">
        <is>
          <t>No</t>
        </is>
      </c>
      <c r="B62" t="inlineStr">
        <is>
          <t>HM1106 .L49 2000</t>
        </is>
      </c>
      <c r="C62" t="inlineStr">
        <is>
          <t>0                      HM 1106000L  49          2000</t>
        </is>
      </c>
      <c r="D62" t="inlineStr">
        <is>
          <t>Persons are gifts : power-filled reflections for person-centred living / Hedwig Lewis.</t>
        </is>
      </c>
      <c r="F62" t="inlineStr">
        <is>
          <t>No</t>
        </is>
      </c>
      <c r="G62" t="inlineStr">
        <is>
          <t>1</t>
        </is>
      </c>
      <c r="H62" t="inlineStr">
        <is>
          <t>No</t>
        </is>
      </c>
      <c r="I62" t="inlineStr">
        <is>
          <t>No</t>
        </is>
      </c>
      <c r="J62" t="inlineStr">
        <is>
          <t>0</t>
        </is>
      </c>
      <c r="K62" t="inlineStr">
        <is>
          <t>Lewis, Hedwig, 1945-</t>
        </is>
      </c>
      <c r="L62" t="inlineStr">
        <is>
          <t>Anand, Gujarat [India] : Gujarat Sahitya Prakash, 2000.</t>
        </is>
      </c>
      <c r="M62" t="inlineStr">
        <is>
          <t>2000</t>
        </is>
      </c>
      <c r="O62" t="inlineStr">
        <is>
          <t>eng</t>
        </is>
      </c>
      <c r="P62" t="inlineStr">
        <is>
          <t xml:space="preserve">ii </t>
        </is>
      </c>
      <c r="R62" t="inlineStr">
        <is>
          <t xml:space="preserve">HM </t>
        </is>
      </c>
      <c r="S62" t="n">
        <v>1</v>
      </c>
      <c r="T62" t="n">
        <v>1</v>
      </c>
      <c r="U62" t="inlineStr">
        <is>
          <t>2003-12-09</t>
        </is>
      </c>
      <c r="V62" t="inlineStr">
        <is>
          <t>2003-12-09</t>
        </is>
      </c>
      <c r="W62" t="inlineStr">
        <is>
          <t>2003-12-09</t>
        </is>
      </c>
      <c r="X62" t="inlineStr">
        <is>
          <t>2003-12-09</t>
        </is>
      </c>
      <c r="Y62" t="n">
        <v>3</v>
      </c>
      <c r="Z62" t="n">
        <v>2</v>
      </c>
      <c r="AA62" t="n">
        <v>2</v>
      </c>
      <c r="AB62" t="n">
        <v>1</v>
      </c>
      <c r="AC62" t="n">
        <v>1</v>
      </c>
      <c r="AD62" t="n">
        <v>1</v>
      </c>
      <c r="AE62" t="n">
        <v>1</v>
      </c>
      <c r="AF62" t="n">
        <v>0</v>
      </c>
      <c r="AG62" t="n">
        <v>0</v>
      </c>
      <c r="AH62" t="n">
        <v>0</v>
      </c>
      <c r="AI62" t="n">
        <v>0</v>
      </c>
      <c r="AJ62" t="n">
        <v>1</v>
      </c>
      <c r="AK62" t="n">
        <v>1</v>
      </c>
      <c r="AL62" t="n">
        <v>0</v>
      </c>
      <c r="AM62" t="n">
        <v>0</v>
      </c>
      <c r="AN62" t="n">
        <v>0</v>
      </c>
      <c r="AO62" t="n">
        <v>0</v>
      </c>
      <c r="AP62" t="inlineStr">
        <is>
          <t>No</t>
        </is>
      </c>
      <c r="AQ62" t="inlineStr">
        <is>
          <t>No</t>
        </is>
      </c>
      <c r="AS62">
        <f>HYPERLINK("https://creighton-primo.hosted.exlibrisgroup.com/primo-explore/search?tab=default_tab&amp;search_scope=EVERYTHING&amp;vid=01CRU&amp;lang=en_US&amp;offset=0&amp;query=any,contains,991004202249702656","Catalog Record")</f>
        <v/>
      </c>
      <c r="AT62">
        <f>HYPERLINK("http://www.worldcat.org/oclc/53663078","WorldCat Record")</f>
        <v/>
      </c>
      <c r="AU62" t="inlineStr">
        <is>
          <t>11840850:eng</t>
        </is>
      </c>
      <c r="AV62" t="inlineStr">
        <is>
          <t>53663078</t>
        </is>
      </c>
      <c r="AW62" t="inlineStr">
        <is>
          <t>991004202249702656</t>
        </is>
      </c>
      <c r="AX62" t="inlineStr">
        <is>
          <t>991004202249702656</t>
        </is>
      </c>
      <c r="AY62" t="inlineStr">
        <is>
          <t>2265557080002656</t>
        </is>
      </c>
      <c r="AZ62" t="inlineStr">
        <is>
          <t>BOOK</t>
        </is>
      </c>
      <c r="BB62" t="inlineStr">
        <is>
          <t>9788187886143</t>
        </is>
      </c>
      <c r="BC62" t="inlineStr">
        <is>
          <t>32285004887120</t>
        </is>
      </c>
      <c r="BD62" t="inlineStr">
        <is>
          <t>893417359</t>
        </is>
      </c>
    </row>
    <row r="63">
      <c r="A63" t="inlineStr">
        <is>
          <t>No</t>
        </is>
      </c>
      <c r="B63" t="inlineStr">
        <is>
          <t>HM1106 .R45 2006</t>
        </is>
      </c>
      <c r="C63" t="inlineStr">
        <is>
          <t>0                      HM 1106000R  45          2006</t>
        </is>
      </c>
      <c r="D63" t="inlineStr">
        <is>
          <t>Relationship sabotage : unconscious factors that destroy couples, marriages, and family / William J. Matta.</t>
        </is>
      </c>
      <c r="F63" t="inlineStr">
        <is>
          <t>No</t>
        </is>
      </c>
      <c r="G63" t="inlineStr">
        <is>
          <t>1</t>
        </is>
      </c>
      <c r="H63" t="inlineStr">
        <is>
          <t>No</t>
        </is>
      </c>
      <c r="I63" t="inlineStr">
        <is>
          <t>No</t>
        </is>
      </c>
      <c r="J63" t="inlineStr">
        <is>
          <t>0</t>
        </is>
      </c>
      <c r="K63" t="inlineStr">
        <is>
          <t>Matta, William J.</t>
        </is>
      </c>
      <c r="L63" t="inlineStr">
        <is>
          <t>Westport, Conn. : Praeger Publishers, 2006.</t>
        </is>
      </c>
      <c r="M63" t="inlineStr">
        <is>
          <t>2006</t>
        </is>
      </c>
      <c r="O63" t="inlineStr">
        <is>
          <t>eng</t>
        </is>
      </c>
      <c r="P63" t="inlineStr">
        <is>
          <t>ctu</t>
        </is>
      </c>
      <c r="Q63" t="inlineStr">
        <is>
          <t>Sex, love, and psychology, 1554-222X</t>
        </is>
      </c>
      <c r="R63" t="inlineStr">
        <is>
          <t xml:space="preserve">HM </t>
        </is>
      </c>
      <c r="S63" t="n">
        <v>8</v>
      </c>
      <c r="T63" t="n">
        <v>8</v>
      </c>
      <c r="U63" t="inlineStr">
        <is>
          <t>2010-03-16</t>
        </is>
      </c>
      <c r="V63" t="inlineStr">
        <is>
          <t>2010-03-16</t>
        </is>
      </c>
      <c r="W63" t="inlineStr">
        <is>
          <t>2006-11-15</t>
        </is>
      </c>
      <c r="X63" t="inlineStr">
        <is>
          <t>2006-11-15</t>
        </is>
      </c>
      <c r="Y63" t="n">
        <v>503</v>
      </c>
      <c r="Z63" t="n">
        <v>455</v>
      </c>
      <c r="AA63" t="n">
        <v>843</v>
      </c>
      <c r="AB63" t="n">
        <v>2</v>
      </c>
      <c r="AC63" t="n">
        <v>4</v>
      </c>
      <c r="AD63" t="n">
        <v>16</v>
      </c>
      <c r="AE63" t="n">
        <v>21</v>
      </c>
      <c r="AF63" t="n">
        <v>7</v>
      </c>
      <c r="AG63" t="n">
        <v>9</v>
      </c>
      <c r="AH63" t="n">
        <v>4</v>
      </c>
      <c r="AI63" t="n">
        <v>4</v>
      </c>
      <c r="AJ63" t="n">
        <v>11</v>
      </c>
      <c r="AK63" t="n">
        <v>12</v>
      </c>
      <c r="AL63" t="n">
        <v>1</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HYPERLINK("https://creighton-primo.hosted.exlibrisgroup.com/primo-explore/search?tab=default_tab&amp;search_scope=EVERYTHING&amp;vid=01CRU&amp;lang=en_US&amp;offset=0&amp;query=any,contains,991004954799702656","Catalog Record")</f>
        <v/>
      </c>
      <c r="AT63">
        <f>HYPERLINK("http://www.worldcat.org/oclc/65537884","WorldCat Record")</f>
        <v/>
      </c>
      <c r="AU63" t="inlineStr">
        <is>
          <t>288937730:eng</t>
        </is>
      </c>
      <c r="AV63" t="inlineStr">
        <is>
          <t>65537884</t>
        </is>
      </c>
      <c r="AW63" t="inlineStr">
        <is>
          <t>991004954799702656</t>
        </is>
      </c>
      <c r="AX63" t="inlineStr">
        <is>
          <t>991004954799702656</t>
        </is>
      </c>
      <c r="AY63" t="inlineStr">
        <is>
          <t>2268850470002656</t>
        </is>
      </c>
      <c r="AZ63" t="inlineStr">
        <is>
          <t>BOOK</t>
        </is>
      </c>
      <c r="BB63" t="inlineStr">
        <is>
          <t>9780275989217</t>
        </is>
      </c>
      <c r="BC63" t="inlineStr">
        <is>
          <t>32285005238638</t>
        </is>
      </c>
      <c r="BD63" t="inlineStr">
        <is>
          <t>893353616</t>
        </is>
      </c>
    </row>
    <row r="64">
      <c r="A64" t="inlineStr">
        <is>
          <t>No</t>
        </is>
      </c>
      <c r="B64" t="inlineStr">
        <is>
          <t>HM1106 .R63 2006</t>
        </is>
      </c>
      <c r="C64" t="inlineStr">
        <is>
          <t>0                      HM 1106000R  63          2006</t>
        </is>
      </c>
      <c r="D64" t="inlineStr">
        <is>
          <t>This changes everything : the relational revolution in psychology / Christina Robb.</t>
        </is>
      </c>
      <c r="F64" t="inlineStr">
        <is>
          <t>No</t>
        </is>
      </c>
      <c r="G64" t="inlineStr">
        <is>
          <t>1</t>
        </is>
      </c>
      <c r="H64" t="inlineStr">
        <is>
          <t>No</t>
        </is>
      </c>
      <c r="I64" t="inlineStr">
        <is>
          <t>No</t>
        </is>
      </c>
      <c r="J64" t="inlineStr">
        <is>
          <t>0</t>
        </is>
      </c>
      <c r="K64" t="inlineStr">
        <is>
          <t>Robb, Christina, 1946-</t>
        </is>
      </c>
      <c r="L64" t="inlineStr">
        <is>
          <t>New York : Farrar, Straus and Giroux, 2006.</t>
        </is>
      </c>
      <c r="M64" t="inlineStr">
        <is>
          <t>2006</t>
        </is>
      </c>
      <c r="N64" t="inlineStr">
        <is>
          <t>1st ed.</t>
        </is>
      </c>
      <c r="O64" t="inlineStr">
        <is>
          <t>eng</t>
        </is>
      </c>
      <c r="P64" t="inlineStr">
        <is>
          <t>nyu</t>
        </is>
      </c>
      <c r="R64" t="inlineStr">
        <is>
          <t xml:space="preserve">HM </t>
        </is>
      </c>
      <c r="S64" t="n">
        <v>3</v>
      </c>
      <c r="T64" t="n">
        <v>3</v>
      </c>
      <c r="U64" t="inlineStr">
        <is>
          <t>2006-05-02</t>
        </is>
      </c>
      <c r="V64" t="inlineStr">
        <is>
          <t>2006-05-02</t>
        </is>
      </c>
      <c r="W64" t="inlineStr">
        <is>
          <t>2006-05-02</t>
        </is>
      </c>
      <c r="X64" t="inlineStr">
        <is>
          <t>2006-05-02</t>
        </is>
      </c>
      <c r="Y64" t="n">
        <v>789</v>
      </c>
      <c r="Z64" t="n">
        <v>733</v>
      </c>
      <c r="AA64" t="n">
        <v>810</v>
      </c>
      <c r="AB64" t="n">
        <v>5</v>
      </c>
      <c r="AC64" t="n">
        <v>5</v>
      </c>
      <c r="AD64" t="n">
        <v>34</v>
      </c>
      <c r="AE64" t="n">
        <v>35</v>
      </c>
      <c r="AF64" t="n">
        <v>13</v>
      </c>
      <c r="AG64" t="n">
        <v>13</v>
      </c>
      <c r="AH64" t="n">
        <v>8</v>
      </c>
      <c r="AI64" t="n">
        <v>8</v>
      </c>
      <c r="AJ64" t="n">
        <v>18</v>
      </c>
      <c r="AK64" t="n">
        <v>19</v>
      </c>
      <c r="AL64" t="n">
        <v>4</v>
      </c>
      <c r="AM64" t="n">
        <v>4</v>
      </c>
      <c r="AN64" t="n">
        <v>1</v>
      </c>
      <c r="AO64" t="n">
        <v>1</v>
      </c>
      <c r="AP64" t="inlineStr">
        <is>
          <t>No</t>
        </is>
      </c>
      <c r="AQ64" t="inlineStr">
        <is>
          <t>No</t>
        </is>
      </c>
      <c r="AS64">
        <f>HYPERLINK("https://creighton-primo.hosted.exlibrisgroup.com/primo-explore/search?tab=default_tab&amp;search_scope=EVERYTHING&amp;vid=01CRU&amp;lang=en_US&amp;offset=0&amp;query=any,contains,991004798149702656","Catalog Record")</f>
        <v/>
      </c>
      <c r="AT64">
        <f>HYPERLINK("http://www.worldcat.org/oclc/60705476","WorldCat Record")</f>
        <v/>
      </c>
      <c r="AU64" t="inlineStr">
        <is>
          <t>196086843:eng</t>
        </is>
      </c>
      <c r="AV64" t="inlineStr">
        <is>
          <t>60705476</t>
        </is>
      </c>
      <c r="AW64" t="inlineStr">
        <is>
          <t>991004798149702656</t>
        </is>
      </c>
      <c r="AX64" t="inlineStr">
        <is>
          <t>991004798149702656</t>
        </is>
      </c>
      <c r="AY64" t="inlineStr">
        <is>
          <t>2265368930002656</t>
        </is>
      </c>
      <c r="AZ64" t="inlineStr">
        <is>
          <t>BOOK</t>
        </is>
      </c>
      <c r="BB64" t="inlineStr">
        <is>
          <t>9780374275815</t>
        </is>
      </c>
      <c r="BC64" t="inlineStr">
        <is>
          <t>32285005184113</t>
        </is>
      </c>
      <c r="BD64" t="inlineStr">
        <is>
          <t>893612782</t>
        </is>
      </c>
    </row>
    <row r="65">
      <c r="A65" t="inlineStr">
        <is>
          <t>No</t>
        </is>
      </c>
      <c r="B65" t="inlineStr">
        <is>
          <t>HM1106 .S25 2001</t>
        </is>
      </c>
      <c r="C65" t="inlineStr">
        <is>
          <t>0                      HM 1106000S  25          2001</t>
        </is>
      </c>
      <c r="D65" t="inlineStr">
        <is>
          <t>Human behavior and social environments : a biopsychosocial approach / Dennis Saleebey.</t>
        </is>
      </c>
      <c r="F65" t="inlineStr">
        <is>
          <t>No</t>
        </is>
      </c>
      <c r="G65" t="inlineStr">
        <is>
          <t>1</t>
        </is>
      </c>
      <c r="H65" t="inlineStr">
        <is>
          <t>No</t>
        </is>
      </c>
      <c r="I65" t="inlineStr">
        <is>
          <t>No</t>
        </is>
      </c>
      <c r="J65" t="inlineStr">
        <is>
          <t>0</t>
        </is>
      </c>
      <c r="K65" t="inlineStr">
        <is>
          <t>Saleebey, Dennis.</t>
        </is>
      </c>
      <c r="L65" t="inlineStr">
        <is>
          <t>New York : Columbia University Press, c2001.</t>
        </is>
      </c>
      <c r="M65" t="inlineStr">
        <is>
          <t>2001</t>
        </is>
      </c>
      <c r="O65" t="inlineStr">
        <is>
          <t>eng</t>
        </is>
      </c>
      <c r="P65" t="inlineStr">
        <is>
          <t>nyu</t>
        </is>
      </c>
      <c r="Q65" t="inlineStr">
        <is>
          <t>Foundations of social work knowledge</t>
        </is>
      </c>
      <c r="R65" t="inlineStr">
        <is>
          <t xml:space="preserve">HM </t>
        </is>
      </c>
      <c r="S65" t="n">
        <v>5</v>
      </c>
      <c r="T65" t="n">
        <v>5</v>
      </c>
      <c r="U65" t="inlineStr">
        <is>
          <t>2008-11-24</t>
        </is>
      </c>
      <c r="V65" t="inlineStr">
        <is>
          <t>2008-11-24</t>
        </is>
      </c>
      <c r="W65" t="inlineStr">
        <is>
          <t>2001-10-04</t>
        </is>
      </c>
      <c r="X65" t="inlineStr">
        <is>
          <t>2001-10-04</t>
        </is>
      </c>
      <c r="Y65" t="n">
        <v>327</v>
      </c>
      <c r="Z65" t="n">
        <v>265</v>
      </c>
      <c r="AA65" t="n">
        <v>1030</v>
      </c>
      <c r="AB65" t="n">
        <v>2</v>
      </c>
      <c r="AC65" t="n">
        <v>27</v>
      </c>
      <c r="AD65" t="n">
        <v>8</v>
      </c>
      <c r="AE65" t="n">
        <v>43</v>
      </c>
      <c r="AF65" t="n">
        <v>4</v>
      </c>
      <c r="AG65" t="n">
        <v>15</v>
      </c>
      <c r="AH65" t="n">
        <v>2</v>
      </c>
      <c r="AI65" t="n">
        <v>8</v>
      </c>
      <c r="AJ65" t="n">
        <v>3</v>
      </c>
      <c r="AK65" t="n">
        <v>15</v>
      </c>
      <c r="AL65" t="n">
        <v>1</v>
      </c>
      <c r="AM65" t="n">
        <v>12</v>
      </c>
      <c r="AN65" t="n">
        <v>0</v>
      </c>
      <c r="AO65" t="n">
        <v>1</v>
      </c>
      <c r="AP65" t="inlineStr">
        <is>
          <t>No</t>
        </is>
      </c>
      <c r="AQ65" t="inlineStr">
        <is>
          <t>No</t>
        </is>
      </c>
      <c r="AS65">
        <f>HYPERLINK("https://creighton-primo.hosted.exlibrisgroup.com/primo-explore/search?tab=default_tab&amp;search_scope=EVERYTHING&amp;vid=01CRU&amp;lang=en_US&amp;offset=0&amp;query=any,contains,991003625279702656","Catalog Record")</f>
        <v/>
      </c>
      <c r="AT65">
        <f>HYPERLINK("http://www.worldcat.org/oclc/46240369","WorldCat Record")</f>
        <v/>
      </c>
      <c r="AU65" t="inlineStr">
        <is>
          <t>800301830:eng</t>
        </is>
      </c>
      <c r="AV65" t="inlineStr">
        <is>
          <t>46240369</t>
        </is>
      </c>
      <c r="AW65" t="inlineStr">
        <is>
          <t>991003625279702656</t>
        </is>
      </c>
      <c r="AX65" t="inlineStr">
        <is>
          <t>991003625279702656</t>
        </is>
      </c>
      <c r="AY65" t="inlineStr">
        <is>
          <t>2265437430002656</t>
        </is>
      </c>
      <c r="AZ65" t="inlineStr">
        <is>
          <t>BOOK</t>
        </is>
      </c>
      <c r="BB65" t="inlineStr">
        <is>
          <t>9780231112802</t>
        </is>
      </c>
      <c r="BC65" t="inlineStr">
        <is>
          <t>32285004395348</t>
        </is>
      </c>
      <c r="BD65" t="inlineStr">
        <is>
          <t>893874974</t>
        </is>
      </c>
    </row>
    <row r="66">
      <c r="A66" t="inlineStr">
        <is>
          <t>No</t>
        </is>
      </c>
      <c r="B66" t="inlineStr">
        <is>
          <t>HM1111 .S565 2008</t>
        </is>
      </c>
      <c r="C66" t="inlineStr">
        <is>
          <t>0                      HM 1111000S  565         2008</t>
        </is>
      </c>
      <c r="D66" t="inlineStr">
        <is>
          <t>Sociobiology of communication : an interdisciplinary perspective / edited by Patrizia d'Ettorre and David P. Hughes.</t>
        </is>
      </c>
      <c r="F66" t="inlineStr">
        <is>
          <t>No</t>
        </is>
      </c>
      <c r="G66" t="inlineStr">
        <is>
          <t>1</t>
        </is>
      </c>
      <c r="H66" t="inlineStr">
        <is>
          <t>No</t>
        </is>
      </c>
      <c r="I66" t="inlineStr">
        <is>
          <t>No</t>
        </is>
      </c>
      <c r="J66" t="inlineStr">
        <is>
          <t>0</t>
        </is>
      </c>
      <c r="L66" t="inlineStr">
        <is>
          <t>Oxford ; New York : Oxford University Press, 2008.</t>
        </is>
      </c>
      <c r="M66" t="inlineStr">
        <is>
          <t>2008</t>
        </is>
      </c>
      <c r="O66" t="inlineStr">
        <is>
          <t>eng</t>
        </is>
      </c>
      <c r="P66" t="inlineStr">
        <is>
          <t>enk</t>
        </is>
      </c>
      <c r="Q66" t="inlineStr">
        <is>
          <t>Oxford biology</t>
        </is>
      </c>
      <c r="R66" t="inlineStr">
        <is>
          <t xml:space="preserve">HM </t>
        </is>
      </c>
      <c r="S66" t="n">
        <v>1</v>
      </c>
      <c r="T66" t="n">
        <v>1</v>
      </c>
      <c r="U66" t="inlineStr">
        <is>
          <t>2010-02-02</t>
        </is>
      </c>
      <c r="V66" t="inlineStr">
        <is>
          <t>2010-02-02</t>
        </is>
      </c>
      <c r="W66" t="inlineStr">
        <is>
          <t>2010-02-02</t>
        </is>
      </c>
      <c r="X66" t="inlineStr">
        <is>
          <t>2010-02-02</t>
        </is>
      </c>
      <c r="Y66" t="n">
        <v>204</v>
      </c>
      <c r="Z66" t="n">
        <v>136</v>
      </c>
      <c r="AA66" t="n">
        <v>252</v>
      </c>
      <c r="AB66" t="n">
        <v>1</v>
      </c>
      <c r="AC66" t="n">
        <v>2</v>
      </c>
      <c r="AD66" t="n">
        <v>5</v>
      </c>
      <c r="AE66" t="n">
        <v>11</v>
      </c>
      <c r="AF66" t="n">
        <v>2</v>
      </c>
      <c r="AG66" t="n">
        <v>2</v>
      </c>
      <c r="AH66" t="n">
        <v>2</v>
      </c>
      <c r="AI66" t="n">
        <v>7</v>
      </c>
      <c r="AJ66" t="n">
        <v>4</v>
      </c>
      <c r="AK66" t="n">
        <v>5</v>
      </c>
      <c r="AL66" t="n">
        <v>0</v>
      </c>
      <c r="AM66" t="n">
        <v>1</v>
      </c>
      <c r="AN66" t="n">
        <v>0</v>
      </c>
      <c r="AO66" t="n">
        <v>0</v>
      </c>
      <c r="AP66" t="inlineStr">
        <is>
          <t>No</t>
        </is>
      </c>
      <c r="AQ66" t="inlineStr">
        <is>
          <t>Yes</t>
        </is>
      </c>
      <c r="AR66">
        <f>HYPERLINK("http://catalog.hathitrust.org/Record/005952991","HathiTrust Record")</f>
        <v/>
      </c>
      <c r="AS66">
        <f>HYPERLINK("https://creighton-primo.hosted.exlibrisgroup.com/primo-explore/search?tab=default_tab&amp;search_scope=EVERYTHING&amp;vid=01CRU&amp;lang=en_US&amp;offset=0&amp;query=any,contains,991005359199702656","Catalog Record")</f>
        <v/>
      </c>
      <c r="AT66">
        <f>HYPERLINK("http://www.worldcat.org/oclc/191929841","WorldCat Record")</f>
        <v/>
      </c>
      <c r="AU66" t="inlineStr">
        <is>
          <t>1073774189:eng</t>
        </is>
      </c>
      <c r="AV66" t="inlineStr">
        <is>
          <t>191929841</t>
        </is>
      </c>
      <c r="AW66" t="inlineStr">
        <is>
          <t>991005359199702656</t>
        </is>
      </c>
      <c r="AX66" t="inlineStr">
        <is>
          <t>991005359199702656</t>
        </is>
      </c>
      <c r="AY66" t="inlineStr">
        <is>
          <t>2265312340002656</t>
        </is>
      </c>
      <c r="AZ66" t="inlineStr">
        <is>
          <t>BOOK</t>
        </is>
      </c>
      <c r="BB66" t="inlineStr">
        <is>
          <t>9780199216833</t>
        </is>
      </c>
      <c r="BC66" t="inlineStr">
        <is>
          <t>32285005570972</t>
        </is>
      </c>
      <c r="BD66" t="inlineStr">
        <is>
          <t>893514562</t>
        </is>
      </c>
    </row>
    <row r="67">
      <c r="A67" t="inlineStr">
        <is>
          <t>No</t>
        </is>
      </c>
      <c r="B67" t="inlineStr">
        <is>
          <t>HM1116 .B36 2002</t>
        </is>
      </c>
      <c r="C67" t="inlineStr">
        <is>
          <t>0                      HM 1116000B  36          2002</t>
        </is>
      </c>
      <c r="D67" t="inlineStr">
        <is>
          <t>The subject of violence : Arendtean exercises in understanding / Bar On Bat-Ami.</t>
        </is>
      </c>
      <c r="F67" t="inlineStr">
        <is>
          <t>No</t>
        </is>
      </c>
      <c r="G67" t="inlineStr">
        <is>
          <t>1</t>
        </is>
      </c>
      <c r="H67" t="inlineStr">
        <is>
          <t>No</t>
        </is>
      </c>
      <c r="I67" t="inlineStr">
        <is>
          <t>No</t>
        </is>
      </c>
      <c r="J67" t="inlineStr">
        <is>
          <t>0</t>
        </is>
      </c>
      <c r="K67" t="inlineStr">
        <is>
          <t>Bar On, Bat-Ami, 1948-</t>
        </is>
      </c>
      <c r="L67" t="inlineStr">
        <is>
          <t>Lanham : Rowman &amp; Littlefield, c2002.</t>
        </is>
      </c>
      <c r="M67" t="inlineStr">
        <is>
          <t>2002</t>
        </is>
      </c>
      <c r="O67" t="inlineStr">
        <is>
          <t>eng</t>
        </is>
      </c>
      <c r="P67" t="inlineStr">
        <is>
          <t>mdu</t>
        </is>
      </c>
      <c r="Q67" t="inlineStr">
        <is>
          <t>Feminist constructions</t>
        </is>
      </c>
      <c r="R67" t="inlineStr">
        <is>
          <t xml:space="preserve">HM </t>
        </is>
      </c>
      <c r="S67" t="n">
        <v>1</v>
      </c>
      <c r="T67" t="n">
        <v>1</v>
      </c>
      <c r="U67" t="inlineStr">
        <is>
          <t>2004-11-15</t>
        </is>
      </c>
      <c r="V67" t="inlineStr">
        <is>
          <t>2004-11-15</t>
        </is>
      </c>
      <c r="W67" t="inlineStr">
        <is>
          <t>2004-11-15</t>
        </is>
      </c>
      <c r="X67" t="inlineStr">
        <is>
          <t>2004-11-15</t>
        </is>
      </c>
      <c r="Y67" t="n">
        <v>293</v>
      </c>
      <c r="Z67" t="n">
        <v>239</v>
      </c>
      <c r="AA67" t="n">
        <v>242</v>
      </c>
      <c r="AB67" t="n">
        <v>3</v>
      </c>
      <c r="AC67" t="n">
        <v>3</v>
      </c>
      <c r="AD67" t="n">
        <v>17</v>
      </c>
      <c r="AE67" t="n">
        <v>18</v>
      </c>
      <c r="AF67" t="n">
        <v>8</v>
      </c>
      <c r="AG67" t="n">
        <v>8</v>
      </c>
      <c r="AH67" t="n">
        <v>5</v>
      </c>
      <c r="AI67" t="n">
        <v>5</v>
      </c>
      <c r="AJ67" t="n">
        <v>8</v>
      </c>
      <c r="AK67" t="n">
        <v>9</v>
      </c>
      <c r="AL67" t="n">
        <v>2</v>
      </c>
      <c r="AM67" t="n">
        <v>2</v>
      </c>
      <c r="AN67" t="n">
        <v>0</v>
      </c>
      <c r="AO67" t="n">
        <v>0</v>
      </c>
      <c r="AP67" t="inlineStr">
        <is>
          <t>No</t>
        </is>
      </c>
      <c r="AQ67" t="inlineStr">
        <is>
          <t>Yes</t>
        </is>
      </c>
      <c r="AR67">
        <f>HYPERLINK("http://catalog.hathitrust.org/Record/004249464","HathiTrust Record")</f>
        <v/>
      </c>
      <c r="AS67">
        <f>HYPERLINK("https://creighton-primo.hosted.exlibrisgroup.com/primo-explore/search?tab=default_tab&amp;search_scope=EVERYTHING&amp;vid=01CRU&amp;lang=en_US&amp;offset=0&amp;query=any,contains,991004409229702656","Catalog Record")</f>
        <v/>
      </c>
      <c r="AT67">
        <f>HYPERLINK("http://www.worldcat.org/oclc/49565298","WorldCat Record")</f>
        <v/>
      </c>
      <c r="AU67" t="inlineStr">
        <is>
          <t>20632600:eng</t>
        </is>
      </c>
      <c r="AV67" t="inlineStr">
        <is>
          <t>49565298</t>
        </is>
      </c>
      <c r="AW67" t="inlineStr">
        <is>
          <t>991004409229702656</t>
        </is>
      </c>
      <c r="AX67" t="inlineStr">
        <is>
          <t>991004409229702656</t>
        </is>
      </c>
      <c r="AY67" t="inlineStr">
        <is>
          <t>2260315950002656</t>
        </is>
      </c>
      <c r="AZ67" t="inlineStr">
        <is>
          <t>BOOK</t>
        </is>
      </c>
      <c r="BB67" t="inlineStr">
        <is>
          <t>9780847697700</t>
        </is>
      </c>
      <c r="BC67" t="inlineStr">
        <is>
          <t>32285005010185</t>
        </is>
      </c>
      <c r="BD67" t="inlineStr">
        <is>
          <t>893253658</t>
        </is>
      </c>
    </row>
    <row r="68">
      <c r="A68" t="inlineStr">
        <is>
          <t>No</t>
        </is>
      </c>
      <c r="B68" t="inlineStr">
        <is>
          <t>HM1116 .H36 2002</t>
        </is>
      </c>
      <c r="C68" t="inlineStr">
        <is>
          <t>0                      HM 1116000H  36          2002</t>
        </is>
      </c>
      <c r="D68" t="inlineStr">
        <is>
          <t>Handbook of violence / [edited by] Lisa A. Rapp-Paglicci, Albert R. Roberts, John S. Wodarski.</t>
        </is>
      </c>
      <c r="F68" t="inlineStr">
        <is>
          <t>No</t>
        </is>
      </c>
      <c r="G68" t="inlineStr">
        <is>
          <t>1</t>
        </is>
      </c>
      <c r="H68" t="inlineStr">
        <is>
          <t>No</t>
        </is>
      </c>
      <c r="I68" t="inlineStr">
        <is>
          <t>No</t>
        </is>
      </c>
      <c r="J68" t="inlineStr">
        <is>
          <t>0</t>
        </is>
      </c>
      <c r="L68" t="inlineStr">
        <is>
          <t>New York : Wiley, c2002.</t>
        </is>
      </c>
      <c r="M68" t="inlineStr">
        <is>
          <t>2002</t>
        </is>
      </c>
      <c r="O68" t="inlineStr">
        <is>
          <t>eng</t>
        </is>
      </c>
      <c r="P68" t="inlineStr">
        <is>
          <t>nyu</t>
        </is>
      </c>
      <c r="R68" t="inlineStr">
        <is>
          <t xml:space="preserve">HM </t>
        </is>
      </c>
      <c r="S68" t="n">
        <v>1</v>
      </c>
      <c r="T68" t="n">
        <v>1</v>
      </c>
      <c r="U68" t="inlineStr">
        <is>
          <t>2004-03-02</t>
        </is>
      </c>
      <c r="V68" t="inlineStr">
        <is>
          <t>2004-03-02</t>
        </is>
      </c>
      <c r="W68" t="inlineStr">
        <is>
          <t>2004-03-02</t>
        </is>
      </c>
      <c r="X68" t="inlineStr">
        <is>
          <t>2004-03-02</t>
        </is>
      </c>
      <c r="Y68" t="n">
        <v>688</v>
      </c>
      <c r="Z68" t="n">
        <v>585</v>
      </c>
      <c r="AA68" t="n">
        <v>612</v>
      </c>
      <c r="AB68" t="n">
        <v>4</v>
      </c>
      <c r="AC68" t="n">
        <v>4</v>
      </c>
      <c r="AD68" t="n">
        <v>24</v>
      </c>
      <c r="AE68" t="n">
        <v>24</v>
      </c>
      <c r="AF68" t="n">
        <v>11</v>
      </c>
      <c r="AG68" t="n">
        <v>11</v>
      </c>
      <c r="AH68" t="n">
        <v>7</v>
      </c>
      <c r="AI68" t="n">
        <v>7</v>
      </c>
      <c r="AJ68" t="n">
        <v>10</v>
      </c>
      <c r="AK68" t="n">
        <v>10</v>
      </c>
      <c r="AL68" t="n">
        <v>3</v>
      </c>
      <c r="AM68" t="n">
        <v>3</v>
      </c>
      <c r="AN68" t="n">
        <v>0</v>
      </c>
      <c r="AO68" t="n">
        <v>0</v>
      </c>
      <c r="AP68" t="inlineStr">
        <is>
          <t>No</t>
        </is>
      </c>
      <c r="AQ68" t="inlineStr">
        <is>
          <t>No</t>
        </is>
      </c>
      <c r="AS68">
        <f>HYPERLINK("https://creighton-primo.hosted.exlibrisgroup.com/primo-explore/search?tab=default_tab&amp;search_scope=EVERYTHING&amp;vid=01CRU&amp;lang=en_US&amp;offset=0&amp;query=any,contains,991004238369702656","Catalog Record")</f>
        <v/>
      </c>
      <c r="AT68">
        <f>HYPERLINK("http://www.worldcat.org/oclc/47922847","WorldCat Record")</f>
        <v/>
      </c>
      <c r="AU68" t="inlineStr">
        <is>
          <t>766904915:eng</t>
        </is>
      </c>
      <c r="AV68" t="inlineStr">
        <is>
          <t>47922847</t>
        </is>
      </c>
      <c r="AW68" t="inlineStr">
        <is>
          <t>991004238369702656</t>
        </is>
      </c>
      <c r="AX68" t="inlineStr">
        <is>
          <t>991004238369702656</t>
        </is>
      </c>
      <c r="AY68" t="inlineStr">
        <is>
          <t>2262609840002656</t>
        </is>
      </c>
      <c r="AZ68" t="inlineStr">
        <is>
          <t>BOOK</t>
        </is>
      </c>
      <c r="BB68" t="inlineStr">
        <is>
          <t>9780471414674</t>
        </is>
      </c>
      <c r="BC68" t="inlineStr">
        <is>
          <t>32285004891924</t>
        </is>
      </c>
      <c r="BD68" t="inlineStr">
        <is>
          <t>893229101</t>
        </is>
      </c>
    </row>
    <row r="69">
      <c r="A69" t="inlineStr">
        <is>
          <t>No</t>
        </is>
      </c>
      <c r="B69" t="inlineStr">
        <is>
          <t>HM1116 .M65 2002</t>
        </is>
      </c>
      <c r="C69" t="inlineStr">
        <is>
          <t>0                      HM 1116000M  65          2002</t>
        </is>
      </c>
      <c r="D69" t="inlineStr">
        <is>
          <t>A violent heart : understanding aggressive individuals / Gregory K. Moffatt.</t>
        </is>
      </c>
      <c r="F69" t="inlineStr">
        <is>
          <t>No</t>
        </is>
      </c>
      <c r="G69" t="inlineStr">
        <is>
          <t>1</t>
        </is>
      </c>
      <c r="H69" t="inlineStr">
        <is>
          <t>No</t>
        </is>
      </c>
      <c r="I69" t="inlineStr">
        <is>
          <t>No</t>
        </is>
      </c>
      <c r="J69" t="inlineStr">
        <is>
          <t>0</t>
        </is>
      </c>
      <c r="K69" t="inlineStr">
        <is>
          <t>Moffatt, Gregory K., 1961-</t>
        </is>
      </c>
      <c r="L69" t="inlineStr">
        <is>
          <t>Westport, Conn. : Praeger, 2002.</t>
        </is>
      </c>
      <c r="M69" t="inlineStr">
        <is>
          <t>2002</t>
        </is>
      </c>
      <c r="O69" t="inlineStr">
        <is>
          <t>eng</t>
        </is>
      </c>
      <c r="P69" t="inlineStr">
        <is>
          <t>ctu</t>
        </is>
      </c>
      <c r="R69" t="inlineStr">
        <is>
          <t xml:space="preserve">HM </t>
        </is>
      </c>
      <c r="S69" t="n">
        <v>2</v>
      </c>
      <c r="T69" t="n">
        <v>2</v>
      </c>
      <c r="U69" t="inlineStr">
        <is>
          <t>2006-09-21</t>
        </is>
      </c>
      <c r="V69" t="inlineStr">
        <is>
          <t>2006-09-21</t>
        </is>
      </c>
      <c r="W69" t="inlineStr">
        <is>
          <t>2003-04-10</t>
        </is>
      </c>
      <c r="X69" t="inlineStr">
        <is>
          <t>2003-04-10</t>
        </is>
      </c>
      <c r="Y69" t="n">
        <v>885</v>
      </c>
      <c r="Z69" t="n">
        <v>818</v>
      </c>
      <c r="AA69" t="n">
        <v>1435</v>
      </c>
      <c r="AB69" t="n">
        <v>6</v>
      </c>
      <c r="AC69" t="n">
        <v>39</v>
      </c>
      <c r="AD69" t="n">
        <v>33</v>
      </c>
      <c r="AE69" t="n">
        <v>48</v>
      </c>
      <c r="AF69" t="n">
        <v>14</v>
      </c>
      <c r="AG69" t="n">
        <v>17</v>
      </c>
      <c r="AH69" t="n">
        <v>5</v>
      </c>
      <c r="AI69" t="n">
        <v>5</v>
      </c>
      <c r="AJ69" t="n">
        <v>15</v>
      </c>
      <c r="AK69" t="n">
        <v>17</v>
      </c>
      <c r="AL69" t="n">
        <v>4</v>
      </c>
      <c r="AM69" t="n">
        <v>15</v>
      </c>
      <c r="AN69" t="n">
        <v>1</v>
      </c>
      <c r="AO69" t="n">
        <v>1</v>
      </c>
      <c r="AP69" t="inlineStr">
        <is>
          <t>No</t>
        </is>
      </c>
      <c r="AQ69" t="inlineStr">
        <is>
          <t>No</t>
        </is>
      </c>
      <c r="AS69">
        <f>HYPERLINK("https://creighton-primo.hosted.exlibrisgroup.com/primo-explore/search?tab=default_tab&amp;search_scope=EVERYTHING&amp;vid=01CRU&amp;lang=en_US&amp;offset=0&amp;query=any,contains,991004002999702656","Catalog Record")</f>
        <v/>
      </c>
      <c r="AT69">
        <f>HYPERLINK("http://www.worldcat.org/oclc/48223000","WorldCat Record")</f>
        <v/>
      </c>
      <c r="AU69" t="inlineStr">
        <is>
          <t>2586448:eng</t>
        </is>
      </c>
      <c r="AV69" t="inlineStr">
        <is>
          <t>48223000</t>
        </is>
      </c>
      <c r="AW69" t="inlineStr">
        <is>
          <t>991004002999702656</t>
        </is>
      </c>
      <c r="AX69" t="inlineStr">
        <is>
          <t>991004002999702656</t>
        </is>
      </c>
      <c r="AY69" t="inlineStr">
        <is>
          <t>2255558140002656</t>
        </is>
      </c>
      <c r="AZ69" t="inlineStr">
        <is>
          <t>BOOK</t>
        </is>
      </c>
      <c r="BB69" t="inlineStr">
        <is>
          <t>9780275973360</t>
        </is>
      </c>
      <c r="BC69" t="inlineStr">
        <is>
          <t>32285004740964</t>
        </is>
      </c>
      <c r="BD69" t="inlineStr">
        <is>
          <t>893253124</t>
        </is>
      </c>
    </row>
    <row r="70">
      <c r="A70" t="inlineStr">
        <is>
          <t>No</t>
        </is>
      </c>
      <c r="B70" t="inlineStr">
        <is>
          <t>HM1116 .P738 2006</t>
        </is>
      </c>
      <c r="C70" t="inlineStr">
        <is>
          <t>0                      HM 1116000P  738         2006</t>
        </is>
      </c>
      <c r="D70" t="inlineStr">
        <is>
          <t>Preventing violence : research and evidence-based intervention strategies / edited by John R. Lutzker.</t>
        </is>
      </c>
      <c r="F70" t="inlineStr">
        <is>
          <t>No</t>
        </is>
      </c>
      <c r="G70" t="inlineStr">
        <is>
          <t>1</t>
        </is>
      </c>
      <c r="H70" t="inlineStr">
        <is>
          <t>No</t>
        </is>
      </c>
      <c r="I70" t="inlineStr">
        <is>
          <t>No</t>
        </is>
      </c>
      <c r="J70" t="inlineStr">
        <is>
          <t>0</t>
        </is>
      </c>
      <c r="L70" t="inlineStr">
        <is>
          <t>Washington, DC : American Psychological Association, c2006.</t>
        </is>
      </c>
      <c r="M70" t="inlineStr">
        <is>
          <t>2006</t>
        </is>
      </c>
      <c r="O70" t="inlineStr">
        <is>
          <t>eng</t>
        </is>
      </c>
      <c r="P70" t="inlineStr">
        <is>
          <t>dcu</t>
        </is>
      </c>
      <c r="R70" t="inlineStr">
        <is>
          <t xml:space="preserve">HM </t>
        </is>
      </c>
      <c r="S70" t="n">
        <v>4</v>
      </c>
      <c r="T70" t="n">
        <v>4</v>
      </c>
      <c r="U70" t="inlineStr">
        <is>
          <t>2009-02-27</t>
        </is>
      </c>
      <c r="V70" t="inlineStr">
        <is>
          <t>2009-02-27</t>
        </is>
      </c>
      <c r="W70" t="inlineStr">
        <is>
          <t>2006-03-07</t>
        </is>
      </c>
      <c r="X70" t="inlineStr">
        <is>
          <t>2006-03-07</t>
        </is>
      </c>
      <c r="Y70" t="n">
        <v>501</v>
      </c>
      <c r="Z70" t="n">
        <v>408</v>
      </c>
      <c r="AA70" t="n">
        <v>472</v>
      </c>
      <c r="AB70" t="n">
        <v>5</v>
      </c>
      <c r="AC70" t="n">
        <v>5</v>
      </c>
      <c r="AD70" t="n">
        <v>22</v>
      </c>
      <c r="AE70" t="n">
        <v>28</v>
      </c>
      <c r="AF70" t="n">
        <v>7</v>
      </c>
      <c r="AG70" t="n">
        <v>9</v>
      </c>
      <c r="AH70" t="n">
        <v>7</v>
      </c>
      <c r="AI70" t="n">
        <v>7</v>
      </c>
      <c r="AJ70" t="n">
        <v>8</v>
      </c>
      <c r="AK70" t="n">
        <v>12</v>
      </c>
      <c r="AL70" t="n">
        <v>4</v>
      </c>
      <c r="AM70" t="n">
        <v>4</v>
      </c>
      <c r="AN70" t="n">
        <v>1</v>
      </c>
      <c r="AO70" t="n">
        <v>1</v>
      </c>
      <c r="AP70" t="inlineStr">
        <is>
          <t>No</t>
        </is>
      </c>
      <c r="AQ70" t="inlineStr">
        <is>
          <t>Yes</t>
        </is>
      </c>
      <c r="AR70">
        <f>HYPERLINK("http://catalog.hathitrust.org/Record/005143393","HathiTrust Record")</f>
        <v/>
      </c>
      <c r="AS70">
        <f>HYPERLINK("https://creighton-primo.hosted.exlibrisgroup.com/primo-explore/search?tab=default_tab&amp;search_scope=EVERYTHING&amp;vid=01CRU&amp;lang=en_US&amp;offset=0&amp;query=any,contains,991004761499702656","Catalog Record")</f>
        <v/>
      </c>
      <c r="AT70">
        <f>HYPERLINK("http://www.worldcat.org/oclc/60605147","WorldCat Record")</f>
        <v/>
      </c>
      <c r="AU70" t="inlineStr">
        <is>
          <t>3855379591:eng</t>
        </is>
      </c>
      <c r="AV70" t="inlineStr">
        <is>
          <t>60605147</t>
        </is>
      </c>
      <c r="AW70" t="inlineStr">
        <is>
          <t>991004761499702656</t>
        </is>
      </c>
      <c r="AX70" t="inlineStr">
        <is>
          <t>991004761499702656</t>
        </is>
      </c>
      <c r="AY70" t="inlineStr">
        <is>
          <t>2262420770002656</t>
        </is>
      </c>
      <c r="AZ70" t="inlineStr">
        <is>
          <t>BOOK</t>
        </is>
      </c>
      <c r="BB70" t="inlineStr">
        <is>
          <t>9781591473428</t>
        </is>
      </c>
      <c r="BC70" t="inlineStr">
        <is>
          <t>32285005169221</t>
        </is>
      </c>
      <c r="BD70" t="inlineStr">
        <is>
          <t>893807445</t>
        </is>
      </c>
    </row>
    <row r="71">
      <c r="A71" t="inlineStr">
        <is>
          <t>No</t>
        </is>
      </c>
      <c r="B71" t="inlineStr">
        <is>
          <t>HM1121 .M33 2004</t>
        </is>
      </c>
      <c r="C71" t="inlineStr">
        <is>
          <t>0                      HM 1121000M  33          2004</t>
        </is>
      </c>
      <c r="D71" t="inlineStr">
        <is>
          <t>Managing and settling ethnic conflicts : perspectives on successes and failures in Europe, Africa and Asia / Ulrich Schneckener, Stefan Wolff, editors.</t>
        </is>
      </c>
      <c r="F71" t="inlineStr">
        <is>
          <t>No</t>
        </is>
      </c>
      <c r="G71" t="inlineStr">
        <is>
          <t>1</t>
        </is>
      </c>
      <c r="H71" t="inlineStr">
        <is>
          <t>No</t>
        </is>
      </c>
      <c r="I71" t="inlineStr">
        <is>
          <t>No</t>
        </is>
      </c>
      <c r="J71" t="inlineStr">
        <is>
          <t>0</t>
        </is>
      </c>
      <c r="L71" t="inlineStr">
        <is>
          <t>New York : Palgrave Macmillan, 2004.</t>
        </is>
      </c>
      <c r="M71" t="inlineStr">
        <is>
          <t>2004</t>
        </is>
      </c>
      <c r="N71" t="inlineStr">
        <is>
          <t>1st ed.</t>
        </is>
      </c>
      <c r="O71" t="inlineStr">
        <is>
          <t>eng</t>
        </is>
      </c>
      <c r="P71" t="inlineStr">
        <is>
          <t>nyu</t>
        </is>
      </c>
      <c r="R71" t="inlineStr">
        <is>
          <t xml:space="preserve">HM </t>
        </is>
      </c>
      <c r="S71" t="n">
        <v>2</v>
      </c>
      <c r="T71" t="n">
        <v>2</v>
      </c>
      <c r="U71" t="inlineStr">
        <is>
          <t>2010-04-19</t>
        </is>
      </c>
      <c r="V71" t="inlineStr">
        <is>
          <t>2010-04-19</t>
        </is>
      </c>
      <c r="W71" t="inlineStr">
        <is>
          <t>2004-12-07</t>
        </is>
      </c>
      <c r="X71" t="inlineStr">
        <is>
          <t>2004-12-07</t>
        </is>
      </c>
      <c r="Y71" t="n">
        <v>196</v>
      </c>
      <c r="Z71" t="n">
        <v>164</v>
      </c>
      <c r="AA71" t="n">
        <v>196</v>
      </c>
      <c r="AB71" t="n">
        <v>3</v>
      </c>
      <c r="AC71" t="n">
        <v>3</v>
      </c>
      <c r="AD71" t="n">
        <v>12</v>
      </c>
      <c r="AE71" t="n">
        <v>12</v>
      </c>
      <c r="AF71" t="n">
        <v>3</v>
      </c>
      <c r="AG71" t="n">
        <v>3</v>
      </c>
      <c r="AH71" t="n">
        <v>4</v>
      </c>
      <c r="AI71" t="n">
        <v>4</v>
      </c>
      <c r="AJ71" t="n">
        <v>7</v>
      </c>
      <c r="AK71" t="n">
        <v>7</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HYPERLINK("https://creighton-primo.hosted.exlibrisgroup.com/primo-explore/search?tab=default_tab&amp;search_scope=EVERYTHING&amp;vid=01CRU&amp;lang=en_US&amp;offset=0&amp;query=any,contains,991004422549702656","Catalog Record")</f>
        <v/>
      </c>
      <c r="AT71">
        <f>HYPERLINK("http://www.worldcat.org/oclc/53830982","WorldCat Record")</f>
        <v/>
      </c>
      <c r="AU71" t="inlineStr">
        <is>
          <t>889817239:eng</t>
        </is>
      </c>
      <c r="AV71" t="inlineStr">
        <is>
          <t>53830982</t>
        </is>
      </c>
      <c r="AW71" t="inlineStr">
        <is>
          <t>991004422549702656</t>
        </is>
      </c>
      <c r="AX71" t="inlineStr">
        <is>
          <t>991004422549702656</t>
        </is>
      </c>
      <c r="AY71" t="inlineStr">
        <is>
          <t>2256227500002656</t>
        </is>
      </c>
      <c r="AZ71" t="inlineStr">
        <is>
          <t>BOOK</t>
        </is>
      </c>
      <c r="BB71" t="inlineStr">
        <is>
          <t>9781403966223</t>
        </is>
      </c>
      <c r="BC71" t="inlineStr">
        <is>
          <t>32285005015416</t>
        </is>
      </c>
      <c r="BD71" t="inlineStr">
        <is>
          <t>893606015</t>
        </is>
      </c>
    </row>
    <row r="72">
      <c r="A72" t="inlineStr">
        <is>
          <t>No</t>
        </is>
      </c>
      <c r="B72" t="inlineStr">
        <is>
          <t>HM1126 .P76 2000</t>
        </is>
      </c>
      <c r="C72" t="inlineStr">
        <is>
          <t>0                      HM 1126000P  76          2000</t>
        </is>
      </c>
      <c r="D72" t="inlineStr">
        <is>
          <t>Promoting nonviolence in early adolescence : responding in peaceful and positive ways / Aleta Lynn Meyer ... [et al.].</t>
        </is>
      </c>
      <c r="F72" t="inlineStr">
        <is>
          <t>No</t>
        </is>
      </c>
      <c r="G72" t="inlineStr">
        <is>
          <t>1</t>
        </is>
      </c>
      <c r="H72" t="inlineStr">
        <is>
          <t>No</t>
        </is>
      </c>
      <c r="I72" t="inlineStr">
        <is>
          <t>No</t>
        </is>
      </c>
      <c r="J72" t="inlineStr">
        <is>
          <t>0</t>
        </is>
      </c>
      <c r="L72" t="inlineStr">
        <is>
          <t>New York : Kluwer Academic/Plenum Publishers, c2000.</t>
        </is>
      </c>
      <c r="M72" t="inlineStr">
        <is>
          <t>2000</t>
        </is>
      </c>
      <c r="O72" t="inlineStr">
        <is>
          <t>eng</t>
        </is>
      </c>
      <c r="P72" t="inlineStr">
        <is>
          <t>nyu</t>
        </is>
      </c>
      <c r="Q72" t="inlineStr">
        <is>
          <t>Prevention in practice library</t>
        </is>
      </c>
      <c r="R72" t="inlineStr">
        <is>
          <t xml:space="preserve">HM </t>
        </is>
      </c>
      <c r="S72" t="n">
        <v>2</v>
      </c>
      <c r="T72" t="n">
        <v>2</v>
      </c>
      <c r="U72" t="inlineStr">
        <is>
          <t>2003-10-30</t>
        </is>
      </c>
      <c r="V72" t="inlineStr">
        <is>
          <t>2003-10-30</t>
        </is>
      </c>
      <c r="W72" t="inlineStr">
        <is>
          <t>2001-01-09</t>
        </is>
      </c>
      <c r="X72" t="inlineStr">
        <is>
          <t>2001-01-09</t>
        </is>
      </c>
      <c r="Y72" t="n">
        <v>233</v>
      </c>
      <c r="Z72" t="n">
        <v>180</v>
      </c>
      <c r="AA72" t="n">
        <v>204</v>
      </c>
      <c r="AB72" t="n">
        <v>2</v>
      </c>
      <c r="AC72" t="n">
        <v>2</v>
      </c>
      <c r="AD72" t="n">
        <v>7</v>
      </c>
      <c r="AE72" t="n">
        <v>9</v>
      </c>
      <c r="AF72" t="n">
        <v>1</v>
      </c>
      <c r="AG72" t="n">
        <v>2</v>
      </c>
      <c r="AH72" t="n">
        <v>2</v>
      </c>
      <c r="AI72" t="n">
        <v>3</v>
      </c>
      <c r="AJ72" t="n">
        <v>4</v>
      </c>
      <c r="AK72" t="n">
        <v>5</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HYPERLINK("https://creighton-primo.hosted.exlibrisgroup.com/primo-explore/search?tab=default_tab&amp;search_scope=EVERYTHING&amp;vid=01CRU&amp;lang=en_US&amp;offset=0&amp;query=any,contains,991003301159702656","Catalog Record")</f>
        <v/>
      </c>
      <c r="AT72">
        <f>HYPERLINK("http://www.worldcat.org/oclc/43701678","WorldCat Record")</f>
        <v/>
      </c>
      <c r="AU72" t="inlineStr">
        <is>
          <t>181327006:eng</t>
        </is>
      </c>
      <c r="AV72" t="inlineStr">
        <is>
          <t>43701678</t>
        </is>
      </c>
      <c r="AW72" t="inlineStr">
        <is>
          <t>991003301159702656</t>
        </is>
      </c>
      <c r="AX72" t="inlineStr">
        <is>
          <t>991003301159702656</t>
        </is>
      </c>
      <c r="AY72" t="inlineStr">
        <is>
          <t>2271470260002656</t>
        </is>
      </c>
      <c r="AZ72" t="inlineStr">
        <is>
          <t>BOOK</t>
        </is>
      </c>
      <c r="BB72" t="inlineStr">
        <is>
          <t>9780306463853</t>
        </is>
      </c>
      <c r="BC72" t="inlineStr">
        <is>
          <t>32285004281068</t>
        </is>
      </c>
      <c r="BD72" t="inlineStr">
        <is>
          <t>893234018</t>
        </is>
      </c>
    </row>
    <row r="73">
      <c r="A73" t="inlineStr">
        <is>
          <t>No</t>
        </is>
      </c>
      <c r="B73" t="inlineStr">
        <is>
          <t>HM1136 .W65 2007</t>
        </is>
      </c>
      <c r="C73" t="inlineStr">
        <is>
          <t>0                      HM 1136000W  65          2007</t>
        </is>
      </c>
      <c r="D73" t="inlineStr">
        <is>
          <t>Disadvantage / Jonathan Wolff, Avner De-Shalit.</t>
        </is>
      </c>
      <c r="F73" t="inlineStr">
        <is>
          <t>No</t>
        </is>
      </c>
      <c r="G73" t="inlineStr">
        <is>
          <t>1</t>
        </is>
      </c>
      <c r="H73" t="inlineStr">
        <is>
          <t>No</t>
        </is>
      </c>
      <c r="I73" t="inlineStr">
        <is>
          <t>No</t>
        </is>
      </c>
      <c r="J73" t="inlineStr">
        <is>
          <t>0</t>
        </is>
      </c>
      <c r="K73" t="inlineStr">
        <is>
          <t>Wolff, Jonathan.</t>
        </is>
      </c>
      <c r="L73" t="inlineStr">
        <is>
          <t>Oxford ; New York : Oxford University Press, 2007.</t>
        </is>
      </c>
      <c r="M73" t="inlineStr">
        <is>
          <t>2007</t>
        </is>
      </c>
      <c r="O73" t="inlineStr">
        <is>
          <t>eng</t>
        </is>
      </c>
      <c r="P73" t="inlineStr">
        <is>
          <t>enk</t>
        </is>
      </c>
      <c r="Q73" t="inlineStr">
        <is>
          <t>Oxford political theory</t>
        </is>
      </c>
      <c r="R73" t="inlineStr">
        <is>
          <t xml:space="preserve">HM </t>
        </is>
      </c>
      <c r="S73" t="n">
        <v>1</v>
      </c>
      <c r="T73" t="n">
        <v>1</v>
      </c>
      <c r="U73" t="inlineStr">
        <is>
          <t>2009-02-17</t>
        </is>
      </c>
      <c r="V73" t="inlineStr">
        <is>
          <t>2009-02-17</t>
        </is>
      </c>
      <c r="W73" t="inlineStr">
        <is>
          <t>2009-02-17</t>
        </is>
      </c>
      <c r="X73" t="inlineStr">
        <is>
          <t>2009-02-17</t>
        </is>
      </c>
      <c r="Y73" t="n">
        <v>284</v>
      </c>
      <c r="Z73" t="n">
        <v>182</v>
      </c>
      <c r="AA73" t="n">
        <v>246</v>
      </c>
      <c r="AB73" t="n">
        <v>2</v>
      </c>
      <c r="AC73" t="n">
        <v>2</v>
      </c>
      <c r="AD73" t="n">
        <v>8</v>
      </c>
      <c r="AE73" t="n">
        <v>11</v>
      </c>
      <c r="AF73" t="n">
        <v>1</v>
      </c>
      <c r="AG73" t="n">
        <v>1</v>
      </c>
      <c r="AH73" t="n">
        <v>4</v>
      </c>
      <c r="AI73" t="n">
        <v>7</v>
      </c>
      <c r="AJ73" t="n">
        <v>5</v>
      </c>
      <c r="AK73" t="n">
        <v>6</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HYPERLINK("https://creighton-primo.hosted.exlibrisgroup.com/primo-explore/search?tab=default_tab&amp;search_scope=EVERYTHING&amp;vid=01CRU&amp;lang=en_US&amp;offset=0&amp;query=any,contains,991005292469702656","Catalog Record")</f>
        <v/>
      </c>
      <c r="AT73">
        <f>HYPERLINK("http://www.worldcat.org/oclc/76935639","WorldCat Record")</f>
        <v/>
      </c>
      <c r="AU73" t="inlineStr">
        <is>
          <t>62685404:eng</t>
        </is>
      </c>
      <c r="AV73" t="inlineStr">
        <is>
          <t>76935639</t>
        </is>
      </c>
      <c r="AW73" t="inlineStr">
        <is>
          <t>991005292469702656</t>
        </is>
      </c>
      <c r="AX73" t="inlineStr">
        <is>
          <t>991005292469702656</t>
        </is>
      </c>
      <c r="AY73" t="inlineStr">
        <is>
          <t>2262904540002656</t>
        </is>
      </c>
      <c r="AZ73" t="inlineStr">
        <is>
          <t>BOOK</t>
        </is>
      </c>
      <c r="BB73" t="inlineStr">
        <is>
          <t>9780199278268</t>
        </is>
      </c>
      <c r="BC73" t="inlineStr">
        <is>
          <t>32285005504823</t>
        </is>
      </c>
      <c r="BD73" t="inlineStr">
        <is>
          <t>893536529</t>
        </is>
      </c>
    </row>
    <row r="74">
      <c r="A74" t="inlineStr">
        <is>
          <t>No</t>
        </is>
      </c>
      <c r="B74" t="inlineStr">
        <is>
          <t>HM1151 .P36 2008</t>
        </is>
      </c>
      <c r="C74" t="inlineStr">
        <is>
          <t>0                      HM 1151000P  36          2008</t>
        </is>
      </c>
      <c r="D74" t="inlineStr">
        <is>
          <t>Looks : why they matter more than you ever imagined / Gordon L. Patzer.</t>
        </is>
      </c>
      <c r="F74" t="inlineStr">
        <is>
          <t>No</t>
        </is>
      </c>
      <c r="G74" t="inlineStr">
        <is>
          <t>1</t>
        </is>
      </c>
      <c r="H74" t="inlineStr">
        <is>
          <t>No</t>
        </is>
      </c>
      <c r="I74" t="inlineStr">
        <is>
          <t>No</t>
        </is>
      </c>
      <c r="J74" t="inlineStr">
        <is>
          <t>0</t>
        </is>
      </c>
      <c r="K74" t="inlineStr">
        <is>
          <t>Patzer, Gordon L.</t>
        </is>
      </c>
      <c r="L74" t="inlineStr">
        <is>
          <t>New York : AMACOM, c2008.</t>
        </is>
      </c>
      <c r="M74" t="inlineStr">
        <is>
          <t>2008</t>
        </is>
      </c>
      <c r="O74" t="inlineStr">
        <is>
          <t>eng</t>
        </is>
      </c>
      <c r="P74" t="inlineStr">
        <is>
          <t>nyu</t>
        </is>
      </c>
      <c r="R74" t="inlineStr">
        <is>
          <t xml:space="preserve">HM </t>
        </is>
      </c>
      <c r="S74" t="n">
        <v>8</v>
      </c>
      <c r="T74" t="n">
        <v>8</v>
      </c>
      <c r="U74" t="inlineStr">
        <is>
          <t>2010-05-26</t>
        </is>
      </c>
      <c r="V74" t="inlineStr">
        <is>
          <t>2010-05-26</t>
        </is>
      </c>
      <c r="W74" t="inlineStr">
        <is>
          <t>2008-01-17</t>
        </is>
      </c>
      <c r="X74" t="inlineStr">
        <is>
          <t>2008-01-17</t>
        </is>
      </c>
      <c r="Y74" t="n">
        <v>487</v>
      </c>
      <c r="Z74" t="n">
        <v>405</v>
      </c>
      <c r="AA74" t="n">
        <v>1319</v>
      </c>
      <c r="AB74" t="n">
        <v>3</v>
      </c>
      <c r="AC74" t="n">
        <v>17</v>
      </c>
      <c r="AD74" t="n">
        <v>13</v>
      </c>
      <c r="AE74" t="n">
        <v>45</v>
      </c>
      <c r="AF74" t="n">
        <v>3</v>
      </c>
      <c r="AG74" t="n">
        <v>15</v>
      </c>
      <c r="AH74" t="n">
        <v>4</v>
      </c>
      <c r="AI74" t="n">
        <v>10</v>
      </c>
      <c r="AJ74" t="n">
        <v>8</v>
      </c>
      <c r="AK74" t="n">
        <v>16</v>
      </c>
      <c r="AL74" t="n">
        <v>2</v>
      </c>
      <c r="AM74" t="n">
        <v>12</v>
      </c>
      <c r="AN74" t="n">
        <v>0</v>
      </c>
      <c r="AO74" t="n">
        <v>1</v>
      </c>
      <c r="AP74" t="inlineStr">
        <is>
          <t>No</t>
        </is>
      </c>
      <c r="AQ74" t="inlineStr">
        <is>
          <t>No</t>
        </is>
      </c>
      <c r="AS74">
        <f>HYPERLINK("https://creighton-primo.hosted.exlibrisgroup.com/primo-explore/search?tab=default_tab&amp;search_scope=EVERYTHING&amp;vid=01CRU&amp;lang=en_US&amp;offset=0&amp;query=any,contains,991005171839702656","Catalog Record")</f>
        <v/>
      </c>
      <c r="AT74">
        <f>HYPERLINK("http://www.worldcat.org/oclc/154772609","WorldCat Record")</f>
        <v/>
      </c>
      <c r="AU74" t="inlineStr">
        <is>
          <t>801945464:eng</t>
        </is>
      </c>
      <c r="AV74" t="inlineStr">
        <is>
          <t>154772609</t>
        </is>
      </c>
      <c r="AW74" t="inlineStr">
        <is>
          <t>991005171839702656</t>
        </is>
      </c>
      <c r="AX74" t="inlineStr">
        <is>
          <t>991005171839702656</t>
        </is>
      </c>
      <c r="AY74" t="inlineStr">
        <is>
          <t>2267851140002656</t>
        </is>
      </c>
      <c r="AZ74" t="inlineStr">
        <is>
          <t>BOOK</t>
        </is>
      </c>
      <c r="BB74" t="inlineStr">
        <is>
          <t>9780814480540</t>
        </is>
      </c>
      <c r="BC74" t="inlineStr">
        <is>
          <t>32285005378764</t>
        </is>
      </c>
      <c r="BD74" t="inlineStr">
        <is>
          <t>893905274</t>
        </is>
      </c>
    </row>
    <row r="75">
      <c r="A75" t="inlineStr">
        <is>
          <t>No</t>
        </is>
      </c>
      <c r="B75" t="inlineStr">
        <is>
          <t>HM1161 .S646 2006</t>
        </is>
      </c>
      <c r="C75" t="inlineStr">
        <is>
          <t>0                      HM 1161000S  646         2006</t>
        </is>
      </c>
      <c r="D75" t="inlineStr">
        <is>
          <t>Rethinking friendship : hidden solidarities today / Liz Spencer, Ray Pahl.</t>
        </is>
      </c>
      <c r="F75" t="inlineStr">
        <is>
          <t>No</t>
        </is>
      </c>
      <c r="G75" t="inlineStr">
        <is>
          <t>1</t>
        </is>
      </c>
      <c r="H75" t="inlineStr">
        <is>
          <t>No</t>
        </is>
      </c>
      <c r="I75" t="inlineStr">
        <is>
          <t>No</t>
        </is>
      </c>
      <c r="J75" t="inlineStr">
        <is>
          <t>0</t>
        </is>
      </c>
      <c r="K75" t="inlineStr">
        <is>
          <t>Spencer, Liz.</t>
        </is>
      </c>
      <c r="L75" t="inlineStr">
        <is>
          <t>Princeton, N.J. : Princeton University Press, c2006.</t>
        </is>
      </c>
      <c r="M75" t="inlineStr">
        <is>
          <t>2006</t>
        </is>
      </c>
      <c r="O75" t="inlineStr">
        <is>
          <t>eng</t>
        </is>
      </c>
      <c r="P75" t="inlineStr">
        <is>
          <t>nju</t>
        </is>
      </c>
      <c r="R75" t="inlineStr">
        <is>
          <t xml:space="preserve">HM </t>
        </is>
      </c>
      <c r="S75" t="n">
        <v>1</v>
      </c>
      <c r="T75" t="n">
        <v>1</v>
      </c>
      <c r="U75" t="inlineStr">
        <is>
          <t>2007-12-06</t>
        </is>
      </c>
      <c r="V75" t="inlineStr">
        <is>
          <t>2007-12-06</t>
        </is>
      </c>
      <c r="W75" t="inlineStr">
        <is>
          <t>2007-12-06</t>
        </is>
      </c>
      <c r="X75" t="inlineStr">
        <is>
          <t>2007-12-06</t>
        </is>
      </c>
      <c r="Y75" t="n">
        <v>472</v>
      </c>
      <c r="Z75" t="n">
        <v>364</v>
      </c>
      <c r="AA75" t="n">
        <v>564</v>
      </c>
      <c r="AB75" t="n">
        <v>4</v>
      </c>
      <c r="AC75" t="n">
        <v>4</v>
      </c>
      <c r="AD75" t="n">
        <v>23</v>
      </c>
      <c r="AE75" t="n">
        <v>33</v>
      </c>
      <c r="AF75" t="n">
        <v>9</v>
      </c>
      <c r="AG75" t="n">
        <v>14</v>
      </c>
      <c r="AH75" t="n">
        <v>5</v>
      </c>
      <c r="AI75" t="n">
        <v>8</v>
      </c>
      <c r="AJ75" t="n">
        <v>10</v>
      </c>
      <c r="AK75" t="n">
        <v>16</v>
      </c>
      <c r="AL75" t="n">
        <v>3</v>
      </c>
      <c r="AM75" t="n">
        <v>3</v>
      </c>
      <c r="AN75" t="n">
        <v>0</v>
      </c>
      <c r="AO75" t="n">
        <v>0</v>
      </c>
      <c r="AP75" t="inlineStr">
        <is>
          <t>No</t>
        </is>
      </c>
      <c r="AQ75" t="inlineStr">
        <is>
          <t>Yes</t>
        </is>
      </c>
      <c r="AR75">
        <f>HYPERLINK("http://catalog.hathitrust.org/Record/005283896","HathiTrust Record")</f>
        <v/>
      </c>
      <c r="AS75">
        <f>HYPERLINK("https://creighton-primo.hosted.exlibrisgroup.com/primo-explore/search?tab=default_tab&amp;search_scope=EVERYTHING&amp;vid=01CRU&amp;lang=en_US&amp;offset=0&amp;query=any,contains,991005144779702656","Catalog Record")</f>
        <v/>
      </c>
      <c r="AT75">
        <f>HYPERLINK("http://www.worldcat.org/oclc/71785395","WorldCat Record")</f>
        <v/>
      </c>
      <c r="AU75" t="inlineStr">
        <is>
          <t>865042556:eng</t>
        </is>
      </c>
      <c r="AV75" t="inlineStr">
        <is>
          <t>71785395</t>
        </is>
      </c>
      <c r="AW75" t="inlineStr">
        <is>
          <t>991005144779702656</t>
        </is>
      </c>
      <c r="AX75" t="inlineStr">
        <is>
          <t>991005144779702656</t>
        </is>
      </c>
      <c r="AY75" t="inlineStr">
        <is>
          <t>2268805490002656</t>
        </is>
      </c>
      <c r="AZ75" t="inlineStr">
        <is>
          <t>BOOK</t>
        </is>
      </c>
      <c r="BB75" t="inlineStr">
        <is>
          <t>9780691127422</t>
        </is>
      </c>
      <c r="BC75" t="inlineStr">
        <is>
          <t>32285005370613</t>
        </is>
      </c>
      <c r="BD75" t="inlineStr">
        <is>
          <t>893344711</t>
        </is>
      </c>
    </row>
    <row r="76">
      <c r="A76" t="inlineStr">
        <is>
          <t>No</t>
        </is>
      </c>
      <c r="B76" t="inlineStr">
        <is>
          <t>HM1166 .C66 2001</t>
        </is>
      </c>
      <c r="C76" t="inlineStr">
        <is>
          <t>0                      HM 1166000C  66          2001</t>
        </is>
      </c>
      <c r="D76" t="inlineStr">
        <is>
          <t>Communication and community / edited by Gregory J. Shepherd, Eric W. Rothenbuhler.</t>
        </is>
      </c>
      <c r="F76" t="inlineStr">
        <is>
          <t>No</t>
        </is>
      </c>
      <c r="G76" t="inlineStr">
        <is>
          <t>1</t>
        </is>
      </c>
      <c r="H76" t="inlineStr">
        <is>
          <t>No</t>
        </is>
      </c>
      <c r="I76" t="inlineStr">
        <is>
          <t>No</t>
        </is>
      </c>
      <c r="J76" t="inlineStr">
        <is>
          <t>0</t>
        </is>
      </c>
      <c r="L76" t="inlineStr">
        <is>
          <t>Mahwah, N.J. : Lawrence Erlbaum Associates, 2001.</t>
        </is>
      </c>
      <c r="M76" t="inlineStr">
        <is>
          <t>2001</t>
        </is>
      </c>
      <c r="O76" t="inlineStr">
        <is>
          <t>eng</t>
        </is>
      </c>
      <c r="P76" t="inlineStr">
        <is>
          <t>nju</t>
        </is>
      </c>
      <c r="Q76" t="inlineStr">
        <is>
          <t>LEA's communication series</t>
        </is>
      </c>
      <c r="R76" t="inlineStr">
        <is>
          <t xml:space="preserve">HM </t>
        </is>
      </c>
      <c r="S76" t="n">
        <v>3</v>
      </c>
      <c r="T76" t="n">
        <v>3</v>
      </c>
      <c r="U76" t="inlineStr">
        <is>
          <t>2008-10-24</t>
        </is>
      </c>
      <c r="V76" t="inlineStr">
        <is>
          <t>2008-10-24</t>
        </is>
      </c>
      <c r="W76" t="inlineStr">
        <is>
          <t>2005-04-12</t>
        </is>
      </c>
      <c r="X76" t="inlineStr">
        <is>
          <t>2005-04-12</t>
        </is>
      </c>
      <c r="Y76" t="n">
        <v>347</v>
      </c>
      <c r="Z76" t="n">
        <v>289</v>
      </c>
      <c r="AA76" t="n">
        <v>817</v>
      </c>
      <c r="AB76" t="n">
        <v>3</v>
      </c>
      <c r="AC76" t="n">
        <v>4</v>
      </c>
      <c r="AD76" t="n">
        <v>19</v>
      </c>
      <c r="AE76" t="n">
        <v>24</v>
      </c>
      <c r="AF76" t="n">
        <v>9</v>
      </c>
      <c r="AG76" t="n">
        <v>12</v>
      </c>
      <c r="AH76" t="n">
        <v>3</v>
      </c>
      <c r="AI76" t="n">
        <v>3</v>
      </c>
      <c r="AJ76" t="n">
        <v>10</v>
      </c>
      <c r="AK76" t="n">
        <v>11</v>
      </c>
      <c r="AL76" t="n">
        <v>2</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HYPERLINK("https://creighton-primo.hosted.exlibrisgroup.com/primo-explore/search?tab=default_tab&amp;search_scope=EVERYTHING&amp;vid=01CRU&amp;lang=en_US&amp;offset=0&amp;query=any,contains,991004520559702656","Catalog Record")</f>
        <v/>
      </c>
      <c r="AT76">
        <f>HYPERLINK("http://www.worldcat.org/oclc/43227482","WorldCat Record")</f>
        <v/>
      </c>
      <c r="AU76" t="inlineStr">
        <is>
          <t>766625627:eng</t>
        </is>
      </c>
      <c r="AV76" t="inlineStr">
        <is>
          <t>43227482</t>
        </is>
      </c>
      <c r="AW76" t="inlineStr">
        <is>
          <t>991004520559702656</t>
        </is>
      </c>
      <c r="AX76" t="inlineStr">
        <is>
          <t>991004520559702656</t>
        </is>
      </c>
      <c r="AY76" t="inlineStr">
        <is>
          <t>2267783070002656</t>
        </is>
      </c>
      <c r="AZ76" t="inlineStr">
        <is>
          <t>BOOK</t>
        </is>
      </c>
      <c r="BB76" t="inlineStr">
        <is>
          <t>9780805831382</t>
        </is>
      </c>
      <c r="BC76" t="inlineStr">
        <is>
          <t>32285005049795</t>
        </is>
      </c>
      <c r="BD76" t="inlineStr">
        <is>
          <t>893706529</t>
        </is>
      </c>
    </row>
    <row r="77">
      <c r="A77" t="inlineStr">
        <is>
          <t>No</t>
        </is>
      </c>
      <c r="B77" t="inlineStr">
        <is>
          <t>HM1166 .G85 2001</t>
        </is>
      </c>
      <c r="C77" t="inlineStr">
        <is>
          <t>0                      HM 1166000G  85          2001</t>
        </is>
      </c>
      <c r="D77" t="inlineStr">
        <is>
          <t>The interpersonal communication skills workshop : listening, assertiveness, conflict resolution, collaboration, a trainer's guide / Joshua D. Guilar.</t>
        </is>
      </c>
      <c r="F77" t="inlineStr">
        <is>
          <t>No</t>
        </is>
      </c>
      <c r="G77" t="inlineStr">
        <is>
          <t>1</t>
        </is>
      </c>
      <c r="H77" t="inlineStr">
        <is>
          <t>No</t>
        </is>
      </c>
      <c r="I77" t="inlineStr">
        <is>
          <t>No</t>
        </is>
      </c>
      <c r="J77" t="inlineStr">
        <is>
          <t>0</t>
        </is>
      </c>
      <c r="K77" t="inlineStr">
        <is>
          <t>Guilar, Joshua D.</t>
        </is>
      </c>
      <c r="L77" t="inlineStr">
        <is>
          <t>New York : AMACOM, c2001.</t>
        </is>
      </c>
      <c r="M77" t="inlineStr">
        <is>
          <t>2001</t>
        </is>
      </c>
      <c r="O77" t="inlineStr">
        <is>
          <t>eng</t>
        </is>
      </c>
      <c r="P77" t="inlineStr">
        <is>
          <t>nyu</t>
        </is>
      </c>
      <c r="Q77" t="inlineStr">
        <is>
          <t>The trainer's workshop series</t>
        </is>
      </c>
      <c r="R77" t="inlineStr">
        <is>
          <t xml:space="preserve">HM </t>
        </is>
      </c>
      <c r="S77" t="n">
        <v>7</v>
      </c>
      <c r="T77" t="n">
        <v>7</v>
      </c>
      <c r="U77" t="inlineStr">
        <is>
          <t>2008-04-03</t>
        </is>
      </c>
      <c r="V77" t="inlineStr">
        <is>
          <t>2008-04-03</t>
        </is>
      </c>
      <c r="W77" t="inlineStr">
        <is>
          <t>2001-03-19</t>
        </is>
      </c>
      <c r="X77" t="inlineStr">
        <is>
          <t>2001-03-19</t>
        </is>
      </c>
      <c r="Y77" t="n">
        <v>155</v>
      </c>
      <c r="Z77" t="n">
        <v>105</v>
      </c>
      <c r="AA77" t="n">
        <v>106</v>
      </c>
      <c r="AB77" t="n">
        <v>3</v>
      </c>
      <c r="AC77" t="n">
        <v>3</v>
      </c>
      <c r="AD77" t="n">
        <v>5</v>
      </c>
      <c r="AE77" t="n">
        <v>5</v>
      </c>
      <c r="AF77" t="n">
        <v>1</v>
      </c>
      <c r="AG77" t="n">
        <v>1</v>
      </c>
      <c r="AH77" t="n">
        <v>1</v>
      </c>
      <c r="AI77" t="n">
        <v>1</v>
      </c>
      <c r="AJ77" t="n">
        <v>2</v>
      </c>
      <c r="AK77" t="n">
        <v>2</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HYPERLINK("https://creighton-primo.hosted.exlibrisgroup.com/primo-explore/search?tab=default_tab&amp;search_scope=EVERYTHING&amp;vid=01CRU&amp;lang=en_US&amp;offset=0&amp;query=any,contains,991003512899702656","Catalog Record")</f>
        <v/>
      </c>
      <c r="AT77">
        <f>HYPERLINK("http://www.worldcat.org/oclc/44811831","WorldCat Record")</f>
        <v/>
      </c>
      <c r="AU77" t="inlineStr">
        <is>
          <t>837067154:eng</t>
        </is>
      </c>
      <c r="AV77" t="inlineStr">
        <is>
          <t>44811831</t>
        </is>
      </c>
      <c r="AW77" t="inlineStr">
        <is>
          <t>991003512899702656</t>
        </is>
      </c>
      <c r="AX77" t="inlineStr">
        <is>
          <t>991003512899702656</t>
        </is>
      </c>
      <c r="AY77" t="inlineStr">
        <is>
          <t>2271533410002656</t>
        </is>
      </c>
      <c r="AZ77" t="inlineStr">
        <is>
          <t>BOOK</t>
        </is>
      </c>
      <c r="BB77" t="inlineStr">
        <is>
          <t>9780814470855</t>
        </is>
      </c>
      <c r="BC77" t="inlineStr">
        <is>
          <t>32285004305784</t>
        </is>
      </c>
      <c r="BD77" t="inlineStr">
        <is>
          <t>893428869</t>
        </is>
      </c>
    </row>
    <row r="78">
      <c r="A78" t="inlineStr">
        <is>
          <t>No</t>
        </is>
      </c>
      <c r="B78" t="inlineStr">
        <is>
          <t>HM1166 .L83 2005</t>
        </is>
      </c>
      <c r="C78" t="inlineStr">
        <is>
          <t>0                      HM 1166000L  83          2005</t>
        </is>
      </c>
      <c r="D78" t="inlineStr">
        <is>
          <t>People strategies for trainers : 176 tips and techniques for dealing with difficult classroom situations / Robert W. Lucas.</t>
        </is>
      </c>
      <c r="F78" t="inlineStr">
        <is>
          <t>No</t>
        </is>
      </c>
      <c r="G78" t="inlineStr">
        <is>
          <t>1</t>
        </is>
      </c>
      <c r="H78" t="inlineStr">
        <is>
          <t>No</t>
        </is>
      </c>
      <c r="I78" t="inlineStr">
        <is>
          <t>No</t>
        </is>
      </c>
      <c r="J78" t="inlineStr">
        <is>
          <t>0</t>
        </is>
      </c>
      <c r="K78" t="inlineStr">
        <is>
          <t>Lucas, Robert W.</t>
        </is>
      </c>
      <c r="L78" t="inlineStr">
        <is>
          <t>New York : Amacom, c2005.</t>
        </is>
      </c>
      <c r="M78" t="inlineStr">
        <is>
          <t>2005</t>
        </is>
      </c>
      <c r="O78" t="inlineStr">
        <is>
          <t>eng</t>
        </is>
      </c>
      <c r="P78" t="inlineStr">
        <is>
          <t>nyu</t>
        </is>
      </c>
      <c r="R78" t="inlineStr">
        <is>
          <t xml:space="preserve">HM </t>
        </is>
      </c>
      <c r="S78" t="n">
        <v>2</v>
      </c>
      <c r="T78" t="n">
        <v>2</v>
      </c>
      <c r="U78" t="inlineStr">
        <is>
          <t>2007-05-26</t>
        </is>
      </c>
      <c r="V78" t="inlineStr">
        <is>
          <t>2007-05-26</t>
        </is>
      </c>
      <c r="W78" t="inlineStr">
        <is>
          <t>2005-06-21</t>
        </is>
      </c>
      <c r="X78" t="inlineStr">
        <is>
          <t>2005-06-21</t>
        </is>
      </c>
      <c r="Y78" t="n">
        <v>196</v>
      </c>
      <c r="Z78" t="n">
        <v>138</v>
      </c>
      <c r="AA78" t="n">
        <v>183</v>
      </c>
      <c r="AB78" t="n">
        <v>3</v>
      </c>
      <c r="AC78" t="n">
        <v>3</v>
      </c>
      <c r="AD78" t="n">
        <v>8</v>
      </c>
      <c r="AE78" t="n">
        <v>8</v>
      </c>
      <c r="AF78" t="n">
        <v>3</v>
      </c>
      <c r="AG78" t="n">
        <v>3</v>
      </c>
      <c r="AH78" t="n">
        <v>1</v>
      </c>
      <c r="AI78" t="n">
        <v>1</v>
      </c>
      <c r="AJ78" t="n">
        <v>4</v>
      </c>
      <c r="AK78" t="n">
        <v>4</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HYPERLINK("https://creighton-primo.hosted.exlibrisgroup.com/primo-explore/search?tab=default_tab&amp;search_scope=EVERYTHING&amp;vid=01CRU&amp;lang=en_US&amp;offset=0&amp;query=any,contains,991004567599702656","Catalog Record")</f>
        <v/>
      </c>
      <c r="AT78">
        <f>HYPERLINK("http://www.worldcat.org/oclc/57564694","WorldCat Record")</f>
        <v/>
      </c>
      <c r="AU78" t="inlineStr">
        <is>
          <t>866844092:eng</t>
        </is>
      </c>
      <c r="AV78" t="inlineStr">
        <is>
          <t>57564694</t>
        </is>
      </c>
      <c r="AW78" t="inlineStr">
        <is>
          <t>991004567599702656</t>
        </is>
      </c>
      <c r="AX78" t="inlineStr">
        <is>
          <t>991004567599702656</t>
        </is>
      </c>
      <c r="AY78" t="inlineStr">
        <is>
          <t>2259604730002656</t>
        </is>
      </c>
      <c r="AZ78" t="inlineStr">
        <is>
          <t>BOOK</t>
        </is>
      </c>
      <c r="BB78" t="inlineStr">
        <is>
          <t>9780814472613</t>
        </is>
      </c>
      <c r="BC78" t="inlineStr">
        <is>
          <t>32285005093751</t>
        </is>
      </c>
      <c r="BD78" t="inlineStr">
        <is>
          <t>893700403</t>
        </is>
      </c>
    </row>
    <row r="79">
      <c r="A79" t="inlineStr">
        <is>
          <t>No</t>
        </is>
      </c>
      <c r="B79" t="inlineStr">
        <is>
          <t>HM1166 .W57 2007</t>
        </is>
      </c>
      <c r="C79" t="inlineStr">
        <is>
          <t>0                      HM 1166000W  57          2007</t>
        </is>
      </c>
      <c r="D79" t="inlineStr">
        <is>
          <t>The "it" factor : be the one people like, listen to, and remember / Mark Wiskup.</t>
        </is>
      </c>
      <c r="F79" t="inlineStr">
        <is>
          <t>No</t>
        </is>
      </c>
      <c r="G79" t="inlineStr">
        <is>
          <t>1</t>
        </is>
      </c>
      <c r="H79" t="inlineStr">
        <is>
          <t>No</t>
        </is>
      </c>
      <c r="I79" t="inlineStr">
        <is>
          <t>No</t>
        </is>
      </c>
      <c r="J79" t="inlineStr">
        <is>
          <t>0</t>
        </is>
      </c>
      <c r="K79" t="inlineStr">
        <is>
          <t>Wiskup, Mark.</t>
        </is>
      </c>
      <c r="L79" t="inlineStr">
        <is>
          <t>New York : AMACOM, American Management Association, c2007.</t>
        </is>
      </c>
      <c r="M79" t="inlineStr">
        <is>
          <t>2007</t>
        </is>
      </c>
      <c r="O79" t="inlineStr">
        <is>
          <t>eng</t>
        </is>
      </c>
      <c r="P79" t="inlineStr">
        <is>
          <t>nyu</t>
        </is>
      </c>
      <c r="R79" t="inlineStr">
        <is>
          <t xml:space="preserve">HM </t>
        </is>
      </c>
      <c r="S79" t="n">
        <v>5</v>
      </c>
      <c r="T79" t="n">
        <v>5</v>
      </c>
      <c r="U79" t="inlineStr">
        <is>
          <t>2009-11-05</t>
        </is>
      </c>
      <c r="V79" t="inlineStr">
        <is>
          <t>2009-11-05</t>
        </is>
      </c>
      <c r="W79" t="inlineStr">
        <is>
          <t>2007-06-25</t>
        </is>
      </c>
      <c r="X79" t="inlineStr">
        <is>
          <t>2007-06-25</t>
        </is>
      </c>
      <c r="Y79" t="n">
        <v>185</v>
      </c>
      <c r="Z79" t="n">
        <v>144</v>
      </c>
      <c r="AA79" t="n">
        <v>790</v>
      </c>
      <c r="AB79" t="n">
        <v>2</v>
      </c>
      <c r="AC79" t="n">
        <v>14</v>
      </c>
      <c r="AD79" t="n">
        <v>7</v>
      </c>
      <c r="AE79" t="n">
        <v>22</v>
      </c>
      <c r="AF79" t="n">
        <v>4</v>
      </c>
      <c r="AG79" t="n">
        <v>11</v>
      </c>
      <c r="AH79" t="n">
        <v>1</v>
      </c>
      <c r="AI79" t="n">
        <v>2</v>
      </c>
      <c r="AJ79" t="n">
        <v>3</v>
      </c>
      <c r="AK79" t="n">
        <v>5</v>
      </c>
      <c r="AL79" t="n">
        <v>1</v>
      </c>
      <c r="AM79" t="n">
        <v>9</v>
      </c>
      <c r="AN79" t="n">
        <v>0</v>
      </c>
      <c r="AO79" t="n">
        <v>0</v>
      </c>
      <c r="AP79" t="inlineStr">
        <is>
          <t>No</t>
        </is>
      </c>
      <c r="AQ79" t="inlineStr">
        <is>
          <t>No</t>
        </is>
      </c>
      <c r="AS79">
        <f>HYPERLINK("https://creighton-primo.hosted.exlibrisgroup.com/primo-explore/search?tab=default_tab&amp;search_scope=EVERYTHING&amp;vid=01CRU&amp;lang=en_US&amp;offset=0&amp;query=any,contains,991005094019702656","Catalog Record")</f>
        <v/>
      </c>
      <c r="AT79">
        <f>HYPERLINK("http://www.worldcat.org/oclc/80460212","WorldCat Record")</f>
        <v/>
      </c>
      <c r="AU79" t="inlineStr">
        <is>
          <t>801047621:eng</t>
        </is>
      </c>
      <c r="AV79" t="inlineStr">
        <is>
          <t>80460212</t>
        </is>
      </c>
      <c r="AW79" t="inlineStr">
        <is>
          <t>991005094019702656</t>
        </is>
      </c>
      <c r="AX79" t="inlineStr">
        <is>
          <t>991005094019702656</t>
        </is>
      </c>
      <c r="AY79" t="inlineStr">
        <is>
          <t>2269292800002656</t>
        </is>
      </c>
      <c r="AZ79" t="inlineStr">
        <is>
          <t>BOOK</t>
        </is>
      </c>
      <c r="BB79" t="inlineStr">
        <is>
          <t>9780814474372</t>
        </is>
      </c>
      <c r="BC79" t="inlineStr">
        <is>
          <t>32285005318406</t>
        </is>
      </c>
      <c r="BD79" t="inlineStr">
        <is>
          <t>893446555</t>
        </is>
      </c>
    </row>
    <row r="80">
      <c r="A80" t="inlineStr">
        <is>
          <t>No</t>
        </is>
      </c>
      <c r="B80" t="inlineStr">
        <is>
          <t>HM1196 .S56 2001</t>
        </is>
      </c>
      <c r="C80" t="inlineStr">
        <is>
          <t>0                      HM 1196000S  56          2001</t>
        </is>
      </c>
      <c r="D80" t="inlineStr">
        <is>
          <t>Persuasion in society / Herbert W. Simons with Joanne Morreale and Bruce Gronbeck.</t>
        </is>
      </c>
      <c r="F80" t="inlineStr">
        <is>
          <t>No</t>
        </is>
      </c>
      <c r="G80" t="inlineStr">
        <is>
          <t>1</t>
        </is>
      </c>
      <c r="H80" t="inlineStr">
        <is>
          <t>No</t>
        </is>
      </c>
      <c r="I80" t="inlineStr">
        <is>
          <t>No</t>
        </is>
      </c>
      <c r="J80" t="inlineStr">
        <is>
          <t>0</t>
        </is>
      </c>
      <c r="K80" t="inlineStr">
        <is>
          <t>Simons, Herbert W., 1935-</t>
        </is>
      </c>
      <c r="L80" t="inlineStr">
        <is>
          <t>Thousand Oaks, Calif. : Sage Publications, c2001.</t>
        </is>
      </c>
      <c r="M80" t="inlineStr">
        <is>
          <t>2001</t>
        </is>
      </c>
      <c r="O80" t="inlineStr">
        <is>
          <t>eng</t>
        </is>
      </c>
      <c r="P80" t="inlineStr">
        <is>
          <t>cau</t>
        </is>
      </c>
      <c r="R80" t="inlineStr">
        <is>
          <t xml:space="preserve">HM </t>
        </is>
      </c>
      <c r="S80" t="n">
        <v>10</v>
      </c>
      <c r="T80" t="n">
        <v>10</v>
      </c>
      <c r="U80" t="inlineStr">
        <is>
          <t>2010-12-07</t>
        </is>
      </c>
      <c r="V80" t="inlineStr">
        <is>
          <t>2010-12-07</t>
        </is>
      </c>
      <c r="W80" t="inlineStr">
        <is>
          <t>2002-04-17</t>
        </is>
      </c>
      <c r="X80" t="inlineStr">
        <is>
          <t>2002-04-17</t>
        </is>
      </c>
      <c r="Y80" t="n">
        <v>584</v>
      </c>
      <c r="Z80" t="n">
        <v>487</v>
      </c>
      <c r="AA80" t="n">
        <v>552</v>
      </c>
      <c r="AB80" t="n">
        <v>5</v>
      </c>
      <c r="AC80" t="n">
        <v>5</v>
      </c>
      <c r="AD80" t="n">
        <v>35</v>
      </c>
      <c r="AE80" t="n">
        <v>36</v>
      </c>
      <c r="AF80" t="n">
        <v>16</v>
      </c>
      <c r="AG80" t="n">
        <v>17</v>
      </c>
      <c r="AH80" t="n">
        <v>7</v>
      </c>
      <c r="AI80" t="n">
        <v>7</v>
      </c>
      <c r="AJ80" t="n">
        <v>18</v>
      </c>
      <c r="AK80" t="n">
        <v>18</v>
      </c>
      <c r="AL80" t="n">
        <v>4</v>
      </c>
      <c r="AM80" t="n">
        <v>4</v>
      </c>
      <c r="AN80" t="n">
        <v>0</v>
      </c>
      <c r="AO80" t="n">
        <v>0</v>
      </c>
      <c r="AP80" t="inlineStr">
        <is>
          <t>No</t>
        </is>
      </c>
      <c r="AQ80" t="inlineStr">
        <is>
          <t>Yes</t>
        </is>
      </c>
      <c r="AR80">
        <f>HYPERLINK("http://catalog.hathitrust.org/Record/004180590","HathiTrust Record")</f>
        <v/>
      </c>
      <c r="AS80">
        <f>HYPERLINK("https://creighton-primo.hosted.exlibrisgroup.com/primo-explore/search?tab=default_tab&amp;search_scope=EVERYTHING&amp;vid=01CRU&amp;lang=en_US&amp;offset=0&amp;query=any,contains,991003756069702656","Catalog Record")</f>
        <v/>
      </c>
      <c r="AT80">
        <f>HYPERLINK("http://www.worldcat.org/oclc/45493423","WorldCat Record")</f>
        <v/>
      </c>
      <c r="AU80" t="inlineStr">
        <is>
          <t>34988723:eng</t>
        </is>
      </c>
      <c r="AV80" t="inlineStr">
        <is>
          <t>45493423</t>
        </is>
      </c>
      <c r="AW80" t="inlineStr">
        <is>
          <t>991003756069702656</t>
        </is>
      </c>
      <c r="AX80" t="inlineStr">
        <is>
          <t>991003756069702656</t>
        </is>
      </c>
      <c r="AY80" t="inlineStr">
        <is>
          <t>2262108850002656</t>
        </is>
      </c>
      <c r="AZ80" t="inlineStr">
        <is>
          <t>BOOK</t>
        </is>
      </c>
      <c r="BB80" t="inlineStr">
        <is>
          <t>9780761919070</t>
        </is>
      </c>
      <c r="BC80" t="inlineStr">
        <is>
          <t>32285004480447</t>
        </is>
      </c>
      <c r="BD80" t="inlineStr">
        <is>
          <t>893605166</t>
        </is>
      </c>
    </row>
    <row r="81">
      <c r="A81" t="inlineStr">
        <is>
          <t>No</t>
        </is>
      </c>
      <c r="B81" t="inlineStr">
        <is>
          <t>HM1206 .B69 2007</t>
        </is>
      </c>
      <c r="C81" t="inlineStr">
        <is>
          <t>0                      HM 1206000B  69          2007</t>
        </is>
      </c>
      <c r="D81" t="inlineStr">
        <is>
          <t>Understanding media : a popular philosophy / Dominic Boyer.</t>
        </is>
      </c>
      <c r="F81" t="inlineStr">
        <is>
          <t>No</t>
        </is>
      </c>
      <c r="G81" t="inlineStr">
        <is>
          <t>1</t>
        </is>
      </c>
      <c r="H81" t="inlineStr">
        <is>
          <t>No</t>
        </is>
      </c>
      <c r="I81" t="inlineStr">
        <is>
          <t>No</t>
        </is>
      </c>
      <c r="J81" t="inlineStr">
        <is>
          <t>0</t>
        </is>
      </c>
      <c r="K81" t="inlineStr">
        <is>
          <t>Boyer, Dominic.</t>
        </is>
      </c>
      <c r="L81" t="inlineStr">
        <is>
          <t>Chicago, Ill. : Prickly Paradigm Press, c2007.</t>
        </is>
      </c>
      <c r="M81" t="inlineStr">
        <is>
          <t>2007</t>
        </is>
      </c>
      <c r="O81" t="inlineStr">
        <is>
          <t>eng</t>
        </is>
      </c>
      <c r="P81" t="inlineStr">
        <is>
          <t>ilu</t>
        </is>
      </c>
      <c r="Q81" t="inlineStr">
        <is>
          <t>Paradigm ; 30</t>
        </is>
      </c>
      <c r="R81" t="inlineStr">
        <is>
          <t xml:space="preserve">HM </t>
        </is>
      </c>
      <c r="S81" t="n">
        <v>1</v>
      </c>
      <c r="T81" t="n">
        <v>1</v>
      </c>
      <c r="U81" t="inlineStr">
        <is>
          <t>2008-12-17</t>
        </is>
      </c>
      <c r="V81" t="inlineStr">
        <is>
          <t>2008-12-17</t>
        </is>
      </c>
      <c r="W81" t="inlineStr">
        <is>
          <t>2008-12-17</t>
        </is>
      </c>
      <c r="X81" t="inlineStr">
        <is>
          <t>2008-12-17</t>
        </is>
      </c>
      <c r="Y81" t="n">
        <v>235</v>
      </c>
      <c r="Z81" t="n">
        <v>174</v>
      </c>
      <c r="AA81" t="n">
        <v>179</v>
      </c>
      <c r="AB81" t="n">
        <v>2</v>
      </c>
      <c r="AC81" t="n">
        <v>2</v>
      </c>
      <c r="AD81" t="n">
        <v>11</v>
      </c>
      <c r="AE81" t="n">
        <v>11</v>
      </c>
      <c r="AF81" t="n">
        <v>4</v>
      </c>
      <c r="AG81" t="n">
        <v>4</v>
      </c>
      <c r="AH81" t="n">
        <v>3</v>
      </c>
      <c r="AI81" t="n">
        <v>3</v>
      </c>
      <c r="AJ81" t="n">
        <v>6</v>
      </c>
      <c r="AK81" t="n">
        <v>6</v>
      </c>
      <c r="AL81" t="n">
        <v>1</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HYPERLINK("https://creighton-primo.hosted.exlibrisgroup.com/primo-explore/search?tab=default_tab&amp;search_scope=EVERYTHING&amp;vid=01CRU&amp;lang=en_US&amp;offset=0&amp;query=any,contains,991005280909702656","Catalog Record")</f>
        <v/>
      </c>
      <c r="AT81">
        <f>HYPERLINK("http://www.worldcat.org/oclc/154689880","WorldCat Record")</f>
        <v/>
      </c>
      <c r="AU81" t="inlineStr">
        <is>
          <t>499000028:eng</t>
        </is>
      </c>
      <c r="AV81" t="inlineStr">
        <is>
          <t>154689880</t>
        </is>
      </c>
      <c r="AW81" t="inlineStr">
        <is>
          <t>991005280909702656</t>
        </is>
      </c>
      <c r="AX81" t="inlineStr">
        <is>
          <t>991005280909702656</t>
        </is>
      </c>
      <c r="AY81" t="inlineStr">
        <is>
          <t>2261544960002656</t>
        </is>
      </c>
      <c r="AZ81" t="inlineStr">
        <is>
          <t>BOOK</t>
        </is>
      </c>
      <c r="BB81" t="inlineStr">
        <is>
          <t>9780979405709</t>
        </is>
      </c>
      <c r="BC81" t="inlineStr">
        <is>
          <t>32285005474860</t>
        </is>
      </c>
      <c r="BD81" t="inlineStr">
        <is>
          <t>893424840</t>
        </is>
      </c>
    </row>
    <row r="82">
      <c r="A82" t="inlineStr">
        <is>
          <t>No</t>
        </is>
      </c>
      <c r="B82" t="inlineStr">
        <is>
          <t>HM1206 .C6475 2007</t>
        </is>
      </c>
      <c r="C82" t="inlineStr">
        <is>
          <t>0                      HM 1206000C  6475        2007</t>
        </is>
      </c>
      <c r="D82" t="inlineStr">
        <is>
          <t>Communication activism / edited by Lawrence R. Frey, Kevin M. Carragee.</t>
        </is>
      </c>
      <c r="E82" t="inlineStr">
        <is>
          <t>V. 1</t>
        </is>
      </c>
      <c r="F82" t="inlineStr">
        <is>
          <t>Yes</t>
        </is>
      </c>
      <c r="G82" t="inlineStr">
        <is>
          <t>1</t>
        </is>
      </c>
      <c r="H82" t="inlineStr">
        <is>
          <t>No</t>
        </is>
      </c>
      <c r="I82" t="inlineStr">
        <is>
          <t>No</t>
        </is>
      </c>
      <c r="J82" t="inlineStr">
        <is>
          <t>0</t>
        </is>
      </c>
      <c r="L82" t="inlineStr">
        <is>
          <t>Cresskill, N.J. : Hampton Press, c2007-</t>
        </is>
      </c>
      <c r="M82" t="inlineStr">
        <is>
          <t>2007</t>
        </is>
      </c>
      <c r="O82" t="inlineStr">
        <is>
          <t>eng</t>
        </is>
      </c>
      <c r="P82" t="inlineStr">
        <is>
          <t>nju</t>
        </is>
      </c>
      <c r="R82" t="inlineStr">
        <is>
          <t xml:space="preserve">HM </t>
        </is>
      </c>
      <c r="S82" t="n">
        <v>1</v>
      </c>
      <c r="T82" t="n">
        <v>2</v>
      </c>
      <c r="U82" t="inlineStr">
        <is>
          <t>2008-04-16</t>
        </is>
      </c>
      <c r="V82" t="inlineStr">
        <is>
          <t>2008-04-16</t>
        </is>
      </c>
      <c r="W82" t="inlineStr">
        <is>
          <t>2008-04-16</t>
        </is>
      </c>
      <c r="X82" t="inlineStr">
        <is>
          <t>2008-04-16</t>
        </is>
      </c>
      <c r="Y82" t="n">
        <v>275</v>
      </c>
      <c r="Z82" t="n">
        <v>209</v>
      </c>
      <c r="AA82" t="n">
        <v>214</v>
      </c>
      <c r="AB82" t="n">
        <v>1</v>
      </c>
      <c r="AC82" t="n">
        <v>1</v>
      </c>
      <c r="AD82" t="n">
        <v>18</v>
      </c>
      <c r="AE82" t="n">
        <v>18</v>
      </c>
      <c r="AF82" t="n">
        <v>7</v>
      </c>
      <c r="AG82" t="n">
        <v>7</v>
      </c>
      <c r="AH82" t="n">
        <v>4</v>
      </c>
      <c r="AI82" t="n">
        <v>4</v>
      </c>
      <c r="AJ82" t="n">
        <v>12</v>
      </c>
      <c r="AK82" t="n">
        <v>12</v>
      </c>
      <c r="AL82" t="n">
        <v>0</v>
      </c>
      <c r="AM82" t="n">
        <v>0</v>
      </c>
      <c r="AN82" t="n">
        <v>0</v>
      </c>
      <c r="AO82" t="n">
        <v>0</v>
      </c>
      <c r="AP82" t="inlineStr">
        <is>
          <t>No</t>
        </is>
      </c>
      <c r="AQ82" t="inlineStr">
        <is>
          <t>Yes</t>
        </is>
      </c>
      <c r="AR82">
        <f>HYPERLINK("http://catalog.hathitrust.org/Record/005567272","HathiTrust Record")</f>
        <v/>
      </c>
      <c r="AS82">
        <f>HYPERLINK("https://creighton-primo.hosted.exlibrisgroup.com/primo-explore/search?tab=default_tab&amp;search_scope=EVERYTHING&amp;vid=01CRU&amp;lang=en_US&amp;offset=0&amp;query=any,contains,991005193039702656","Catalog Record")</f>
        <v/>
      </c>
      <c r="AT82">
        <f>HYPERLINK("http://www.worldcat.org/oclc/75389892","WorldCat Record")</f>
        <v/>
      </c>
      <c r="AU82" t="inlineStr">
        <is>
          <t>2866614588:eng</t>
        </is>
      </c>
      <c r="AV82" t="inlineStr">
        <is>
          <t>75389892</t>
        </is>
      </c>
      <c r="AW82" t="inlineStr">
        <is>
          <t>991005193039702656</t>
        </is>
      </c>
      <c r="AX82" t="inlineStr">
        <is>
          <t>991005193039702656</t>
        </is>
      </c>
      <c r="AY82" t="inlineStr">
        <is>
          <t>2272760910002656</t>
        </is>
      </c>
      <c r="AZ82" t="inlineStr">
        <is>
          <t>BOOK</t>
        </is>
      </c>
      <c r="BB82" t="inlineStr">
        <is>
          <t>9781572736962</t>
        </is>
      </c>
      <c r="BC82" t="inlineStr">
        <is>
          <t>32285005402721</t>
        </is>
      </c>
      <c r="BD82" t="inlineStr">
        <is>
          <t>893801892</t>
        </is>
      </c>
    </row>
    <row r="83">
      <c r="A83" t="inlineStr">
        <is>
          <t>No</t>
        </is>
      </c>
      <c r="B83" t="inlineStr">
        <is>
          <t>HM1206 .C6475 2007</t>
        </is>
      </c>
      <c r="C83" t="inlineStr">
        <is>
          <t>0                      HM 1206000C  6475        2007</t>
        </is>
      </c>
      <c r="D83" t="inlineStr">
        <is>
          <t>Communication activism / edited by Lawrence R. Frey, Kevin M. Carragee.</t>
        </is>
      </c>
      <c r="E83" t="inlineStr">
        <is>
          <t>V. 2</t>
        </is>
      </c>
      <c r="F83" t="inlineStr">
        <is>
          <t>Yes</t>
        </is>
      </c>
      <c r="G83" t="inlineStr">
        <is>
          <t>1</t>
        </is>
      </c>
      <c r="H83" t="inlineStr">
        <is>
          <t>No</t>
        </is>
      </c>
      <c r="I83" t="inlineStr">
        <is>
          <t>No</t>
        </is>
      </c>
      <c r="J83" t="inlineStr">
        <is>
          <t>0</t>
        </is>
      </c>
      <c r="L83" t="inlineStr">
        <is>
          <t>Cresskill, N.J. : Hampton Press, c2007-</t>
        </is>
      </c>
      <c r="M83" t="inlineStr">
        <is>
          <t>2007</t>
        </is>
      </c>
      <c r="O83" t="inlineStr">
        <is>
          <t>eng</t>
        </is>
      </c>
      <c r="P83" t="inlineStr">
        <is>
          <t>nju</t>
        </is>
      </c>
      <c r="R83" t="inlineStr">
        <is>
          <t xml:space="preserve">HM </t>
        </is>
      </c>
      <c r="S83" t="n">
        <v>1</v>
      </c>
      <c r="T83" t="n">
        <v>2</v>
      </c>
      <c r="U83" t="inlineStr">
        <is>
          <t>2008-04-16</t>
        </is>
      </c>
      <c r="V83" t="inlineStr">
        <is>
          <t>2008-04-16</t>
        </is>
      </c>
      <c r="W83" t="inlineStr">
        <is>
          <t>2008-04-16</t>
        </is>
      </c>
      <c r="X83" t="inlineStr">
        <is>
          <t>2008-04-16</t>
        </is>
      </c>
      <c r="Y83" t="n">
        <v>275</v>
      </c>
      <c r="Z83" t="n">
        <v>209</v>
      </c>
      <c r="AA83" t="n">
        <v>214</v>
      </c>
      <c r="AB83" t="n">
        <v>1</v>
      </c>
      <c r="AC83" t="n">
        <v>1</v>
      </c>
      <c r="AD83" t="n">
        <v>18</v>
      </c>
      <c r="AE83" t="n">
        <v>18</v>
      </c>
      <c r="AF83" t="n">
        <v>7</v>
      </c>
      <c r="AG83" t="n">
        <v>7</v>
      </c>
      <c r="AH83" t="n">
        <v>4</v>
      </c>
      <c r="AI83" t="n">
        <v>4</v>
      </c>
      <c r="AJ83" t="n">
        <v>12</v>
      </c>
      <c r="AK83" t="n">
        <v>12</v>
      </c>
      <c r="AL83" t="n">
        <v>0</v>
      </c>
      <c r="AM83" t="n">
        <v>0</v>
      </c>
      <c r="AN83" t="n">
        <v>0</v>
      </c>
      <c r="AO83" t="n">
        <v>0</v>
      </c>
      <c r="AP83" t="inlineStr">
        <is>
          <t>No</t>
        </is>
      </c>
      <c r="AQ83" t="inlineStr">
        <is>
          <t>Yes</t>
        </is>
      </c>
      <c r="AR83">
        <f>HYPERLINK("http://catalog.hathitrust.org/Record/005567272","HathiTrust Record")</f>
        <v/>
      </c>
      <c r="AS83">
        <f>HYPERLINK("https://creighton-primo.hosted.exlibrisgroup.com/primo-explore/search?tab=default_tab&amp;search_scope=EVERYTHING&amp;vid=01CRU&amp;lang=en_US&amp;offset=0&amp;query=any,contains,991005193039702656","Catalog Record")</f>
        <v/>
      </c>
      <c r="AT83">
        <f>HYPERLINK("http://www.worldcat.org/oclc/75389892","WorldCat Record")</f>
        <v/>
      </c>
      <c r="AU83" t="inlineStr">
        <is>
          <t>2866614588:eng</t>
        </is>
      </c>
      <c r="AV83" t="inlineStr">
        <is>
          <t>75389892</t>
        </is>
      </c>
      <c r="AW83" t="inlineStr">
        <is>
          <t>991005193039702656</t>
        </is>
      </c>
      <c r="AX83" t="inlineStr">
        <is>
          <t>991005193039702656</t>
        </is>
      </c>
      <c r="AY83" t="inlineStr">
        <is>
          <t>2272760910002656</t>
        </is>
      </c>
      <c r="AZ83" t="inlineStr">
        <is>
          <t>BOOK</t>
        </is>
      </c>
      <c r="BB83" t="inlineStr">
        <is>
          <t>9781572736962</t>
        </is>
      </c>
      <c r="BC83" t="inlineStr">
        <is>
          <t>32285005402812</t>
        </is>
      </c>
      <c r="BD83" t="inlineStr">
        <is>
          <t>893801891</t>
        </is>
      </c>
    </row>
    <row r="84">
      <c r="A84" t="inlineStr">
        <is>
          <t>No</t>
        </is>
      </c>
      <c r="B84" t="inlineStr">
        <is>
          <t>HM1206 .R43 2009</t>
        </is>
      </c>
      <c r="C84" t="inlineStr">
        <is>
          <t>0                      HM 1206000R  43          2009</t>
        </is>
      </c>
      <c r="D84" t="inlineStr">
        <is>
          <t>The reconstruction of space and time : mobile communication practices / edited by Rich Ling and Scott W. Campbell.</t>
        </is>
      </c>
      <c r="F84" t="inlineStr">
        <is>
          <t>No</t>
        </is>
      </c>
      <c r="G84" t="inlineStr">
        <is>
          <t>1</t>
        </is>
      </c>
      <c r="H84" t="inlineStr">
        <is>
          <t>No</t>
        </is>
      </c>
      <c r="I84" t="inlineStr">
        <is>
          <t>No</t>
        </is>
      </c>
      <c r="J84" t="inlineStr">
        <is>
          <t>0</t>
        </is>
      </c>
      <c r="L84" t="inlineStr">
        <is>
          <t>New Brunswick, N.J. : Transaction Publishers, cc2009</t>
        </is>
      </c>
      <c r="M84" t="inlineStr">
        <is>
          <t>2009</t>
        </is>
      </c>
      <c r="O84" t="inlineStr">
        <is>
          <t>eng</t>
        </is>
      </c>
      <c r="P84" t="inlineStr">
        <is>
          <t>nju</t>
        </is>
      </c>
      <c r="Q84" t="inlineStr">
        <is>
          <t>Transaction Books' series on mobile communication</t>
        </is>
      </c>
      <c r="R84" t="inlineStr">
        <is>
          <t xml:space="preserve">HM </t>
        </is>
      </c>
      <c r="S84" t="n">
        <v>1</v>
      </c>
      <c r="T84" t="n">
        <v>1</v>
      </c>
      <c r="U84" t="inlineStr">
        <is>
          <t>2010-06-29</t>
        </is>
      </c>
      <c r="V84" t="inlineStr">
        <is>
          <t>2010-06-29</t>
        </is>
      </c>
      <c r="W84" t="inlineStr">
        <is>
          <t>2010-06-29</t>
        </is>
      </c>
      <c r="X84" t="inlineStr">
        <is>
          <t>2010-06-29</t>
        </is>
      </c>
      <c r="Y84" t="n">
        <v>235</v>
      </c>
      <c r="Z84" t="n">
        <v>177</v>
      </c>
      <c r="AA84" t="n">
        <v>203</v>
      </c>
      <c r="AB84" t="n">
        <v>3</v>
      </c>
      <c r="AC84" t="n">
        <v>3</v>
      </c>
      <c r="AD84" t="n">
        <v>11</v>
      </c>
      <c r="AE84" t="n">
        <v>11</v>
      </c>
      <c r="AF84" t="n">
        <v>3</v>
      </c>
      <c r="AG84" t="n">
        <v>3</v>
      </c>
      <c r="AH84" t="n">
        <v>3</v>
      </c>
      <c r="AI84" t="n">
        <v>3</v>
      </c>
      <c r="AJ84" t="n">
        <v>6</v>
      </c>
      <c r="AK84" t="n">
        <v>6</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HYPERLINK("https://creighton-primo.hosted.exlibrisgroup.com/primo-explore/search?tab=default_tab&amp;search_scope=EVERYTHING&amp;vid=01CRU&amp;lang=en_US&amp;offset=0&amp;query=any,contains,991005359189702656","Catalog Record")</f>
        <v/>
      </c>
      <c r="AT84">
        <f>HYPERLINK("http://www.worldcat.org/oclc/213400926","WorldCat Record")</f>
        <v/>
      </c>
      <c r="AU84" t="inlineStr">
        <is>
          <t>865004190:eng</t>
        </is>
      </c>
      <c r="AV84" t="inlineStr">
        <is>
          <t>213400926</t>
        </is>
      </c>
      <c r="AW84" t="inlineStr">
        <is>
          <t>991005359189702656</t>
        </is>
      </c>
      <c r="AX84" t="inlineStr">
        <is>
          <t>991005359189702656</t>
        </is>
      </c>
      <c r="AY84" t="inlineStr">
        <is>
          <t>2261771520002656</t>
        </is>
      </c>
      <c r="AZ84" t="inlineStr">
        <is>
          <t>BOOK</t>
        </is>
      </c>
      <c r="BB84" t="inlineStr">
        <is>
          <t>9781412808095</t>
        </is>
      </c>
      <c r="BC84" t="inlineStr">
        <is>
          <t>32285005589006</t>
        </is>
      </c>
      <c r="BD84" t="inlineStr">
        <is>
          <t>893601050</t>
        </is>
      </c>
    </row>
    <row r="85">
      <c r="A85" t="inlineStr">
        <is>
          <t>No</t>
        </is>
      </c>
      <c r="B85" t="inlineStr">
        <is>
          <t>HM1211 .C659 2007</t>
        </is>
      </c>
      <c r="C85" t="inlineStr">
        <is>
          <t>0                      HM 1211000C  659         2007</t>
        </is>
      </c>
      <c r="D85" t="inlineStr">
        <is>
          <t>Conflicts and tensions / edited by Helmut K. Anheier and Yudhishthir Raj Isar.</t>
        </is>
      </c>
      <c r="F85" t="inlineStr">
        <is>
          <t>No</t>
        </is>
      </c>
      <c r="G85" t="inlineStr">
        <is>
          <t>1</t>
        </is>
      </c>
      <c r="H85" t="inlineStr">
        <is>
          <t>No</t>
        </is>
      </c>
      <c r="I85" t="inlineStr">
        <is>
          <t>No</t>
        </is>
      </c>
      <c r="J85" t="inlineStr">
        <is>
          <t>0</t>
        </is>
      </c>
      <c r="L85" t="inlineStr">
        <is>
          <t>Los Angeles : SAGE, 2007.</t>
        </is>
      </c>
      <c r="M85" t="inlineStr">
        <is>
          <t>2007</t>
        </is>
      </c>
      <c r="O85" t="inlineStr">
        <is>
          <t>eng</t>
        </is>
      </c>
      <c r="P85" t="inlineStr">
        <is>
          <t>cau</t>
        </is>
      </c>
      <c r="Q85" t="inlineStr">
        <is>
          <t>The cultures and globalization series ; 1</t>
        </is>
      </c>
      <c r="R85" t="inlineStr">
        <is>
          <t xml:space="preserve">HM </t>
        </is>
      </c>
      <c r="S85" t="n">
        <v>3</v>
      </c>
      <c r="T85" t="n">
        <v>3</v>
      </c>
      <c r="U85" t="inlineStr">
        <is>
          <t>2010-12-03</t>
        </is>
      </c>
      <c r="V85" t="inlineStr">
        <is>
          <t>2010-12-03</t>
        </is>
      </c>
      <c r="W85" t="inlineStr">
        <is>
          <t>2008-11-18</t>
        </is>
      </c>
      <c r="X85" t="inlineStr">
        <is>
          <t>2008-11-18</t>
        </is>
      </c>
      <c r="Y85" t="n">
        <v>394</v>
      </c>
      <c r="Z85" t="n">
        <v>267</v>
      </c>
      <c r="AA85" t="n">
        <v>619</v>
      </c>
      <c r="AB85" t="n">
        <v>1</v>
      </c>
      <c r="AC85" t="n">
        <v>3</v>
      </c>
      <c r="AD85" t="n">
        <v>12</v>
      </c>
      <c r="AE85" t="n">
        <v>19</v>
      </c>
      <c r="AF85" t="n">
        <v>7</v>
      </c>
      <c r="AG85" t="n">
        <v>8</v>
      </c>
      <c r="AH85" t="n">
        <v>3</v>
      </c>
      <c r="AI85" t="n">
        <v>6</v>
      </c>
      <c r="AJ85" t="n">
        <v>6</v>
      </c>
      <c r="AK85" t="n">
        <v>9</v>
      </c>
      <c r="AL85" t="n">
        <v>0</v>
      </c>
      <c r="AM85" t="n">
        <v>2</v>
      </c>
      <c r="AN85" t="n">
        <v>0</v>
      </c>
      <c r="AO85" t="n">
        <v>0</v>
      </c>
      <c r="AP85" t="inlineStr">
        <is>
          <t>No</t>
        </is>
      </c>
      <c r="AQ85" t="inlineStr">
        <is>
          <t>No</t>
        </is>
      </c>
      <c r="AS85">
        <f>HYPERLINK("https://creighton-primo.hosted.exlibrisgroup.com/primo-explore/search?tab=default_tab&amp;search_scope=EVERYTHING&amp;vid=01CRU&amp;lang=en_US&amp;offset=0&amp;query=any,contains,991005256449702656","Catalog Record")</f>
        <v/>
      </c>
      <c r="AT85">
        <f>HYPERLINK("http://www.worldcat.org/oclc/76798670","WorldCat Record")</f>
        <v/>
      </c>
      <c r="AU85" t="inlineStr">
        <is>
          <t>2864255516:eng</t>
        </is>
      </c>
      <c r="AV85" t="inlineStr">
        <is>
          <t>76798670</t>
        </is>
      </c>
      <c r="AW85" t="inlineStr">
        <is>
          <t>991005256449702656</t>
        </is>
      </c>
      <c r="AX85" t="inlineStr">
        <is>
          <t>991005256449702656</t>
        </is>
      </c>
      <c r="AY85" t="inlineStr">
        <is>
          <t>2259681530002656</t>
        </is>
      </c>
      <c r="AZ85" t="inlineStr">
        <is>
          <t>BOOK</t>
        </is>
      </c>
      <c r="BB85" t="inlineStr">
        <is>
          <t>9781412934718</t>
        </is>
      </c>
      <c r="BC85" t="inlineStr">
        <is>
          <t>32285005466999</t>
        </is>
      </c>
      <c r="BD85" t="inlineStr">
        <is>
          <t>893707538</t>
        </is>
      </c>
    </row>
    <row r="86">
      <c r="A86" t="inlineStr">
        <is>
          <t>No</t>
        </is>
      </c>
      <c r="B86" t="inlineStr">
        <is>
          <t>HM1211 .H66 2003</t>
        </is>
      </c>
      <c r="C86" t="inlineStr">
        <is>
          <t>0                      HM 1211000H  66          2003</t>
        </is>
      </c>
      <c r="D86" t="inlineStr">
        <is>
          <t>Working across cultures / John Hooker.</t>
        </is>
      </c>
      <c r="F86" t="inlineStr">
        <is>
          <t>No</t>
        </is>
      </c>
      <c r="G86" t="inlineStr">
        <is>
          <t>1</t>
        </is>
      </c>
      <c r="H86" t="inlineStr">
        <is>
          <t>No</t>
        </is>
      </c>
      <c r="I86" t="inlineStr">
        <is>
          <t>No</t>
        </is>
      </c>
      <c r="J86" t="inlineStr">
        <is>
          <t>0</t>
        </is>
      </c>
      <c r="K86" t="inlineStr">
        <is>
          <t>Hooker, John, 1949-</t>
        </is>
      </c>
      <c r="L86" t="inlineStr">
        <is>
          <t>Stanford, Calif. : Stanford Business Books, 2003.</t>
        </is>
      </c>
      <c r="M86" t="inlineStr">
        <is>
          <t>2003</t>
        </is>
      </c>
      <c r="O86" t="inlineStr">
        <is>
          <t>eng</t>
        </is>
      </c>
      <c r="P86" t="inlineStr">
        <is>
          <t>cau</t>
        </is>
      </c>
      <c r="R86" t="inlineStr">
        <is>
          <t xml:space="preserve">HM </t>
        </is>
      </c>
      <c r="S86" t="n">
        <v>6</v>
      </c>
      <c r="T86" t="n">
        <v>6</v>
      </c>
      <c r="U86" t="inlineStr">
        <is>
          <t>2008-04-07</t>
        </is>
      </c>
      <c r="V86" t="inlineStr">
        <is>
          <t>2008-04-07</t>
        </is>
      </c>
      <c r="W86" t="inlineStr">
        <is>
          <t>2003-10-02</t>
        </is>
      </c>
      <c r="X86" t="inlineStr">
        <is>
          <t>2003-10-02</t>
        </is>
      </c>
      <c r="Y86" t="n">
        <v>858</v>
      </c>
      <c r="Z86" t="n">
        <v>728</v>
      </c>
      <c r="AA86" t="n">
        <v>734</v>
      </c>
      <c r="AB86" t="n">
        <v>4</v>
      </c>
      <c r="AC86" t="n">
        <v>4</v>
      </c>
      <c r="AD86" t="n">
        <v>36</v>
      </c>
      <c r="AE86" t="n">
        <v>37</v>
      </c>
      <c r="AF86" t="n">
        <v>17</v>
      </c>
      <c r="AG86" t="n">
        <v>17</v>
      </c>
      <c r="AH86" t="n">
        <v>9</v>
      </c>
      <c r="AI86" t="n">
        <v>9</v>
      </c>
      <c r="AJ86" t="n">
        <v>18</v>
      </c>
      <c r="AK86" t="n">
        <v>19</v>
      </c>
      <c r="AL86" t="n">
        <v>3</v>
      </c>
      <c r="AM86" t="n">
        <v>3</v>
      </c>
      <c r="AN86" t="n">
        <v>0</v>
      </c>
      <c r="AO86" t="n">
        <v>0</v>
      </c>
      <c r="AP86" t="inlineStr">
        <is>
          <t>No</t>
        </is>
      </c>
      <c r="AQ86" t="inlineStr">
        <is>
          <t>No</t>
        </is>
      </c>
      <c r="AS86">
        <f>HYPERLINK("https://creighton-primo.hosted.exlibrisgroup.com/primo-explore/search?tab=default_tab&amp;search_scope=EVERYTHING&amp;vid=01CRU&amp;lang=en_US&amp;offset=0&amp;query=any,contains,991004148799702656","Catalog Record")</f>
        <v/>
      </c>
      <c r="AT86">
        <f>HYPERLINK("http://www.worldcat.org/oclc/52031385","WorldCat Record")</f>
        <v/>
      </c>
      <c r="AU86" t="inlineStr">
        <is>
          <t>783281:eng</t>
        </is>
      </c>
      <c r="AV86" t="inlineStr">
        <is>
          <t>52031385</t>
        </is>
      </c>
      <c r="AW86" t="inlineStr">
        <is>
          <t>991004148799702656</t>
        </is>
      </c>
      <c r="AX86" t="inlineStr">
        <is>
          <t>991004148799702656</t>
        </is>
      </c>
      <c r="AY86" t="inlineStr">
        <is>
          <t>2267462430002656</t>
        </is>
      </c>
      <c r="AZ86" t="inlineStr">
        <is>
          <t>BOOK</t>
        </is>
      </c>
      <c r="BB86" t="inlineStr">
        <is>
          <t>9780804748070</t>
        </is>
      </c>
      <c r="BC86" t="inlineStr">
        <is>
          <t>32285004792999</t>
        </is>
      </c>
      <c r="BD86" t="inlineStr">
        <is>
          <t>893900870</t>
        </is>
      </c>
    </row>
    <row r="87">
      <c r="A87" t="inlineStr">
        <is>
          <t>No</t>
        </is>
      </c>
      <c r="B87" t="inlineStr">
        <is>
          <t>HM1211 .N68 2001</t>
        </is>
      </c>
      <c r="C87" t="inlineStr">
        <is>
          <t>0                      HM 1211000N  68          2001</t>
        </is>
      </c>
      <c r="D87" t="inlineStr">
        <is>
          <t>Intercultural communication : a practical guide / by Tracy Novinger.</t>
        </is>
      </c>
      <c r="F87" t="inlineStr">
        <is>
          <t>No</t>
        </is>
      </c>
      <c r="G87" t="inlineStr">
        <is>
          <t>1</t>
        </is>
      </c>
      <c r="H87" t="inlineStr">
        <is>
          <t>No</t>
        </is>
      </c>
      <c r="I87" t="inlineStr">
        <is>
          <t>No</t>
        </is>
      </c>
      <c r="J87" t="inlineStr">
        <is>
          <t>0</t>
        </is>
      </c>
      <c r="K87" t="inlineStr">
        <is>
          <t>Novinger, Tracy, 1942-</t>
        </is>
      </c>
      <c r="L87" t="inlineStr">
        <is>
          <t>Austin, TX: University of Texas Press, 2001.</t>
        </is>
      </c>
      <c r="M87" t="inlineStr">
        <is>
          <t>2001</t>
        </is>
      </c>
      <c r="N87" t="inlineStr">
        <is>
          <t>1st ed.</t>
        </is>
      </c>
      <c r="O87" t="inlineStr">
        <is>
          <t>eng</t>
        </is>
      </c>
      <c r="P87" t="inlineStr">
        <is>
          <t>txu</t>
        </is>
      </c>
      <c r="R87" t="inlineStr">
        <is>
          <t xml:space="preserve">HM </t>
        </is>
      </c>
      <c r="S87" t="n">
        <v>10</v>
      </c>
      <c r="T87" t="n">
        <v>10</v>
      </c>
      <c r="U87" t="inlineStr">
        <is>
          <t>2010-03-29</t>
        </is>
      </c>
      <c r="V87" t="inlineStr">
        <is>
          <t>2010-03-29</t>
        </is>
      </c>
      <c r="W87" t="inlineStr">
        <is>
          <t>2001-03-26</t>
        </is>
      </c>
      <c r="X87" t="inlineStr">
        <is>
          <t>2001-03-26</t>
        </is>
      </c>
      <c r="Y87" t="n">
        <v>498</v>
      </c>
      <c r="Z87" t="n">
        <v>456</v>
      </c>
      <c r="AA87" t="n">
        <v>1053</v>
      </c>
      <c r="AB87" t="n">
        <v>2</v>
      </c>
      <c r="AC87" t="n">
        <v>6</v>
      </c>
      <c r="AD87" t="n">
        <v>14</v>
      </c>
      <c r="AE87" t="n">
        <v>32</v>
      </c>
      <c r="AF87" t="n">
        <v>5</v>
      </c>
      <c r="AG87" t="n">
        <v>12</v>
      </c>
      <c r="AH87" t="n">
        <v>6</v>
      </c>
      <c r="AI87" t="n">
        <v>9</v>
      </c>
      <c r="AJ87" t="n">
        <v>7</v>
      </c>
      <c r="AK87" t="n">
        <v>12</v>
      </c>
      <c r="AL87" t="n">
        <v>1</v>
      </c>
      <c r="AM87" t="n">
        <v>5</v>
      </c>
      <c r="AN87" t="n">
        <v>0</v>
      </c>
      <c r="AO87" t="n">
        <v>1</v>
      </c>
      <c r="AP87" t="inlineStr">
        <is>
          <t>No</t>
        </is>
      </c>
      <c r="AQ87" t="inlineStr">
        <is>
          <t>Yes</t>
        </is>
      </c>
      <c r="AR87">
        <f>HYPERLINK("http://catalog.hathitrust.org/Record/004139661","HathiTrust Record")</f>
        <v/>
      </c>
      <c r="AS87">
        <f>HYPERLINK("https://creighton-primo.hosted.exlibrisgroup.com/primo-explore/search?tab=default_tab&amp;search_scope=EVERYTHING&amp;vid=01CRU&amp;lang=en_US&amp;offset=0&amp;query=any,contains,991003486209702656","Catalog Record")</f>
        <v/>
      </c>
      <c r="AT87">
        <f>HYPERLINK("http://www.worldcat.org/oclc/43729090","WorldCat Record")</f>
        <v/>
      </c>
      <c r="AU87" t="inlineStr">
        <is>
          <t>794238127:eng</t>
        </is>
      </c>
      <c r="AV87" t="inlineStr">
        <is>
          <t>43729090</t>
        </is>
      </c>
      <c r="AW87" t="inlineStr">
        <is>
          <t>991003486209702656</t>
        </is>
      </c>
      <c r="AX87" t="inlineStr">
        <is>
          <t>991003486209702656</t>
        </is>
      </c>
      <c r="AY87" t="inlineStr">
        <is>
          <t>2267689040002656</t>
        </is>
      </c>
      <c r="AZ87" t="inlineStr">
        <is>
          <t>BOOK</t>
        </is>
      </c>
      <c r="BB87" t="inlineStr">
        <is>
          <t>9780292755703</t>
        </is>
      </c>
      <c r="BC87" t="inlineStr">
        <is>
          <t>32285004306774</t>
        </is>
      </c>
      <c r="BD87" t="inlineStr">
        <is>
          <t>893692751</t>
        </is>
      </c>
    </row>
    <row r="88">
      <c r="A88" t="inlineStr">
        <is>
          <t>No</t>
        </is>
      </c>
      <c r="B88" t="inlineStr">
        <is>
          <t>HM1211 .R39 2009</t>
        </is>
      </c>
      <c r="C88" t="inlineStr">
        <is>
          <t>0                      HM 1211000R  39          2009</t>
        </is>
      </c>
      <c r="D88" t="inlineStr">
        <is>
          <t>Language and interracial communication in the United States : speaking in black and white / George B. Ray.</t>
        </is>
      </c>
      <c r="F88" t="inlineStr">
        <is>
          <t>No</t>
        </is>
      </c>
      <c r="G88" t="inlineStr">
        <is>
          <t>1</t>
        </is>
      </c>
      <c r="H88" t="inlineStr">
        <is>
          <t>No</t>
        </is>
      </c>
      <c r="I88" t="inlineStr">
        <is>
          <t>No</t>
        </is>
      </c>
      <c r="J88" t="inlineStr">
        <is>
          <t>0</t>
        </is>
      </c>
      <c r="K88" t="inlineStr">
        <is>
          <t>Ray, George B.</t>
        </is>
      </c>
      <c r="L88" t="inlineStr">
        <is>
          <t>New York : Peter Lang, c2009.</t>
        </is>
      </c>
      <c r="M88" t="inlineStr">
        <is>
          <t>2009</t>
        </is>
      </c>
      <c r="O88" t="inlineStr">
        <is>
          <t>eng</t>
        </is>
      </c>
      <c r="P88" t="inlineStr">
        <is>
          <t>nyu</t>
        </is>
      </c>
      <c r="Q88" t="inlineStr">
        <is>
          <t>Language as social action, 1529-2436 ; v. 1</t>
        </is>
      </c>
      <c r="R88" t="inlineStr">
        <is>
          <t xml:space="preserve">HM </t>
        </is>
      </c>
      <c r="S88" t="n">
        <v>2</v>
      </c>
      <c r="T88" t="n">
        <v>2</v>
      </c>
      <c r="U88" t="inlineStr">
        <is>
          <t>2010-03-29</t>
        </is>
      </c>
      <c r="V88" t="inlineStr">
        <is>
          <t>2010-03-29</t>
        </is>
      </c>
      <c r="W88" t="inlineStr">
        <is>
          <t>2009-08-03</t>
        </is>
      </c>
      <c r="X88" t="inlineStr">
        <is>
          <t>2009-08-03</t>
        </is>
      </c>
      <c r="Y88" t="n">
        <v>203</v>
      </c>
      <c r="Z88" t="n">
        <v>170</v>
      </c>
      <c r="AA88" t="n">
        <v>170</v>
      </c>
      <c r="AB88" t="n">
        <v>2</v>
      </c>
      <c r="AC88" t="n">
        <v>2</v>
      </c>
      <c r="AD88" t="n">
        <v>7</v>
      </c>
      <c r="AE88" t="n">
        <v>7</v>
      </c>
      <c r="AF88" t="n">
        <v>3</v>
      </c>
      <c r="AG88" t="n">
        <v>3</v>
      </c>
      <c r="AH88" t="n">
        <v>2</v>
      </c>
      <c r="AI88" t="n">
        <v>2</v>
      </c>
      <c r="AJ88" t="n">
        <v>4</v>
      </c>
      <c r="AK88" t="n">
        <v>4</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HYPERLINK("https://creighton-primo.hosted.exlibrisgroup.com/primo-explore/search?tab=default_tab&amp;search_scope=EVERYTHING&amp;vid=01CRU&amp;lang=en_US&amp;offset=0&amp;query=any,contains,991005327259702656","Catalog Record")</f>
        <v/>
      </c>
      <c r="AT88">
        <f>HYPERLINK("http://www.worldcat.org/oclc/310096977","WorldCat Record")</f>
        <v/>
      </c>
      <c r="AU88" t="inlineStr">
        <is>
          <t>793189330:eng</t>
        </is>
      </c>
      <c r="AV88" t="inlineStr">
        <is>
          <t>310096977</t>
        </is>
      </c>
      <c r="AW88" t="inlineStr">
        <is>
          <t>991005327259702656</t>
        </is>
      </c>
      <c r="AX88" t="inlineStr">
        <is>
          <t>991005327259702656</t>
        </is>
      </c>
      <c r="AY88" t="inlineStr">
        <is>
          <t>2267515010002656</t>
        </is>
      </c>
      <c r="AZ88" t="inlineStr">
        <is>
          <t>BOOK</t>
        </is>
      </c>
      <c r="BB88" t="inlineStr">
        <is>
          <t>9780820462455</t>
        </is>
      </c>
      <c r="BC88" t="inlineStr">
        <is>
          <t>32285005539928</t>
        </is>
      </c>
      <c r="BD88" t="inlineStr">
        <is>
          <t>893501700</t>
        </is>
      </c>
    </row>
    <row r="89">
      <c r="A89" t="inlineStr">
        <is>
          <t>No</t>
        </is>
      </c>
      <c r="B89" t="inlineStr">
        <is>
          <t>HM1221 .B34 2005</t>
        </is>
      </c>
      <c r="C89" t="inlineStr">
        <is>
          <t>0                      HM 1221000B  34          2005</t>
        </is>
      </c>
      <c r="D89" t="inlineStr">
        <is>
          <t>Practical public relations : theories &amp; practices that make a difference / Donald Bagin, Anthony Fulginiti.</t>
        </is>
      </c>
      <c r="F89" t="inlineStr">
        <is>
          <t>No</t>
        </is>
      </c>
      <c r="G89" t="inlineStr">
        <is>
          <t>1</t>
        </is>
      </c>
      <c r="H89" t="inlineStr">
        <is>
          <t>No</t>
        </is>
      </c>
      <c r="I89" t="inlineStr">
        <is>
          <t>No</t>
        </is>
      </c>
      <c r="J89" t="inlineStr">
        <is>
          <t>0</t>
        </is>
      </c>
      <c r="K89" t="inlineStr">
        <is>
          <t>Bagin, Don, 1938-</t>
        </is>
      </c>
      <c r="L89" t="inlineStr">
        <is>
          <t>Dubuque, Iowa : Kendall/Hunt Publishing Co., c2005.</t>
        </is>
      </c>
      <c r="M89" t="inlineStr">
        <is>
          <t>2005</t>
        </is>
      </c>
      <c r="O89" t="inlineStr">
        <is>
          <t>eng</t>
        </is>
      </c>
      <c r="P89" t="inlineStr">
        <is>
          <t>iau</t>
        </is>
      </c>
      <c r="R89" t="inlineStr">
        <is>
          <t xml:space="preserve">HM </t>
        </is>
      </c>
      <c r="S89" t="n">
        <v>2</v>
      </c>
      <c r="T89" t="n">
        <v>2</v>
      </c>
      <c r="U89" t="inlineStr">
        <is>
          <t>2009-04-30</t>
        </is>
      </c>
      <c r="V89" t="inlineStr">
        <is>
          <t>2009-04-30</t>
        </is>
      </c>
      <c r="W89" t="inlineStr">
        <is>
          <t>2008-05-05</t>
        </is>
      </c>
      <c r="X89" t="inlineStr">
        <is>
          <t>2008-05-05</t>
        </is>
      </c>
      <c r="Y89" t="n">
        <v>16</v>
      </c>
      <c r="Z89" t="n">
        <v>12</v>
      </c>
      <c r="AA89" t="n">
        <v>13</v>
      </c>
      <c r="AB89" t="n">
        <v>1</v>
      </c>
      <c r="AC89" t="n">
        <v>1</v>
      </c>
      <c r="AD89" t="n">
        <v>0</v>
      </c>
      <c r="AE89" t="n">
        <v>0</v>
      </c>
      <c r="AF89" t="n">
        <v>0</v>
      </c>
      <c r="AG89" t="n">
        <v>0</v>
      </c>
      <c r="AH89" t="n">
        <v>0</v>
      </c>
      <c r="AI89" t="n">
        <v>0</v>
      </c>
      <c r="AJ89" t="n">
        <v>0</v>
      </c>
      <c r="AK89" t="n">
        <v>0</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HYPERLINK("https://creighton-primo.hosted.exlibrisgroup.com/primo-explore/search?tab=default_tab&amp;search_scope=EVERYTHING&amp;vid=01CRU&amp;lang=en_US&amp;offset=0&amp;query=any,contains,991005189699702656","Catalog Record")</f>
        <v/>
      </c>
      <c r="AT89">
        <f>HYPERLINK("http://www.worldcat.org/oclc/163582550","WorldCat Record")</f>
        <v/>
      </c>
      <c r="AU89" t="inlineStr">
        <is>
          <t>151797280:eng</t>
        </is>
      </c>
      <c r="AV89" t="inlineStr">
        <is>
          <t>163582550</t>
        </is>
      </c>
      <c r="AW89" t="inlineStr">
        <is>
          <t>991005189699702656</t>
        </is>
      </c>
      <c r="AX89" t="inlineStr">
        <is>
          <t>991005189699702656</t>
        </is>
      </c>
      <c r="AY89" t="inlineStr">
        <is>
          <t>2266004150002656</t>
        </is>
      </c>
      <c r="AZ89" t="inlineStr">
        <is>
          <t>BOOK</t>
        </is>
      </c>
      <c r="BB89" t="inlineStr">
        <is>
          <t>9780757515941</t>
        </is>
      </c>
      <c r="BC89" t="inlineStr">
        <is>
          <t>32285005405153</t>
        </is>
      </c>
      <c r="BD89" t="inlineStr">
        <is>
          <t>893877087</t>
        </is>
      </c>
    </row>
    <row r="90">
      <c r="A90" t="inlineStr">
        <is>
          <t>No</t>
        </is>
      </c>
      <c r="B90" t="inlineStr">
        <is>
          <t>HM1221 .C59 2007</t>
        </is>
      </c>
      <c r="C90" t="inlineStr">
        <is>
          <t>0                      HM 1221000C  59          2007</t>
        </is>
      </c>
      <c r="D90" t="inlineStr">
        <is>
          <t>It's not just PR : public relations in society / W. Timothy Coombs and Sherry J. Holladay.</t>
        </is>
      </c>
      <c r="F90" t="inlineStr">
        <is>
          <t>No</t>
        </is>
      </c>
      <c r="G90" t="inlineStr">
        <is>
          <t>1</t>
        </is>
      </c>
      <c r="H90" t="inlineStr">
        <is>
          <t>No</t>
        </is>
      </c>
      <c r="I90" t="inlineStr">
        <is>
          <t>No</t>
        </is>
      </c>
      <c r="J90" t="inlineStr">
        <is>
          <t>0</t>
        </is>
      </c>
      <c r="K90" t="inlineStr">
        <is>
          <t>Coombs, W. Timothy.</t>
        </is>
      </c>
      <c r="L90" t="inlineStr">
        <is>
          <t>Malden, MA : Blackwell Pub., 2007.</t>
        </is>
      </c>
      <c r="M90" t="inlineStr">
        <is>
          <t>2007</t>
        </is>
      </c>
      <c r="O90" t="inlineStr">
        <is>
          <t>eng</t>
        </is>
      </c>
      <c r="P90" t="inlineStr">
        <is>
          <t>mau</t>
        </is>
      </c>
      <c r="R90" t="inlineStr">
        <is>
          <t xml:space="preserve">HM </t>
        </is>
      </c>
      <c r="S90" t="n">
        <v>2</v>
      </c>
      <c r="T90" t="n">
        <v>2</v>
      </c>
      <c r="U90" t="inlineStr">
        <is>
          <t>2008-06-25</t>
        </is>
      </c>
      <c r="V90" t="inlineStr">
        <is>
          <t>2008-06-25</t>
        </is>
      </c>
      <c r="W90" t="inlineStr">
        <is>
          <t>2007-11-28</t>
        </is>
      </c>
      <c r="X90" t="inlineStr">
        <is>
          <t>2007-11-28</t>
        </is>
      </c>
      <c r="Y90" t="n">
        <v>578</v>
      </c>
      <c r="Z90" t="n">
        <v>441</v>
      </c>
      <c r="AA90" t="n">
        <v>795</v>
      </c>
      <c r="AB90" t="n">
        <v>4</v>
      </c>
      <c r="AC90" t="n">
        <v>6</v>
      </c>
      <c r="AD90" t="n">
        <v>23</v>
      </c>
      <c r="AE90" t="n">
        <v>41</v>
      </c>
      <c r="AF90" t="n">
        <v>11</v>
      </c>
      <c r="AG90" t="n">
        <v>18</v>
      </c>
      <c r="AH90" t="n">
        <v>5</v>
      </c>
      <c r="AI90" t="n">
        <v>10</v>
      </c>
      <c r="AJ90" t="n">
        <v>10</v>
      </c>
      <c r="AK90" t="n">
        <v>16</v>
      </c>
      <c r="AL90" t="n">
        <v>3</v>
      </c>
      <c r="AM90" t="n">
        <v>5</v>
      </c>
      <c r="AN90" t="n">
        <v>0</v>
      </c>
      <c r="AO90" t="n">
        <v>1</v>
      </c>
      <c r="AP90" t="inlineStr">
        <is>
          <t>No</t>
        </is>
      </c>
      <c r="AQ90" t="inlineStr">
        <is>
          <t>No</t>
        </is>
      </c>
      <c r="AS90">
        <f>HYPERLINK("https://creighton-primo.hosted.exlibrisgroup.com/primo-explore/search?tab=default_tab&amp;search_scope=EVERYTHING&amp;vid=01CRU&amp;lang=en_US&amp;offset=0&amp;query=any,contains,991005138259702656","Catalog Record")</f>
        <v/>
      </c>
      <c r="AT90">
        <f>HYPERLINK("http://www.worldcat.org/oclc/70219805","WorldCat Record")</f>
        <v/>
      </c>
      <c r="AU90" t="inlineStr">
        <is>
          <t>908749006:eng</t>
        </is>
      </c>
      <c r="AV90" t="inlineStr">
        <is>
          <t>70219805</t>
        </is>
      </c>
      <c r="AW90" t="inlineStr">
        <is>
          <t>991005138259702656</t>
        </is>
      </c>
      <c r="AX90" t="inlineStr">
        <is>
          <t>991005138259702656</t>
        </is>
      </c>
      <c r="AY90" t="inlineStr">
        <is>
          <t>2257667730002656</t>
        </is>
      </c>
      <c r="AZ90" t="inlineStr">
        <is>
          <t>BOOK</t>
        </is>
      </c>
      <c r="BB90" t="inlineStr">
        <is>
          <t>9781405144056</t>
        </is>
      </c>
      <c r="BC90" t="inlineStr">
        <is>
          <t>32285005368831</t>
        </is>
      </c>
      <c r="BD90" t="inlineStr">
        <is>
          <t>893619517</t>
        </is>
      </c>
    </row>
    <row r="91">
      <c r="A91" t="inlineStr">
        <is>
          <t>No</t>
        </is>
      </c>
      <c r="B91" t="inlineStr">
        <is>
          <t>HM1221 .E89 2006</t>
        </is>
      </c>
      <c r="C91" t="inlineStr">
        <is>
          <t>0                      HM 1221000E  89          2006</t>
        </is>
      </c>
      <c r="D91" t="inlineStr">
        <is>
          <t>Ethics in public relations : responsible advocacy / editors, Kathy Fitzpatrick, Carolyn Bronstein.</t>
        </is>
      </c>
      <c r="F91" t="inlineStr">
        <is>
          <t>No</t>
        </is>
      </c>
      <c r="G91" t="inlineStr">
        <is>
          <t>1</t>
        </is>
      </c>
      <c r="H91" t="inlineStr">
        <is>
          <t>No</t>
        </is>
      </c>
      <c r="I91" t="inlineStr">
        <is>
          <t>No</t>
        </is>
      </c>
      <c r="J91" t="inlineStr">
        <is>
          <t>0</t>
        </is>
      </c>
      <c r="L91" t="inlineStr">
        <is>
          <t>Thousand Oaks, Calif. : Sage Publications, c2006.</t>
        </is>
      </c>
      <c r="M91" t="inlineStr">
        <is>
          <t>2006</t>
        </is>
      </c>
      <c r="O91" t="inlineStr">
        <is>
          <t>eng</t>
        </is>
      </c>
      <c r="P91" t="inlineStr">
        <is>
          <t>cau</t>
        </is>
      </c>
      <c r="R91" t="inlineStr">
        <is>
          <t xml:space="preserve">HM </t>
        </is>
      </c>
      <c r="S91" t="n">
        <v>2</v>
      </c>
      <c r="T91" t="n">
        <v>2</v>
      </c>
      <c r="U91" t="inlineStr">
        <is>
          <t>2009-11-12</t>
        </is>
      </c>
      <c r="V91" t="inlineStr">
        <is>
          <t>2009-11-12</t>
        </is>
      </c>
      <c r="W91" t="inlineStr">
        <is>
          <t>2006-08-07</t>
        </is>
      </c>
      <c r="X91" t="inlineStr">
        <is>
          <t>2006-08-07</t>
        </is>
      </c>
      <c r="Y91" t="n">
        <v>608</v>
      </c>
      <c r="Z91" t="n">
        <v>468</v>
      </c>
      <c r="AA91" t="n">
        <v>705</v>
      </c>
      <c r="AB91" t="n">
        <v>4</v>
      </c>
      <c r="AC91" t="n">
        <v>7</v>
      </c>
      <c r="AD91" t="n">
        <v>26</v>
      </c>
      <c r="AE91" t="n">
        <v>34</v>
      </c>
      <c r="AF91" t="n">
        <v>13</v>
      </c>
      <c r="AG91" t="n">
        <v>15</v>
      </c>
      <c r="AH91" t="n">
        <v>6</v>
      </c>
      <c r="AI91" t="n">
        <v>8</v>
      </c>
      <c r="AJ91" t="n">
        <v>11</v>
      </c>
      <c r="AK91" t="n">
        <v>13</v>
      </c>
      <c r="AL91" t="n">
        <v>3</v>
      </c>
      <c r="AM91" t="n">
        <v>6</v>
      </c>
      <c r="AN91" t="n">
        <v>0</v>
      </c>
      <c r="AO91" t="n">
        <v>0</v>
      </c>
      <c r="AP91" t="inlineStr">
        <is>
          <t>No</t>
        </is>
      </c>
      <c r="AQ91" t="inlineStr">
        <is>
          <t>No</t>
        </is>
      </c>
      <c r="AS91">
        <f>HYPERLINK("https://creighton-primo.hosted.exlibrisgroup.com/primo-explore/search?tab=default_tab&amp;search_scope=EVERYTHING&amp;vid=01CRU&amp;lang=en_US&amp;offset=0&amp;query=any,contains,991004864089702656","Catalog Record")</f>
        <v/>
      </c>
      <c r="AT91">
        <f>HYPERLINK("http://www.worldcat.org/oclc/62393074","WorldCat Record")</f>
        <v/>
      </c>
      <c r="AU91" t="inlineStr">
        <is>
          <t>891247800:eng</t>
        </is>
      </c>
      <c r="AV91" t="inlineStr">
        <is>
          <t>62393074</t>
        </is>
      </c>
      <c r="AW91" t="inlineStr">
        <is>
          <t>991004864089702656</t>
        </is>
      </c>
      <c r="AX91" t="inlineStr">
        <is>
          <t>991004864089702656</t>
        </is>
      </c>
      <c r="AY91" t="inlineStr">
        <is>
          <t>2266407280002656</t>
        </is>
      </c>
      <c r="AZ91" t="inlineStr">
        <is>
          <t>BOOK</t>
        </is>
      </c>
      <c r="BB91" t="inlineStr">
        <is>
          <t>9781412917971</t>
        </is>
      </c>
      <c r="BC91" t="inlineStr">
        <is>
          <t>32285005199764</t>
        </is>
      </c>
      <c r="BD91" t="inlineStr">
        <is>
          <t>893260274</t>
        </is>
      </c>
    </row>
    <row r="92">
      <c r="A92" t="inlineStr">
        <is>
          <t>No</t>
        </is>
      </c>
      <c r="B92" t="inlineStr">
        <is>
          <t>HM1226 .H38 2002</t>
        </is>
      </c>
      <c r="C92" t="inlineStr">
        <is>
          <t>0                      HM 1226000H  38          2002</t>
        </is>
      </c>
      <c r="D92" t="inlineStr">
        <is>
          <t>How to be your own publicist : everything you need to know to act like a PR pro / Jessica Hatchigan.</t>
        </is>
      </c>
      <c r="F92" t="inlineStr">
        <is>
          <t>No</t>
        </is>
      </c>
      <c r="G92" t="inlineStr">
        <is>
          <t>1</t>
        </is>
      </c>
      <c r="H92" t="inlineStr">
        <is>
          <t>No</t>
        </is>
      </c>
      <c r="I92" t="inlineStr">
        <is>
          <t>No</t>
        </is>
      </c>
      <c r="J92" t="inlineStr">
        <is>
          <t>0</t>
        </is>
      </c>
      <c r="K92" t="inlineStr">
        <is>
          <t>Hatchigan, Jessica.</t>
        </is>
      </c>
      <c r="L92" t="inlineStr">
        <is>
          <t>Chicago : McGraw-Hill, c2002.</t>
        </is>
      </c>
      <c r="M92" t="inlineStr">
        <is>
          <t>2002</t>
        </is>
      </c>
      <c r="O92" t="inlineStr">
        <is>
          <t>eng</t>
        </is>
      </c>
      <c r="P92" t="inlineStr">
        <is>
          <t>ilu</t>
        </is>
      </c>
      <c r="R92" t="inlineStr">
        <is>
          <t xml:space="preserve">HM </t>
        </is>
      </c>
      <c r="S92" t="n">
        <v>3</v>
      </c>
      <c r="T92" t="n">
        <v>3</v>
      </c>
      <c r="U92" t="inlineStr">
        <is>
          <t>2003-10-30</t>
        </is>
      </c>
      <c r="V92" t="inlineStr">
        <is>
          <t>2003-10-30</t>
        </is>
      </c>
      <c r="W92" t="inlineStr">
        <is>
          <t>2003-03-26</t>
        </is>
      </c>
      <c r="X92" t="inlineStr">
        <is>
          <t>2003-03-26</t>
        </is>
      </c>
      <c r="Y92" t="n">
        <v>142</v>
      </c>
      <c r="Z92" t="n">
        <v>113</v>
      </c>
      <c r="AA92" t="n">
        <v>113</v>
      </c>
      <c r="AB92" t="n">
        <v>1</v>
      </c>
      <c r="AC92" t="n">
        <v>1</v>
      </c>
      <c r="AD92" t="n">
        <v>2</v>
      </c>
      <c r="AE92" t="n">
        <v>2</v>
      </c>
      <c r="AF92" t="n">
        <v>1</v>
      </c>
      <c r="AG92" t="n">
        <v>1</v>
      </c>
      <c r="AH92" t="n">
        <v>0</v>
      </c>
      <c r="AI92" t="n">
        <v>0</v>
      </c>
      <c r="AJ92" t="n">
        <v>1</v>
      </c>
      <c r="AK92" t="n">
        <v>1</v>
      </c>
      <c r="AL92" t="n">
        <v>0</v>
      </c>
      <c r="AM92" t="n">
        <v>0</v>
      </c>
      <c r="AN92" t="n">
        <v>0</v>
      </c>
      <c r="AO92" t="n">
        <v>0</v>
      </c>
      <c r="AP92" t="inlineStr">
        <is>
          <t>No</t>
        </is>
      </c>
      <c r="AQ92" t="inlineStr">
        <is>
          <t>No</t>
        </is>
      </c>
      <c r="AS92">
        <f>HYPERLINK("https://creighton-primo.hosted.exlibrisgroup.com/primo-explore/search?tab=default_tab&amp;search_scope=EVERYTHING&amp;vid=01CRU&amp;lang=en_US&amp;offset=0&amp;query=any,contains,991004014809702656","Catalog Record")</f>
        <v/>
      </c>
      <c r="AT92">
        <f>HYPERLINK("http://www.worldcat.org/oclc/49320567","WorldCat Record")</f>
        <v/>
      </c>
      <c r="AU92" t="inlineStr">
        <is>
          <t>38604512:eng</t>
        </is>
      </c>
      <c r="AV92" t="inlineStr">
        <is>
          <t>49320567</t>
        </is>
      </c>
      <c r="AW92" t="inlineStr">
        <is>
          <t>991004014809702656</t>
        </is>
      </c>
      <c r="AX92" t="inlineStr">
        <is>
          <t>991004014809702656</t>
        </is>
      </c>
      <c r="AY92" t="inlineStr">
        <is>
          <t>2257809730002656</t>
        </is>
      </c>
      <c r="AZ92" t="inlineStr">
        <is>
          <t>BOOK</t>
        </is>
      </c>
      <c r="BB92" t="inlineStr">
        <is>
          <t>9780071383325</t>
        </is>
      </c>
      <c r="BC92" t="inlineStr">
        <is>
          <t>32285004686787</t>
        </is>
      </c>
      <c r="BD92" t="inlineStr">
        <is>
          <t>893593165</t>
        </is>
      </c>
    </row>
    <row r="93">
      <c r="A93" t="inlineStr">
        <is>
          <t>No</t>
        </is>
      </c>
      <c r="B93" t="inlineStr">
        <is>
          <t>HM1236 .A46 2002</t>
        </is>
      </c>
      <c r="C93" t="inlineStr">
        <is>
          <t>0                      HM 1236000A  46          2002</t>
        </is>
      </c>
      <c r="D93" t="inlineStr">
        <is>
          <t>Hard choices, easy answers : values, information, and American public opinion / R. Michael Alvarez and John Brehm.</t>
        </is>
      </c>
      <c r="F93" t="inlineStr">
        <is>
          <t>No</t>
        </is>
      </c>
      <c r="G93" t="inlineStr">
        <is>
          <t>1</t>
        </is>
      </c>
      <c r="H93" t="inlineStr">
        <is>
          <t>No</t>
        </is>
      </c>
      <c r="I93" t="inlineStr">
        <is>
          <t>No</t>
        </is>
      </c>
      <c r="J93" t="inlineStr">
        <is>
          <t>0</t>
        </is>
      </c>
      <c r="K93" t="inlineStr">
        <is>
          <t>Alvarez, R. Michael, 1964-</t>
        </is>
      </c>
      <c r="L93" t="inlineStr">
        <is>
          <t>Princeton, N.J. : Princeton University Press, c2002.</t>
        </is>
      </c>
      <c r="M93" t="inlineStr">
        <is>
          <t>2002</t>
        </is>
      </c>
      <c r="O93" t="inlineStr">
        <is>
          <t>eng</t>
        </is>
      </c>
      <c r="P93" t="inlineStr">
        <is>
          <t>nju</t>
        </is>
      </c>
      <c r="R93" t="inlineStr">
        <is>
          <t xml:space="preserve">HM </t>
        </is>
      </c>
      <c r="S93" t="n">
        <v>4</v>
      </c>
      <c r="T93" t="n">
        <v>4</v>
      </c>
      <c r="U93" t="inlineStr">
        <is>
          <t>2003-11-08</t>
        </is>
      </c>
      <c r="V93" t="inlineStr">
        <is>
          <t>2003-11-08</t>
        </is>
      </c>
      <c r="W93" t="inlineStr">
        <is>
          <t>2002-09-23</t>
        </is>
      </c>
      <c r="X93" t="inlineStr">
        <is>
          <t>2002-09-23</t>
        </is>
      </c>
      <c r="Y93" t="n">
        <v>493</v>
      </c>
      <c r="Z93" t="n">
        <v>419</v>
      </c>
      <c r="AA93" t="n">
        <v>559</v>
      </c>
      <c r="AB93" t="n">
        <v>4</v>
      </c>
      <c r="AC93" t="n">
        <v>4</v>
      </c>
      <c r="AD93" t="n">
        <v>25</v>
      </c>
      <c r="AE93" t="n">
        <v>31</v>
      </c>
      <c r="AF93" t="n">
        <v>13</v>
      </c>
      <c r="AG93" t="n">
        <v>16</v>
      </c>
      <c r="AH93" t="n">
        <v>6</v>
      </c>
      <c r="AI93" t="n">
        <v>8</v>
      </c>
      <c r="AJ93" t="n">
        <v>12</v>
      </c>
      <c r="AK93" t="n">
        <v>15</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HYPERLINK("https://creighton-primo.hosted.exlibrisgroup.com/primo-explore/search?tab=default_tab&amp;search_scope=EVERYTHING&amp;vid=01CRU&amp;lang=en_US&amp;offset=0&amp;query=any,contains,991003868949702656","Catalog Record")</f>
        <v/>
      </c>
      <c r="AT93">
        <f>HYPERLINK("http://www.worldcat.org/oclc/47930488","WorldCat Record")</f>
        <v/>
      </c>
      <c r="AU93" t="inlineStr">
        <is>
          <t>145252467:eng</t>
        </is>
      </c>
      <c r="AV93" t="inlineStr">
        <is>
          <t>47930488</t>
        </is>
      </c>
      <c r="AW93" t="inlineStr">
        <is>
          <t>991003868949702656</t>
        </is>
      </c>
      <c r="AX93" t="inlineStr">
        <is>
          <t>991003868949702656</t>
        </is>
      </c>
      <c r="AY93" t="inlineStr">
        <is>
          <t>2255619600002656</t>
        </is>
      </c>
      <c r="AZ93" t="inlineStr">
        <is>
          <t>BOOK</t>
        </is>
      </c>
      <c r="BB93" t="inlineStr">
        <is>
          <t>9780691089188</t>
        </is>
      </c>
      <c r="BC93" t="inlineStr">
        <is>
          <t>32285004648126</t>
        </is>
      </c>
      <c r="BD93" t="inlineStr">
        <is>
          <t>893775304</t>
        </is>
      </c>
    </row>
    <row r="94">
      <c r="A94" t="inlineStr">
        <is>
          <t>No</t>
        </is>
      </c>
      <c r="B94" t="inlineStr">
        <is>
          <t>HM1236 .A75 2004</t>
        </is>
      </c>
      <c r="C94" t="inlineStr">
        <is>
          <t>0                      HM 1236000A  75          2004</t>
        </is>
      </c>
      <c r="D94" t="inlineStr">
        <is>
          <t>Polling and the public : what every citizen should know / Herbert Asher.</t>
        </is>
      </c>
      <c r="F94" t="inlineStr">
        <is>
          <t>No</t>
        </is>
      </c>
      <c r="G94" t="inlineStr">
        <is>
          <t>1</t>
        </is>
      </c>
      <c r="H94" t="inlineStr">
        <is>
          <t>No</t>
        </is>
      </c>
      <c r="I94" t="inlineStr">
        <is>
          <t>No</t>
        </is>
      </c>
      <c r="J94" t="inlineStr">
        <is>
          <t>0</t>
        </is>
      </c>
      <c r="K94" t="inlineStr">
        <is>
          <t>Asher, Herbert B.</t>
        </is>
      </c>
      <c r="L94" t="inlineStr">
        <is>
          <t>Washington, D.C. : CQ Press, c2004.</t>
        </is>
      </c>
      <c r="M94" t="inlineStr">
        <is>
          <t>2004</t>
        </is>
      </c>
      <c r="N94" t="inlineStr">
        <is>
          <t>6th ed.</t>
        </is>
      </c>
      <c r="O94" t="inlineStr">
        <is>
          <t>eng</t>
        </is>
      </c>
      <c r="P94" t="inlineStr">
        <is>
          <t>dcu</t>
        </is>
      </c>
      <c r="R94" t="inlineStr">
        <is>
          <t xml:space="preserve">HM </t>
        </is>
      </c>
      <c r="S94" t="n">
        <v>1</v>
      </c>
      <c r="T94" t="n">
        <v>1</v>
      </c>
      <c r="U94" t="inlineStr">
        <is>
          <t>2005-11-08</t>
        </is>
      </c>
      <c r="V94" t="inlineStr">
        <is>
          <t>2005-11-08</t>
        </is>
      </c>
      <c r="W94" t="inlineStr">
        <is>
          <t>2005-11-08</t>
        </is>
      </c>
      <c r="X94" t="inlineStr">
        <is>
          <t>2005-11-08</t>
        </is>
      </c>
      <c r="Y94" t="n">
        <v>216</v>
      </c>
      <c r="Z94" t="n">
        <v>192</v>
      </c>
      <c r="AA94" t="n">
        <v>1186</v>
      </c>
      <c r="AB94" t="n">
        <v>2</v>
      </c>
      <c r="AC94" t="n">
        <v>8</v>
      </c>
      <c r="AD94" t="n">
        <v>4</v>
      </c>
      <c r="AE94" t="n">
        <v>44</v>
      </c>
      <c r="AF94" t="n">
        <v>1</v>
      </c>
      <c r="AG94" t="n">
        <v>17</v>
      </c>
      <c r="AH94" t="n">
        <v>1</v>
      </c>
      <c r="AI94" t="n">
        <v>10</v>
      </c>
      <c r="AJ94" t="n">
        <v>3</v>
      </c>
      <c r="AK94" t="n">
        <v>17</v>
      </c>
      <c r="AL94" t="n">
        <v>1</v>
      </c>
      <c r="AM94" t="n">
        <v>7</v>
      </c>
      <c r="AN94" t="n">
        <v>0</v>
      </c>
      <c r="AO94" t="n">
        <v>3</v>
      </c>
      <c r="AP94" t="inlineStr">
        <is>
          <t>No</t>
        </is>
      </c>
      <c r="AQ94" t="inlineStr">
        <is>
          <t>No</t>
        </is>
      </c>
      <c r="AS94">
        <f>HYPERLINK("https://creighton-primo.hosted.exlibrisgroup.com/primo-explore/search?tab=default_tab&amp;search_scope=EVERYTHING&amp;vid=01CRU&amp;lang=en_US&amp;offset=0&amp;query=any,contains,991004675709702656","Catalog Record")</f>
        <v/>
      </c>
      <c r="AT94">
        <f>HYPERLINK("http://www.worldcat.org/oclc/53846461","WorldCat Record")</f>
        <v/>
      </c>
      <c r="AU94" t="inlineStr">
        <is>
          <t>780216:eng</t>
        </is>
      </c>
      <c r="AV94" t="inlineStr">
        <is>
          <t>53846461</t>
        </is>
      </c>
      <c r="AW94" t="inlineStr">
        <is>
          <t>991004675709702656</t>
        </is>
      </c>
      <c r="AX94" t="inlineStr">
        <is>
          <t>991004675709702656</t>
        </is>
      </c>
      <c r="AY94" t="inlineStr">
        <is>
          <t>2258091400002656</t>
        </is>
      </c>
      <c r="AZ94" t="inlineStr">
        <is>
          <t>BOOK</t>
        </is>
      </c>
      <c r="BB94" t="inlineStr">
        <is>
          <t>9781568028330</t>
        </is>
      </c>
      <c r="BC94" t="inlineStr">
        <is>
          <t>32285005145619</t>
        </is>
      </c>
      <c r="BD94" t="inlineStr">
        <is>
          <t>893788990</t>
        </is>
      </c>
    </row>
    <row r="95">
      <c r="A95" t="inlineStr">
        <is>
          <t>No</t>
        </is>
      </c>
      <c r="B95" t="inlineStr">
        <is>
          <t>HM1236 .K38 2006</t>
        </is>
      </c>
      <c r="C95" t="inlineStr">
        <is>
          <t>0                      HM 1236000K  38          2006</t>
        </is>
      </c>
      <c r="D95" t="inlineStr">
        <is>
          <t>Personal influence : the part played by people in the flow of mass communications / Elihu Katz &amp; Paul F. Lazarsfeld ; with a new introduction by Elihu Katz and a foreword by Elmo Roper.</t>
        </is>
      </c>
      <c r="F95" t="inlineStr">
        <is>
          <t>No</t>
        </is>
      </c>
      <c r="G95" t="inlineStr">
        <is>
          <t>1</t>
        </is>
      </c>
      <c r="H95" t="inlineStr">
        <is>
          <t>No</t>
        </is>
      </c>
      <c r="I95" t="inlineStr">
        <is>
          <t>No</t>
        </is>
      </c>
      <c r="J95" t="inlineStr">
        <is>
          <t>0</t>
        </is>
      </c>
      <c r="K95" t="inlineStr">
        <is>
          <t>Katz, Elihu, 1926-</t>
        </is>
      </c>
      <c r="L95" t="inlineStr">
        <is>
          <t>New Brunswick, N.J. : Transaction Publishers, c2006.</t>
        </is>
      </c>
      <c r="M95" t="inlineStr">
        <is>
          <t>2006</t>
        </is>
      </c>
      <c r="N95" t="inlineStr">
        <is>
          <t>2nd ed.</t>
        </is>
      </c>
      <c r="O95" t="inlineStr">
        <is>
          <t>eng</t>
        </is>
      </c>
      <c r="P95" t="inlineStr">
        <is>
          <t xml:space="preserve">aa </t>
        </is>
      </c>
      <c r="R95" t="inlineStr">
        <is>
          <t xml:space="preserve">HM </t>
        </is>
      </c>
      <c r="S95" t="n">
        <v>2</v>
      </c>
      <c r="T95" t="n">
        <v>2</v>
      </c>
      <c r="U95" t="inlineStr">
        <is>
          <t>2007-02-12</t>
        </is>
      </c>
      <c r="V95" t="inlineStr">
        <is>
          <t>2007-02-12</t>
        </is>
      </c>
      <c r="W95" t="inlineStr">
        <is>
          <t>2007-01-10</t>
        </is>
      </c>
      <c r="X95" t="inlineStr">
        <is>
          <t>2007-01-10</t>
        </is>
      </c>
      <c r="Y95" t="n">
        <v>149</v>
      </c>
      <c r="Z95" t="n">
        <v>108</v>
      </c>
      <c r="AA95" t="n">
        <v>110</v>
      </c>
      <c r="AB95" t="n">
        <v>2</v>
      </c>
      <c r="AC95" t="n">
        <v>2</v>
      </c>
      <c r="AD95" t="n">
        <v>3</v>
      </c>
      <c r="AE95" t="n">
        <v>3</v>
      </c>
      <c r="AF95" t="n">
        <v>1</v>
      </c>
      <c r="AG95" t="n">
        <v>1</v>
      </c>
      <c r="AH95" t="n">
        <v>1</v>
      </c>
      <c r="AI95" t="n">
        <v>1</v>
      </c>
      <c r="AJ95" t="n">
        <v>2</v>
      </c>
      <c r="AK95" t="n">
        <v>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HYPERLINK("https://creighton-primo.hosted.exlibrisgroup.com/primo-explore/search?tab=default_tab&amp;search_scope=EVERYTHING&amp;vid=01CRU&amp;lang=en_US&amp;offset=0&amp;query=any,contains,991004995429702656","Catalog Record")</f>
        <v/>
      </c>
      <c r="AT95">
        <f>HYPERLINK("http://www.worldcat.org/oclc/60245406","WorldCat Record")</f>
        <v/>
      </c>
      <c r="AU95" t="inlineStr">
        <is>
          <t>4535556375:eng</t>
        </is>
      </c>
      <c r="AV95" t="inlineStr">
        <is>
          <t>60245406</t>
        </is>
      </c>
      <c r="AW95" t="inlineStr">
        <is>
          <t>991004995429702656</t>
        </is>
      </c>
      <c r="AX95" t="inlineStr">
        <is>
          <t>991004995429702656</t>
        </is>
      </c>
      <c r="AY95" t="inlineStr">
        <is>
          <t>2268989560002656</t>
        </is>
      </c>
      <c r="AZ95" t="inlineStr">
        <is>
          <t>BOOK</t>
        </is>
      </c>
      <c r="BB95" t="inlineStr">
        <is>
          <t>9781412805070</t>
        </is>
      </c>
      <c r="BC95" t="inlineStr">
        <is>
          <t>32285005269336</t>
        </is>
      </c>
      <c r="BD95" t="inlineStr">
        <is>
          <t>893625321</t>
        </is>
      </c>
    </row>
    <row r="96">
      <c r="A96" t="inlineStr">
        <is>
          <t>No</t>
        </is>
      </c>
      <c r="B96" t="inlineStr">
        <is>
          <t>HM1236 .L48 2001</t>
        </is>
      </c>
      <c r="C96" t="inlineStr">
        <is>
          <t>0                      HM 1236000L  48          2001</t>
        </is>
      </c>
      <c r="D96" t="inlineStr">
        <is>
          <t>Constructing public opinion : how political elites do what they like and why we seem to go along with it / Justin Lewis.</t>
        </is>
      </c>
      <c r="F96" t="inlineStr">
        <is>
          <t>No</t>
        </is>
      </c>
      <c r="G96" t="inlineStr">
        <is>
          <t>1</t>
        </is>
      </c>
      <c r="H96" t="inlineStr">
        <is>
          <t>No</t>
        </is>
      </c>
      <c r="I96" t="inlineStr">
        <is>
          <t>No</t>
        </is>
      </c>
      <c r="J96" t="inlineStr">
        <is>
          <t>0</t>
        </is>
      </c>
      <c r="K96" t="inlineStr">
        <is>
          <t>Lewis, Justin, 1958-</t>
        </is>
      </c>
      <c r="L96" t="inlineStr">
        <is>
          <t>New York : Columbia University Press, c2001.</t>
        </is>
      </c>
      <c r="M96" t="inlineStr">
        <is>
          <t>2001</t>
        </is>
      </c>
      <c r="O96" t="inlineStr">
        <is>
          <t>eng</t>
        </is>
      </c>
      <c r="P96" t="inlineStr">
        <is>
          <t>nyu</t>
        </is>
      </c>
      <c r="R96" t="inlineStr">
        <is>
          <t xml:space="preserve">HM </t>
        </is>
      </c>
      <c r="S96" t="n">
        <v>7</v>
      </c>
      <c r="T96" t="n">
        <v>7</v>
      </c>
      <c r="U96" t="inlineStr">
        <is>
          <t>2006-03-10</t>
        </is>
      </c>
      <c r="V96" t="inlineStr">
        <is>
          <t>2006-03-10</t>
        </is>
      </c>
      <c r="W96" t="inlineStr">
        <is>
          <t>2001-04-23</t>
        </is>
      </c>
      <c r="X96" t="inlineStr">
        <is>
          <t>2001-04-23</t>
        </is>
      </c>
      <c r="Y96" t="n">
        <v>772</v>
      </c>
      <c r="Z96" t="n">
        <v>659</v>
      </c>
      <c r="AA96" t="n">
        <v>1032</v>
      </c>
      <c r="AB96" t="n">
        <v>5</v>
      </c>
      <c r="AC96" t="n">
        <v>29</v>
      </c>
      <c r="AD96" t="n">
        <v>36</v>
      </c>
      <c r="AE96" t="n">
        <v>48</v>
      </c>
      <c r="AF96" t="n">
        <v>16</v>
      </c>
      <c r="AG96" t="n">
        <v>17</v>
      </c>
      <c r="AH96" t="n">
        <v>10</v>
      </c>
      <c r="AI96" t="n">
        <v>10</v>
      </c>
      <c r="AJ96" t="n">
        <v>15</v>
      </c>
      <c r="AK96" t="n">
        <v>16</v>
      </c>
      <c r="AL96" t="n">
        <v>4</v>
      </c>
      <c r="AM96" t="n">
        <v>14</v>
      </c>
      <c r="AN96" t="n">
        <v>0</v>
      </c>
      <c r="AO96" t="n">
        <v>0</v>
      </c>
      <c r="AP96" t="inlineStr">
        <is>
          <t>No</t>
        </is>
      </c>
      <c r="AQ96" t="inlineStr">
        <is>
          <t>No</t>
        </is>
      </c>
      <c r="AS96">
        <f>HYPERLINK("https://creighton-primo.hosted.exlibrisgroup.com/primo-explore/search?tab=default_tab&amp;search_scope=EVERYTHING&amp;vid=01CRU&amp;lang=en_US&amp;offset=0&amp;query=any,contains,991003529079702656","Catalog Record")</f>
        <v/>
      </c>
      <c r="AT96">
        <f>HYPERLINK("http://www.worldcat.org/oclc/45087141","WorldCat Record")</f>
        <v/>
      </c>
      <c r="AU96" t="inlineStr">
        <is>
          <t>800301720:eng</t>
        </is>
      </c>
      <c r="AV96" t="inlineStr">
        <is>
          <t>45087141</t>
        </is>
      </c>
      <c r="AW96" t="inlineStr">
        <is>
          <t>991003529079702656</t>
        </is>
      </c>
      <c r="AX96" t="inlineStr">
        <is>
          <t>991003529079702656</t>
        </is>
      </c>
      <c r="AY96" t="inlineStr">
        <is>
          <t>2266600110002656</t>
        </is>
      </c>
      <c r="AZ96" t="inlineStr">
        <is>
          <t>BOOK</t>
        </is>
      </c>
      <c r="BB96" t="inlineStr">
        <is>
          <t>9780231117661</t>
        </is>
      </c>
      <c r="BC96" t="inlineStr">
        <is>
          <t>32285004314257</t>
        </is>
      </c>
      <c r="BD96" t="inlineStr">
        <is>
          <t>893246446</t>
        </is>
      </c>
    </row>
    <row r="97">
      <c r="A97" t="inlineStr">
        <is>
          <t>No</t>
        </is>
      </c>
      <c r="B97" t="inlineStr">
        <is>
          <t>HM1236 .W37 2001</t>
        </is>
      </c>
      <c r="C97" t="inlineStr">
        <is>
          <t>0                      HM 1236000W  37          2001</t>
        </is>
      </c>
      <c r="D97" t="inlineStr">
        <is>
          <t>In defense of public opinion polling / Kenneth F. Warren.</t>
        </is>
      </c>
      <c r="F97" t="inlineStr">
        <is>
          <t>No</t>
        </is>
      </c>
      <c r="G97" t="inlineStr">
        <is>
          <t>1</t>
        </is>
      </c>
      <c r="H97" t="inlineStr">
        <is>
          <t>No</t>
        </is>
      </c>
      <c r="I97" t="inlineStr">
        <is>
          <t>No</t>
        </is>
      </c>
      <c r="J97" t="inlineStr">
        <is>
          <t>0</t>
        </is>
      </c>
      <c r="K97" t="inlineStr">
        <is>
          <t>Warren, Kenneth F., 1943-</t>
        </is>
      </c>
      <c r="L97" t="inlineStr">
        <is>
          <t>Boulder, Colo. : Westview Press, 2001.</t>
        </is>
      </c>
      <c r="M97" t="inlineStr">
        <is>
          <t>2001</t>
        </is>
      </c>
      <c r="O97" t="inlineStr">
        <is>
          <t>eng</t>
        </is>
      </c>
      <c r="P97" t="inlineStr">
        <is>
          <t>cou</t>
        </is>
      </c>
      <c r="R97" t="inlineStr">
        <is>
          <t xml:space="preserve">HM </t>
        </is>
      </c>
      <c r="S97" t="n">
        <v>2</v>
      </c>
      <c r="T97" t="n">
        <v>2</v>
      </c>
      <c r="U97" t="inlineStr">
        <is>
          <t>2001-08-08</t>
        </is>
      </c>
      <c r="V97" t="inlineStr">
        <is>
          <t>2001-08-08</t>
        </is>
      </c>
      <c r="W97" t="inlineStr">
        <is>
          <t>2001-08-07</t>
        </is>
      </c>
      <c r="X97" t="inlineStr">
        <is>
          <t>2001-08-07</t>
        </is>
      </c>
      <c r="Y97" t="n">
        <v>464</v>
      </c>
      <c r="Z97" t="n">
        <v>424</v>
      </c>
      <c r="AA97" t="n">
        <v>473</v>
      </c>
      <c r="AB97" t="n">
        <v>3</v>
      </c>
      <c r="AC97" t="n">
        <v>3</v>
      </c>
      <c r="AD97" t="n">
        <v>16</v>
      </c>
      <c r="AE97" t="n">
        <v>18</v>
      </c>
      <c r="AF97" t="n">
        <v>5</v>
      </c>
      <c r="AG97" t="n">
        <v>7</v>
      </c>
      <c r="AH97" t="n">
        <v>5</v>
      </c>
      <c r="AI97" t="n">
        <v>5</v>
      </c>
      <c r="AJ97" t="n">
        <v>9</v>
      </c>
      <c r="AK97" t="n">
        <v>11</v>
      </c>
      <c r="AL97" t="n">
        <v>2</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HYPERLINK("https://creighton-primo.hosted.exlibrisgroup.com/primo-explore/search?tab=default_tab&amp;search_scope=EVERYTHING&amp;vid=01CRU&amp;lang=en_US&amp;offset=0&amp;query=any,contains,991003584629702656","Catalog Record")</f>
        <v/>
      </c>
      <c r="AT97">
        <f>HYPERLINK("http://www.worldcat.org/oclc/46240255","WorldCat Record")</f>
        <v/>
      </c>
      <c r="AU97" t="inlineStr">
        <is>
          <t>7888811:eng</t>
        </is>
      </c>
      <c r="AV97" t="inlineStr">
        <is>
          <t>46240255</t>
        </is>
      </c>
      <c r="AW97" t="inlineStr">
        <is>
          <t>991003584629702656</t>
        </is>
      </c>
      <c r="AX97" t="inlineStr">
        <is>
          <t>991003584629702656</t>
        </is>
      </c>
      <c r="AY97" t="inlineStr">
        <is>
          <t>2265501910002656</t>
        </is>
      </c>
      <c r="AZ97" t="inlineStr">
        <is>
          <t>BOOK</t>
        </is>
      </c>
      <c r="BB97" t="inlineStr">
        <is>
          <t>9780813397931</t>
        </is>
      </c>
      <c r="BC97" t="inlineStr">
        <is>
          <t>32285004376314</t>
        </is>
      </c>
      <c r="BD97" t="inlineStr">
        <is>
          <t>893810056</t>
        </is>
      </c>
    </row>
    <row r="98">
      <c r="A98" t="inlineStr">
        <is>
          <t>No</t>
        </is>
      </c>
      <c r="B98" t="inlineStr">
        <is>
          <t>HM1241 .D54 2007</t>
        </is>
      </c>
      <c r="C98" t="inlineStr">
        <is>
          <t>0                      HM 1241000D  54          2007</t>
        </is>
      </c>
      <c r="D98" t="inlineStr">
        <is>
          <t>Rumor psychology : social and organizational approaches / Nicholas DiFonzo and Prashant Bordia.</t>
        </is>
      </c>
      <c r="F98" t="inlineStr">
        <is>
          <t>No</t>
        </is>
      </c>
      <c r="G98" t="inlineStr">
        <is>
          <t>1</t>
        </is>
      </c>
      <c r="H98" t="inlineStr">
        <is>
          <t>No</t>
        </is>
      </c>
      <c r="I98" t="inlineStr">
        <is>
          <t>No</t>
        </is>
      </c>
      <c r="J98" t="inlineStr">
        <is>
          <t>0</t>
        </is>
      </c>
      <c r="K98" t="inlineStr">
        <is>
          <t>DiFonzo, Nicholas.</t>
        </is>
      </c>
      <c r="L98" t="inlineStr">
        <is>
          <t>Washington, DC : American Psychological Association, c2007.</t>
        </is>
      </c>
      <c r="M98" t="inlineStr">
        <is>
          <t>2007</t>
        </is>
      </c>
      <c r="N98" t="inlineStr">
        <is>
          <t>1st ed.</t>
        </is>
      </c>
      <c r="O98" t="inlineStr">
        <is>
          <t>eng</t>
        </is>
      </c>
      <c r="P98" t="inlineStr">
        <is>
          <t>dcu</t>
        </is>
      </c>
      <c r="R98" t="inlineStr">
        <is>
          <t xml:space="preserve">HM </t>
        </is>
      </c>
      <c r="S98" t="n">
        <v>3</v>
      </c>
      <c r="T98" t="n">
        <v>3</v>
      </c>
      <c r="U98" t="inlineStr">
        <is>
          <t>2007-09-21</t>
        </is>
      </c>
      <c r="V98" t="inlineStr">
        <is>
          <t>2007-09-21</t>
        </is>
      </c>
      <c r="W98" t="inlineStr">
        <is>
          <t>2007-02-06</t>
        </is>
      </c>
      <c r="X98" t="inlineStr">
        <is>
          <t>2007-02-06</t>
        </is>
      </c>
      <c r="Y98" t="n">
        <v>586</v>
      </c>
      <c r="Z98" t="n">
        <v>488</v>
      </c>
      <c r="AA98" t="n">
        <v>563</v>
      </c>
      <c r="AB98" t="n">
        <v>5</v>
      </c>
      <c r="AC98" t="n">
        <v>5</v>
      </c>
      <c r="AD98" t="n">
        <v>26</v>
      </c>
      <c r="AE98" t="n">
        <v>30</v>
      </c>
      <c r="AF98" t="n">
        <v>9</v>
      </c>
      <c r="AG98" t="n">
        <v>11</v>
      </c>
      <c r="AH98" t="n">
        <v>5</v>
      </c>
      <c r="AI98" t="n">
        <v>5</v>
      </c>
      <c r="AJ98" t="n">
        <v>13</v>
      </c>
      <c r="AK98" t="n">
        <v>15</v>
      </c>
      <c r="AL98" t="n">
        <v>4</v>
      </c>
      <c r="AM98" t="n">
        <v>4</v>
      </c>
      <c r="AN98" t="n">
        <v>0</v>
      </c>
      <c r="AO98" t="n">
        <v>0</v>
      </c>
      <c r="AP98" t="inlineStr">
        <is>
          <t>No</t>
        </is>
      </c>
      <c r="AQ98" t="inlineStr">
        <is>
          <t>Yes</t>
        </is>
      </c>
      <c r="AR98">
        <f>HYPERLINK("http://catalog.hathitrust.org/Record/005389033","HathiTrust Record")</f>
        <v/>
      </c>
      <c r="AS98">
        <f>HYPERLINK("https://creighton-primo.hosted.exlibrisgroup.com/primo-explore/search?tab=default_tab&amp;search_scope=EVERYTHING&amp;vid=01CRU&amp;lang=en_US&amp;offset=0&amp;query=any,contains,991005018869702656","Catalog Record")</f>
        <v/>
      </c>
      <c r="AT98">
        <f>HYPERLINK("http://www.worldcat.org/oclc/65187340","WorldCat Record")</f>
        <v/>
      </c>
      <c r="AU98" t="inlineStr">
        <is>
          <t>323520930:eng</t>
        </is>
      </c>
      <c r="AV98" t="inlineStr">
        <is>
          <t>65187340</t>
        </is>
      </c>
      <c r="AW98" t="inlineStr">
        <is>
          <t>991005018869702656</t>
        </is>
      </c>
      <c r="AX98" t="inlineStr">
        <is>
          <t>991005018869702656</t>
        </is>
      </c>
      <c r="AY98" t="inlineStr">
        <is>
          <t>2261765270002656</t>
        </is>
      </c>
      <c r="AZ98" t="inlineStr">
        <is>
          <t>BOOK</t>
        </is>
      </c>
      <c r="BB98" t="inlineStr">
        <is>
          <t>9781591474265</t>
        </is>
      </c>
      <c r="BC98" t="inlineStr">
        <is>
          <t>32285005275127</t>
        </is>
      </c>
      <c r="BD98" t="inlineStr">
        <is>
          <t>893513911</t>
        </is>
      </c>
    </row>
    <row r="99">
      <c r="A99" t="inlineStr">
        <is>
          <t>No</t>
        </is>
      </c>
      <c r="B99" t="inlineStr">
        <is>
          <t>HM1256 .C83 2005</t>
        </is>
      </c>
      <c r="C99" t="inlineStr">
        <is>
          <t>0                      HM 1256000C  83          2005</t>
        </is>
      </c>
      <c r="D99" t="inlineStr">
        <is>
          <t>Analyzing oppression / Ann E. Cudd.</t>
        </is>
      </c>
      <c r="F99" t="inlineStr">
        <is>
          <t>No</t>
        </is>
      </c>
      <c r="G99" t="inlineStr">
        <is>
          <t>1</t>
        </is>
      </c>
      <c r="H99" t="inlineStr">
        <is>
          <t>No</t>
        </is>
      </c>
      <c r="I99" t="inlineStr">
        <is>
          <t>No</t>
        </is>
      </c>
      <c r="J99" t="inlineStr">
        <is>
          <t>0</t>
        </is>
      </c>
      <c r="K99" t="inlineStr">
        <is>
          <t>Cudd, Ann E., 1959-</t>
        </is>
      </c>
      <c r="L99" t="inlineStr">
        <is>
          <t>New York : Oxford University Press, 2006.</t>
        </is>
      </c>
      <c r="M99" t="inlineStr">
        <is>
          <t>2006</t>
        </is>
      </c>
      <c r="O99" t="inlineStr">
        <is>
          <t>eng</t>
        </is>
      </c>
      <c r="P99" t="inlineStr">
        <is>
          <t>nyu</t>
        </is>
      </c>
      <c r="Q99" t="inlineStr">
        <is>
          <t>Studies in feminist philosophy</t>
        </is>
      </c>
      <c r="R99" t="inlineStr">
        <is>
          <t xml:space="preserve">HM </t>
        </is>
      </c>
      <c r="S99" t="n">
        <v>1</v>
      </c>
      <c r="T99" t="n">
        <v>1</v>
      </c>
      <c r="U99" t="inlineStr">
        <is>
          <t>2006-12-12</t>
        </is>
      </c>
      <c r="V99" t="inlineStr">
        <is>
          <t>2006-12-12</t>
        </is>
      </c>
      <c r="W99" t="inlineStr">
        <is>
          <t>2006-12-12</t>
        </is>
      </c>
      <c r="X99" t="inlineStr">
        <is>
          <t>2006-12-12</t>
        </is>
      </c>
      <c r="Y99" t="n">
        <v>593</v>
      </c>
      <c r="Z99" t="n">
        <v>495</v>
      </c>
      <c r="AA99" t="n">
        <v>592</v>
      </c>
      <c r="AB99" t="n">
        <v>4</v>
      </c>
      <c r="AC99" t="n">
        <v>5</v>
      </c>
      <c r="AD99" t="n">
        <v>24</v>
      </c>
      <c r="AE99" t="n">
        <v>28</v>
      </c>
      <c r="AF99" t="n">
        <v>12</v>
      </c>
      <c r="AG99" t="n">
        <v>12</v>
      </c>
      <c r="AH99" t="n">
        <v>6</v>
      </c>
      <c r="AI99" t="n">
        <v>9</v>
      </c>
      <c r="AJ99" t="n">
        <v>10</v>
      </c>
      <c r="AK99" t="n">
        <v>11</v>
      </c>
      <c r="AL99" t="n">
        <v>3</v>
      </c>
      <c r="AM99" t="n">
        <v>4</v>
      </c>
      <c r="AN99" t="n">
        <v>0</v>
      </c>
      <c r="AO99" t="n">
        <v>0</v>
      </c>
      <c r="AP99" t="inlineStr">
        <is>
          <t>No</t>
        </is>
      </c>
      <c r="AQ99" t="inlineStr">
        <is>
          <t>No</t>
        </is>
      </c>
      <c r="AS99">
        <f>HYPERLINK("https://creighton-primo.hosted.exlibrisgroup.com/primo-explore/search?tab=default_tab&amp;search_scope=EVERYTHING&amp;vid=01CRU&amp;lang=en_US&amp;offset=0&amp;query=any,contains,991004967919702656","Catalog Record")</f>
        <v/>
      </c>
      <c r="AT99">
        <f>HYPERLINK("http://www.worldcat.org/oclc/60590170","WorldCat Record")</f>
        <v/>
      </c>
      <c r="AU99" t="inlineStr">
        <is>
          <t>187752:eng</t>
        </is>
      </c>
      <c r="AV99" t="inlineStr">
        <is>
          <t>60590170</t>
        </is>
      </c>
      <c r="AW99" t="inlineStr">
        <is>
          <t>991004967919702656</t>
        </is>
      </c>
      <c r="AX99" t="inlineStr">
        <is>
          <t>991004967919702656</t>
        </is>
      </c>
      <c r="AY99" t="inlineStr">
        <is>
          <t>2272358500002656</t>
        </is>
      </c>
      <c r="AZ99" t="inlineStr">
        <is>
          <t>BOOK</t>
        </is>
      </c>
      <c r="BB99" t="inlineStr">
        <is>
          <t>9780195187434</t>
        </is>
      </c>
      <c r="BC99" t="inlineStr">
        <is>
          <t>32285005266290</t>
        </is>
      </c>
      <c r="BD99" t="inlineStr">
        <is>
          <t>893801544</t>
        </is>
      </c>
    </row>
    <row r="100">
      <c r="A100" t="inlineStr">
        <is>
          <t>No</t>
        </is>
      </c>
      <c r="B100" t="inlineStr">
        <is>
          <t>HM126 .H43 1987</t>
        </is>
      </c>
      <c r="C100" t="inlineStr">
        <is>
          <t>0                      HM 0126000H  43          1987</t>
        </is>
      </c>
      <c r="D100" t="inlineStr">
        <is>
          <t>Principles of group solidarity / Michael Hechter.</t>
        </is>
      </c>
      <c r="F100" t="inlineStr">
        <is>
          <t>No</t>
        </is>
      </c>
      <c r="G100" t="inlineStr">
        <is>
          <t>1</t>
        </is>
      </c>
      <c r="H100" t="inlineStr">
        <is>
          <t>No</t>
        </is>
      </c>
      <c r="I100" t="inlineStr">
        <is>
          <t>No</t>
        </is>
      </c>
      <c r="J100" t="inlineStr">
        <is>
          <t>0</t>
        </is>
      </c>
      <c r="K100" t="inlineStr">
        <is>
          <t>Hechter, Michael.</t>
        </is>
      </c>
      <c r="L100" t="inlineStr">
        <is>
          <t>Berkeley : University of California Press, c1987.</t>
        </is>
      </c>
      <c r="M100" t="inlineStr">
        <is>
          <t>1987</t>
        </is>
      </c>
      <c r="O100" t="inlineStr">
        <is>
          <t>eng</t>
        </is>
      </c>
      <c r="P100" t="inlineStr">
        <is>
          <t>cau</t>
        </is>
      </c>
      <c r="Q100" t="inlineStr">
        <is>
          <t>California series on social choice and political economy</t>
        </is>
      </c>
      <c r="R100" t="inlineStr">
        <is>
          <t xml:space="preserve">HM </t>
        </is>
      </c>
      <c r="S100" t="n">
        <v>7</v>
      </c>
      <c r="T100" t="n">
        <v>7</v>
      </c>
      <c r="U100" t="inlineStr">
        <is>
          <t>2010-08-10</t>
        </is>
      </c>
      <c r="V100" t="inlineStr">
        <is>
          <t>2010-08-10</t>
        </is>
      </c>
      <c r="W100" t="inlineStr">
        <is>
          <t>1992-04-28</t>
        </is>
      </c>
      <c r="X100" t="inlineStr">
        <is>
          <t>1992-04-28</t>
        </is>
      </c>
      <c r="Y100" t="n">
        <v>559</v>
      </c>
      <c r="Z100" t="n">
        <v>425</v>
      </c>
      <c r="AA100" t="n">
        <v>919</v>
      </c>
      <c r="AB100" t="n">
        <v>5</v>
      </c>
      <c r="AC100" t="n">
        <v>11</v>
      </c>
      <c r="AD100" t="n">
        <v>24</v>
      </c>
      <c r="AE100" t="n">
        <v>46</v>
      </c>
      <c r="AF100" t="n">
        <v>8</v>
      </c>
      <c r="AG100" t="n">
        <v>18</v>
      </c>
      <c r="AH100" t="n">
        <v>5</v>
      </c>
      <c r="AI100" t="n">
        <v>10</v>
      </c>
      <c r="AJ100" t="n">
        <v>13</v>
      </c>
      <c r="AK100" t="n">
        <v>19</v>
      </c>
      <c r="AL100" t="n">
        <v>4</v>
      </c>
      <c r="AM100" t="n">
        <v>9</v>
      </c>
      <c r="AN100" t="n">
        <v>0</v>
      </c>
      <c r="AO100" t="n">
        <v>1</v>
      </c>
      <c r="AP100" t="inlineStr">
        <is>
          <t>No</t>
        </is>
      </c>
      <c r="AQ100" t="inlineStr">
        <is>
          <t>No</t>
        </is>
      </c>
      <c r="AS100">
        <f>HYPERLINK("https://creighton-primo.hosted.exlibrisgroup.com/primo-explore/search?tab=default_tab&amp;search_scope=EVERYTHING&amp;vid=01CRU&amp;lang=en_US&amp;offset=0&amp;query=any,contains,991001005069702656","Catalog Record")</f>
        <v/>
      </c>
      <c r="AT100">
        <f>HYPERLINK("http://www.worldcat.org/oclc/15224503","WorldCat Record")</f>
        <v/>
      </c>
      <c r="AU100" t="inlineStr">
        <is>
          <t>2660421:eng</t>
        </is>
      </c>
      <c r="AV100" t="inlineStr">
        <is>
          <t>15224503</t>
        </is>
      </c>
      <c r="AW100" t="inlineStr">
        <is>
          <t>991001005069702656</t>
        </is>
      </c>
      <c r="AX100" t="inlineStr">
        <is>
          <t>991001005069702656</t>
        </is>
      </c>
      <c r="AY100" t="inlineStr">
        <is>
          <t>2268111790002656</t>
        </is>
      </c>
      <c r="AZ100" t="inlineStr">
        <is>
          <t>BOOK</t>
        </is>
      </c>
      <c r="BB100" t="inlineStr">
        <is>
          <t>9780520061026</t>
        </is>
      </c>
      <c r="BC100" t="inlineStr">
        <is>
          <t>32285001090082</t>
        </is>
      </c>
      <c r="BD100" t="inlineStr">
        <is>
          <t>893715087</t>
        </is>
      </c>
    </row>
    <row r="101">
      <c r="A101" t="inlineStr">
        <is>
          <t>No</t>
        </is>
      </c>
      <c r="B101" t="inlineStr">
        <is>
          <t>HM1261 .B69 2005</t>
        </is>
      </c>
      <c r="C101" t="inlineStr">
        <is>
          <t>0                      HM 1261000B  69          2005</t>
        </is>
      </c>
      <c r="D101" t="inlineStr">
        <is>
          <t>Resonant leadership : renewing yourself and connecting with others through mindfulness, hope, and compassion / Richard Boyatzis, Annie McKee.</t>
        </is>
      </c>
      <c r="F101" t="inlineStr">
        <is>
          <t>No</t>
        </is>
      </c>
      <c r="G101" t="inlineStr">
        <is>
          <t>1</t>
        </is>
      </c>
      <c r="H101" t="inlineStr">
        <is>
          <t>No</t>
        </is>
      </c>
      <c r="I101" t="inlineStr">
        <is>
          <t>No</t>
        </is>
      </c>
      <c r="J101" t="inlineStr">
        <is>
          <t>0</t>
        </is>
      </c>
      <c r="K101" t="inlineStr">
        <is>
          <t>Boyatzis, Richard E.</t>
        </is>
      </c>
      <c r="L101" t="inlineStr">
        <is>
          <t>Boston : Harvard Business School Press, c2005.</t>
        </is>
      </c>
      <c r="M101" t="inlineStr">
        <is>
          <t>2005</t>
        </is>
      </c>
      <c r="O101" t="inlineStr">
        <is>
          <t>eng</t>
        </is>
      </c>
      <c r="P101" t="inlineStr">
        <is>
          <t>mau</t>
        </is>
      </c>
      <c r="R101" t="inlineStr">
        <is>
          <t xml:space="preserve">HM </t>
        </is>
      </c>
      <c r="S101" t="n">
        <v>4</v>
      </c>
      <c r="T101" t="n">
        <v>4</v>
      </c>
      <c r="U101" t="inlineStr">
        <is>
          <t>2010-10-28</t>
        </is>
      </c>
      <c r="V101" t="inlineStr">
        <is>
          <t>2010-10-28</t>
        </is>
      </c>
      <c r="W101" t="inlineStr">
        <is>
          <t>2005-10-26</t>
        </is>
      </c>
      <c r="X101" t="inlineStr">
        <is>
          <t>2005-10-26</t>
        </is>
      </c>
      <c r="Y101" t="n">
        <v>959</v>
      </c>
      <c r="Z101" t="n">
        <v>772</v>
      </c>
      <c r="AA101" t="n">
        <v>829</v>
      </c>
      <c r="AB101" t="n">
        <v>6</v>
      </c>
      <c r="AC101" t="n">
        <v>7</v>
      </c>
      <c r="AD101" t="n">
        <v>31</v>
      </c>
      <c r="AE101" t="n">
        <v>33</v>
      </c>
      <c r="AF101" t="n">
        <v>13</v>
      </c>
      <c r="AG101" t="n">
        <v>14</v>
      </c>
      <c r="AH101" t="n">
        <v>7</v>
      </c>
      <c r="AI101" t="n">
        <v>8</v>
      </c>
      <c r="AJ101" t="n">
        <v>13</v>
      </c>
      <c r="AK101" t="n">
        <v>13</v>
      </c>
      <c r="AL101" t="n">
        <v>3</v>
      </c>
      <c r="AM101" t="n">
        <v>4</v>
      </c>
      <c r="AN101" t="n">
        <v>1</v>
      </c>
      <c r="AO101" t="n">
        <v>1</v>
      </c>
      <c r="AP101" t="inlineStr">
        <is>
          <t>No</t>
        </is>
      </c>
      <c r="AQ101" t="inlineStr">
        <is>
          <t>No</t>
        </is>
      </c>
      <c r="AS101">
        <f>HYPERLINK("https://creighton-primo.hosted.exlibrisgroup.com/primo-explore/search?tab=default_tab&amp;search_scope=EVERYTHING&amp;vid=01CRU&amp;lang=en_US&amp;offset=0&amp;query=any,contains,991004655889702656","Catalog Record")</f>
        <v/>
      </c>
      <c r="AT101">
        <f>HYPERLINK("http://www.worldcat.org/oclc/58546666","WorldCat Record")</f>
        <v/>
      </c>
      <c r="AU101" t="inlineStr">
        <is>
          <t>796417079:eng</t>
        </is>
      </c>
      <c r="AV101" t="inlineStr">
        <is>
          <t>58546666</t>
        </is>
      </c>
      <c r="AW101" t="inlineStr">
        <is>
          <t>991004655889702656</t>
        </is>
      </c>
      <c r="AX101" t="inlineStr">
        <is>
          <t>991004655889702656</t>
        </is>
      </c>
      <c r="AY101" t="inlineStr">
        <is>
          <t>2257781350002656</t>
        </is>
      </c>
      <c r="AZ101" t="inlineStr">
        <is>
          <t>BOOK</t>
        </is>
      </c>
      <c r="BB101" t="inlineStr">
        <is>
          <t>9781591395638</t>
        </is>
      </c>
      <c r="BC101" t="inlineStr">
        <is>
          <t>32285005142822</t>
        </is>
      </c>
      <c r="BD101" t="inlineStr">
        <is>
          <t>893507093</t>
        </is>
      </c>
    </row>
    <row r="102">
      <c r="A102" t="inlineStr">
        <is>
          <t>No</t>
        </is>
      </c>
      <c r="B102" t="inlineStr">
        <is>
          <t>HM1261 .F67 2007</t>
        </is>
      </c>
      <c r="C102" t="inlineStr">
        <is>
          <t>0                      HM 1261000F  67          2007</t>
        </is>
      </c>
      <c r="D102" t="inlineStr">
        <is>
          <t>For the common good : the ethics of leadership in the 21st century / edited by John C. Knapp ; foreword by Jimmy Carter.</t>
        </is>
      </c>
      <c r="F102" t="inlineStr">
        <is>
          <t>No</t>
        </is>
      </c>
      <c r="G102" t="inlineStr">
        <is>
          <t>1</t>
        </is>
      </c>
      <c r="H102" t="inlineStr">
        <is>
          <t>No</t>
        </is>
      </c>
      <c r="I102" t="inlineStr">
        <is>
          <t>No</t>
        </is>
      </c>
      <c r="J102" t="inlineStr">
        <is>
          <t>0</t>
        </is>
      </c>
      <c r="L102" t="inlineStr">
        <is>
          <t>Westport, Conn. : Praeger Publishers, 2007.</t>
        </is>
      </c>
      <c r="M102" t="inlineStr">
        <is>
          <t>2007</t>
        </is>
      </c>
      <c r="O102" t="inlineStr">
        <is>
          <t>eng</t>
        </is>
      </c>
      <c r="P102" t="inlineStr">
        <is>
          <t>ctu</t>
        </is>
      </c>
      <c r="R102" t="inlineStr">
        <is>
          <t xml:space="preserve">HM </t>
        </is>
      </c>
      <c r="S102" t="n">
        <v>1</v>
      </c>
      <c r="T102" t="n">
        <v>1</v>
      </c>
      <c r="U102" t="inlineStr">
        <is>
          <t>2008-02-05</t>
        </is>
      </c>
      <c r="V102" t="inlineStr">
        <is>
          <t>2008-02-05</t>
        </is>
      </c>
      <c r="W102" t="inlineStr">
        <is>
          <t>2008-02-05</t>
        </is>
      </c>
      <c r="X102" t="inlineStr">
        <is>
          <t>2008-02-05</t>
        </is>
      </c>
      <c r="Y102" t="n">
        <v>656</v>
      </c>
      <c r="Z102" t="n">
        <v>574</v>
      </c>
      <c r="AA102" t="n">
        <v>932</v>
      </c>
      <c r="AB102" t="n">
        <v>4</v>
      </c>
      <c r="AC102" t="n">
        <v>5</v>
      </c>
      <c r="AD102" t="n">
        <v>26</v>
      </c>
      <c r="AE102" t="n">
        <v>30</v>
      </c>
      <c r="AF102" t="n">
        <v>9</v>
      </c>
      <c r="AG102" t="n">
        <v>12</v>
      </c>
      <c r="AH102" t="n">
        <v>5</v>
      </c>
      <c r="AI102" t="n">
        <v>5</v>
      </c>
      <c r="AJ102" t="n">
        <v>14</v>
      </c>
      <c r="AK102" t="n">
        <v>15</v>
      </c>
      <c r="AL102" t="n">
        <v>3</v>
      </c>
      <c r="AM102" t="n">
        <v>4</v>
      </c>
      <c r="AN102" t="n">
        <v>1</v>
      </c>
      <c r="AO102" t="n">
        <v>1</v>
      </c>
      <c r="AP102" t="inlineStr">
        <is>
          <t>No</t>
        </is>
      </c>
      <c r="AQ102" t="inlineStr">
        <is>
          <t>No</t>
        </is>
      </c>
      <c r="AS102">
        <f>HYPERLINK("https://creighton-primo.hosted.exlibrisgroup.com/primo-explore/search?tab=default_tab&amp;search_scope=EVERYTHING&amp;vid=01CRU&amp;lang=en_US&amp;offset=0&amp;query=any,contains,991005176419702656","Catalog Record")</f>
        <v/>
      </c>
      <c r="AT102">
        <f>HYPERLINK("http://www.worldcat.org/oclc/71350384","WorldCat Record")</f>
        <v/>
      </c>
      <c r="AU102" t="inlineStr">
        <is>
          <t>802081171:eng</t>
        </is>
      </c>
      <c r="AV102" t="inlineStr">
        <is>
          <t>71350384</t>
        </is>
      </c>
      <c r="AW102" t="inlineStr">
        <is>
          <t>991005176419702656</t>
        </is>
      </c>
      <c r="AX102" t="inlineStr">
        <is>
          <t>991005176419702656</t>
        </is>
      </c>
      <c r="AY102" t="inlineStr">
        <is>
          <t>2271527320002656</t>
        </is>
      </c>
      <c r="AZ102" t="inlineStr">
        <is>
          <t>BOOK</t>
        </is>
      </c>
      <c r="BB102" t="inlineStr">
        <is>
          <t>9780275992590</t>
        </is>
      </c>
      <c r="BC102" t="inlineStr">
        <is>
          <t>32285005392138</t>
        </is>
      </c>
      <c r="BD102" t="inlineStr">
        <is>
          <t>893418505</t>
        </is>
      </c>
    </row>
    <row r="103">
      <c r="A103" t="inlineStr">
        <is>
          <t>No</t>
        </is>
      </c>
      <c r="B103" t="inlineStr">
        <is>
          <t>HM1261 .L43 2000</t>
        </is>
      </c>
      <c r="C103" t="inlineStr">
        <is>
          <t>0                      HM 1261000L  43          2000</t>
        </is>
      </c>
      <c r="D103" t="inlineStr">
        <is>
          <t>Leading and leadership / edited by Timothy Fuller.</t>
        </is>
      </c>
      <c r="F103" t="inlineStr">
        <is>
          <t>No</t>
        </is>
      </c>
      <c r="G103" t="inlineStr">
        <is>
          <t>1</t>
        </is>
      </c>
      <c r="H103" t="inlineStr">
        <is>
          <t>No</t>
        </is>
      </c>
      <c r="I103" t="inlineStr">
        <is>
          <t>No</t>
        </is>
      </c>
      <c r="J103" t="inlineStr">
        <is>
          <t>0</t>
        </is>
      </c>
      <c r="L103" t="inlineStr">
        <is>
          <t>Notre Dame, Ind. : University of Notre Dame Press, 2000.</t>
        </is>
      </c>
      <c r="M103" t="inlineStr">
        <is>
          <t>2000</t>
        </is>
      </c>
      <c r="O103" t="inlineStr">
        <is>
          <t>eng</t>
        </is>
      </c>
      <c r="P103" t="inlineStr">
        <is>
          <t>inu</t>
        </is>
      </c>
      <c r="Q103" t="inlineStr">
        <is>
          <t>The ethics of everyday life</t>
        </is>
      </c>
      <c r="R103" t="inlineStr">
        <is>
          <t xml:space="preserve">HM </t>
        </is>
      </c>
      <c r="S103" t="n">
        <v>3</v>
      </c>
      <c r="T103" t="n">
        <v>3</v>
      </c>
      <c r="U103" t="inlineStr">
        <is>
          <t>2006-01-16</t>
        </is>
      </c>
      <c r="V103" t="inlineStr">
        <is>
          <t>2006-01-16</t>
        </is>
      </c>
      <c r="W103" t="inlineStr">
        <is>
          <t>2000-11-02</t>
        </is>
      </c>
      <c r="X103" t="inlineStr">
        <is>
          <t>2000-11-02</t>
        </is>
      </c>
      <c r="Y103" t="n">
        <v>347</v>
      </c>
      <c r="Z103" t="n">
        <v>283</v>
      </c>
      <c r="AA103" t="n">
        <v>290</v>
      </c>
      <c r="AB103" t="n">
        <v>1</v>
      </c>
      <c r="AC103" t="n">
        <v>1</v>
      </c>
      <c r="AD103" t="n">
        <v>16</v>
      </c>
      <c r="AE103" t="n">
        <v>16</v>
      </c>
      <c r="AF103" t="n">
        <v>5</v>
      </c>
      <c r="AG103" t="n">
        <v>5</v>
      </c>
      <c r="AH103" t="n">
        <v>6</v>
      </c>
      <c r="AI103" t="n">
        <v>6</v>
      </c>
      <c r="AJ103" t="n">
        <v>8</v>
      </c>
      <c r="AK103" t="n">
        <v>8</v>
      </c>
      <c r="AL103" t="n">
        <v>0</v>
      </c>
      <c r="AM103" t="n">
        <v>0</v>
      </c>
      <c r="AN103" t="n">
        <v>1</v>
      </c>
      <c r="AO103" t="n">
        <v>1</v>
      </c>
      <c r="AP103" t="inlineStr">
        <is>
          <t>No</t>
        </is>
      </c>
      <c r="AQ103" t="inlineStr">
        <is>
          <t>Yes</t>
        </is>
      </c>
      <c r="AR103">
        <f>HYPERLINK("http://catalog.hathitrust.org/Record/004111695","HathiTrust Record")</f>
        <v/>
      </c>
      <c r="AS103">
        <f>HYPERLINK("https://creighton-primo.hosted.exlibrisgroup.com/primo-explore/search?tab=default_tab&amp;search_scope=EVERYTHING&amp;vid=01CRU&amp;lang=en_US&amp;offset=0&amp;query=any,contains,991003303109702656","Catalog Record")</f>
        <v/>
      </c>
      <c r="AT103">
        <f>HYPERLINK("http://www.worldcat.org/oclc/43561596","WorldCat Record")</f>
        <v/>
      </c>
      <c r="AU103" t="inlineStr">
        <is>
          <t>44691525:eng</t>
        </is>
      </c>
      <c r="AV103" t="inlineStr">
        <is>
          <t>43561596</t>
        </is>
      </c>
      <c r="AW103" t="inlineStr">
        <is>
          <t>991003303109702656</t>
        </is>
      </c>
      <c r="AX103" t="inlineStr">
        <is>
          <t>991003303109702656</t>
        </is>
      </c>
      <c r="AY103" t="inlineStr">
        <is>
          <t>2268301470002656</t>
        </is>
      </c>
      <c r="AZ103" t="inlineStr">
        <is>
          <t>BOOK</t>
        </is>
      </c>
      <c r="BB103" t="inlineStr">
        <is>
          <t>9780268013257</t>
        </is>
      </c>
      <c r="BC103" t="inlineStr">
        <is>
          <t>32285004262662</t>
        </is>
      </c>
      <c r="BD103" t="inlineStr">
        <is>
          <t>893799579</t>
        </is>
      </c>
    </row>
    <row r="104">
      <c r="A104" t="inlineStr">
        <is>
          <t>No</t>
        </is>
      </c>
      <c r="B104" t="inlineStr">
        <is>
          <t>HM1266 .H37 1999</t>
        </is>
      </c>
      <c r="C104" t="inlineStr">
        <is>
          <t>0                      HM 1266000H  37          1999</t>
        </is>
      </c>
      <c r="D104" t="inlineStr">
        <is>
          <t>Civilized oppression / J. Harvey.</t>
        </is>
      </c>
      <c r="F104" t="inlineStr">
        <is>
          <t>No</t>
        </is>
      </c>
      <c r="G104" t="inlineStr">
        <is>
          <t>1</t>
        </is>
      </c>
      <c r="H104" t="inlineStr">
        <is>
          <t>No</t>
        </is>
      </c>
      <c r="I104" t="inlineStr">
        <is>
          <t>No</t>
        </is>
      </c>
      <c r="J104" t="inlineStr">
        <is>
          <t>0</t>
        </is>
      </c>
      <c r="K104" t="inlineStr">
        <is>
          <t>Harvey, Jean, 1955-</t>
        </is>
      </c>
      <c r="L104" t="inlineStr">
        <is>
          <t>Lanham : Rowman &amp; Littlefield, c1999.</t>
        </is>
      </c>
      <c r="M104" t="inlineStr">
        <is>
          <t>1999</t>
        </is>
      </c>
      <c r="O104" t="inlineStr">
        <is>
          <t>eng</t>
        </is>
      </c>
      <c r="P104" t="inlineStr">
        <is>
          <t>mdu</t>
        </is>
      </c>
      <c r="R104" t="inlineStr">
        <is>
          <t xml:space="preserve">HM </t>
        </is>
      </c>
      <c r="S104" t="n">
        <v>6</v>
      </c>
      <c r="T104" t="n">
        <v>6</v>
      </c>
      <c r="U104" t="inlineStr">
        <is>
          <t>2002-10-09</t>
        </is>
      </c>
      <c r="V104" t="inlineStr">
        <is>
          <t>2002-10-09</t>
        </is>
      </c>
      <c r="W104" t="inlineStr">
        <is>
          <t>2000-01-31</t>
        </is>
      </c>
      <c r="X104" t="inlineStr">
        <is>
          <t>2000-01-31</t>
        </is>
      </c>
      <c r="Y104" t="n">
        <v>276</v>
      </c>
      <c r="Z104" t="n">
        <v>224</v>
      </c>
      <c r="AA104" t="n">
        <v>240</v>
      </c>
      <c r="AB104" t="n">
        <v>3</v>
      </c>
      <c r="AC104" t="n">
        <v>3</v>
      </c>
      <c r="AD104" t="n">
        <v>16</v>
      </c>
      <c r="AE104" t="n">
        <v>17</v>
      </c>
      <c r="AF104" t="n">
        <v>2</v>
      </c>
      <c r="AG104" t="n">
        <v>3</v>
      </c>
      <c r="AH104" t="n">
        <v>5</v>
      </c>
      <c r="AI104" t="n">
        <v>6</v>
      </c>
      <c r="AJ104" t="n">
        <v>10</v>
      </c>
      <c r="AK104" t="n">
        <v>10</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HYPERLINK("https://creighton-primo.hosted.exlibrisgroup.com/primo-explore/search?tab=default_tab&amp;search_scope=EVERYTHING&amp;vid=01CRU&amp;lang=en_US&amp;offset=0&amp;query=any,contains,991003031379702656","Catalog Record")</f>
        <v/>
      </c>
      <c r="AT104">
        <f>HYPERLINK("http://www.worldcat.org/oclc/41528208","WorldCat Record")</f>
        <v/>
      </c>
      <c r="AU104" t="inlineStr">
        <is>
          <t>27202744:eng</t>
        </is>
      </c>
      <c r="AV104" t="inlineStr">
        <is>
          <t>41528208</t>
        </is>
      </c>
      <c r="AW104" t="inlineStr">
        <is>
          <t>991003031379702656</t>
        </is>
      </c>
      <c r="AX104" t="inlineStr">
        <is>
          <t>991003031379702656</t>
        </is>
      </c>
      <c r="AY104" t="inlineStr">
        <is>
          <t>2259774030002656</t>
        </is>
      </c>
      <c r="AZ104" t="inlineStr">
        <is>
          <t>BOOK</t>
        </is>
      </c>
      <c r="BB104" t="inlineStr">
        <is>
          <t>9780847692743</t>
        </is>
      </c>
      <c r="BC104" t="inlineStr">
        <is>
          <t>32285003656856</t>
        </is>
      </c>
      <c r="BD104" t="inlineStr">
        <is>
          <t>893409847</t>
        </is>
      </c>
    </row>
    <row r="105">
      <c r="A105" t="inlineStr">
        <is>
          <t>No</t>
        </is>
      </c>
      <c r="B105" t="inlineStr">
        <is>
          <t>HM1271 .B37 2002</t>
        </is>
      </c>
      <c r="C105" t="inlineStr">
        <is>
          <t>0                      HM 1271000B  37          2002</t>
        </is>
      </c>
      <c r="D105" t="inlineStr">
        <is>
          <t>Culture and equality : an egalitarian critique of multiculturalism / Brian Barry.</t>
        </is>
      </c>
      <c r="F105" t="inlineStr">
        <is>
          <t>No</t>
        </is>
      </c>
      <c r="G105" t="inlineStr">
        <is>
          <t>1</t>
        </is>
      </c>
      <c r="H105" t="inlineStr">
        <is>
          <t>No</t>
        </is>
      </c>
      <c r="I105" t="inlineStr">
        <is>
          <t>No</t>
        </is>
      </c>
      <c r="J105" t="inlineStr">
        <is>
          <t>0</t>
        </is>
      </c>
      <c r="K105" t="inlineStr">
        <is>
          <t>Barry, Brian, 1936-2009.</t>
        </is>
      </c>
      <c r="L105" t="inlineStr">
        <is>
          <t>Cambridge, Mass. : Harvard University Press, 2002,2001.</t>
        </is>
      </c>
      <c r="M105" t="inlineStr">
        <is>
          <t>2002</t>
        </is>
      </c>
      <c r="N105" t="inlineStr">
        <is>
          <t>1st Harvard University Press pbk. ed.</t>
        </is>
      </c>
      <c r="O105" t="inlineStr">
        <is>
          <t>eng</t>
        </is>
      </c>
      <c r="P105" t="inlineStr">
        <is>
          <t>mau</t>
        </is>
      </c>
      <c r="R105" t="inlineStr">
        <is>
          <t xml:space="preserve">HM </t>
        </is>
      </c>
      <c r="S105" t="n">
        <v>1</v>
      </c>
      <c r="T105" t="n">
        <v>1</v>
      </c>
      <c r="U105" t="inlineStr">
        <is>
          <t>2004-09-08</t>
        </is>
      </c>
      <c r="V105" t="inlineStr">
        <is>
          <t>2004-09-08</t>
        </is>
      </c>
      <c r="W105" t="inlineStr">
        <is>
          <t>2004-09-08</t>
        </is>
      </c>
      <c r="X105" t="inlineStr">
        <is>
          <t>2004-09-08</t>
        </is>
      </c>
      <c r="Y105" t="n">
        <v>794</v>
      </c>
      <c r="Z105" t="n">
        <v>656</v>
      </c>
      <c r="AA105" t="n">
        <v>698</v>
      </c>
      <c r="AB105" t="n">
        <v>5</v>
      </c>
      <c r="AC105" t="n">
        <v>5</v>
      </c>
      <c r="AD105" t="n">
        <v>33</v>
      </c>
      <c r="AE105" t="n">
        <v>35</v>
      </c>
      <c r="AF105" t="n">
        <v>13</v>
      </c>
      <c r="AG105" t="n">
        <v>14</v>
      </c>
      <c r="AH105" t="n">
        <v>6</v>
      </c>
      <c r="AI105" t="n">
        <v>7</v>
      </c>
      <c r="AJ105" t="n">
        <v>13</v>
      </c>
      <c r="AK105" t="n">
        <v>13</v>
      </c>
      <c r="AL105" t="n">
        <v>4</v>
      </c>
      <c r="AM105" t="n">
        <v>4</v>
      </c>
      <c r="AN105" t="n">
        <v>2</v>
      </c>
      <c r="AO105" t="n">
        <v>3</v>
      </c>
      <c r="AP105" t="inlineStr">
        <is>
          <t>No</t>
        </is>
      </c>
      <c r="AQ105" t="inlineStr">
        <is>
          <t>No</t>
        </is>
      </c>
      <c r="AS105">
        <f>HYPERLINK("https://creighton-primo.hosted.exlibrisgroup.com/primo-explore/search?tab=default_tab&amp;search_scope=EVERYTHING&amp;vid=01CRU&amp;lang=en_US&amp;offset=0&amp;query=any,contains,991004343529702656","Catalog Record")</f>
        <v/>
      </c>
      <c r="AT105">
        <f>HYPERLINK("http://www.worldcat.org/oclc/44818469","WorldCat Record")</f>
        <v/>
      </c>
      <c r="AU105" t="inlineStr">
        <is>
          <t>345707813:eng</t>
        </is>
      </c>
      <c r="AV105" t="inlineStr">
        <is>
          <t>44818469</t>
        </is>
      </c>
      <c r="AW105" t="inlineStr">
        <is>
          <t>991004343529702656</t>
        </is>
      </c>
      <c r="AX105" t="inlineStr">
        <is>
          <t>991004343529702656</t>
        </is>
      </c>
      <c r="AY105" t="inlineStr">
        <is>
          <t>2271366540002656</t>
        </is>
      </c>
      <c r="AZ105" t="inlineStr">
        <is>
          <t>BOOK</t>
        </is>
      </c>
      <c r="BB105" t="inlineStr">
        <is>
          <t>9780674010017</t>
        </is>
      </c>
      <c r="BC105" t="inlineStr">
        <is>
          <t>32285004985593</t>
        </is>
      </c>
      <c r="BD105" t="inlineStr">
        <is>
          <t>893525983</t>
        </is>
      </c>
    </row>
    <row r="106">
      <c r="A106" t="inlineStr">
        <is>
          <t>No</t>
        </is>
      </c>
      <c r="B106" t="inlineStr">
        <is>
          <t>HM1271 .C85 2000</t>
        </is>
      </c>
      <c r="C106" t="inlineStr">
        <is>
          <t>0                      HM 1271000C  85          2000</t>
        </is>
      </c>
      <c r="D106" t="inlineStr">
        <is>
          <t>Cultural integrity and world community / edited by Cheryl Hughes and Yeager Hudson.</t>
        </is>
      </c>
      <c r="F106" t="inlineStr">
        <is>
          <t>No</t>
        </is>
      </c>
      <c r="G106" t="inlineStr">
        <is>
          <t>1</t>
        </is>
      </c>
      <c r="H106" t="inlineStr">
        <is>
          <t>No</t>
        </is>
      </c>
      <c r="I106" t="inlineStr">
        <is>
          <t>No</t>
        </is>
      </c>
      <c r="J106" t="inlineStr">
        <is>
          <t>0</t>
        </is>
      </c>
      <c r="L106" t="inlineStr">
        <is>
          <t>Lewiston, N.Y. : Edwin Mellen Press, c2000.</t>
        </is>
      </c>
      <c r="M106" t="inlineStr">
        <is>
          <t>2000</t>
        </is>
      </c>
      <c r="O106" t="inlineStr">
        <is>
          <t>eng</t>
        </is>
      </c>
      <c r="P106" t="inlineStr">
        <is>
          <t>nyu</t>
        </is>
      </c>
      <c r="Q106" t="inlineStr">
        <is>
          <t>Social philosophy today ; no. 15</t>
        </is>
      </c>
      <c r="R106" t="inlineStr">
        <is>
          <t xml:space="preserve">HM </t>
        </is>
      </c>
      <c r="S106" t="n">
        <v>1</v>
      </c>
      <c r="T106" t="n">
        <v>1</v>
      </c>
      <c r="U106" t="inlineStr">
        <is>
          <t>2004-10-04</t>
        </is>
      </c>
      <c r="V106" t="inlineStr">
        <is>
          <t>2004-10-04</t>
        </is>
      </c>
      <c r="W106" t="inlineStr">
        <is>
          <t>2004-10-04</t>
        </is>
      </c>
      <c r="X106" t="inlineStr">
        <is>
          <t>2004-10-04</t>
        </is>
      </c>
      <c r="Y106" t="n">
        <v>99</v>
      </c>
      <c r="Z106" t="n">
        <v>78</v>
      </c>
      <c r="AA106" t="n">
        <v>80</v>
      </c>
      <c r="AB106" t="n">
        <v>1</v>
      </c>
      <c r="AC106" t="n">
        <v>1</v>
      </c>
      <c r="AD106" t="n">
        <v>4</v>
      </c>
      <c r="AE106" t="n">
        <v>4</v>
      </c>
      <c r="AF106" t="n">
        <v>0</v>
      </c>
      <c r="AG106" t="n">
        <v>0</v>
      </c>
      <c r="AH106" t="n">
        <v>0</v>
      </c>
      <c r="AI106" t="n">
        <v>0</v>
      </c>
      <c r="AJ106" t="n">
        <v>2</v>
      </c>
      <c r="AK106" t="n">
        <v>2</v>
      </c>
      <c r="AL106" t="n">
        <v>0</v>
      </c>
      <c r="AM106" t="n">
        <v>0</v>
      </c>
      <c r="AN106" t="n">
        <v>2</v>
      </c>
      <c r="AO106" t="n">
        <v>2</v>
      </c>
      <c r="AP106" t="inlineStr">
        <is>
          <t>No</t>
        </is>
      </c>
      <c r="AQ106" t="inlineStr">
        <is>
          <t>Yes</t>
        </is>
      </c>
      <c r="AR106">
        <f>HYPERLINK("http://catalog.hathitrust.org/Record/004158281","HathiTrust Record")</f>
        <v/>
      </c>
      <c r="AS106">
        <f>HYPERLINK("https://creighton-primo.hosted.exlibrisgroup.com/primo-explore/search?tab=default_tab&amp;search_scope=EVERYTHING&amp;vid=01CRU&amp;lang=en_US&amp;offset=0&amp;query=any,contains,991004357629702656","Catalog Record")</f>
        <v/>
      </c>
      <c r="AT106">
        <f>HYPERLINK("http://www.worldcat.org/oclc/44468891","WorldCat Record")</f>
        <v/>
      </c>
      <c r="AU106" t="inlineStr">
        <is>
          <t>367923824:eng</t>
        </is>
      </c>
      <c r="AV106" t="inlineStr">
        <is>
          <t>44468891</t>
        </is>
      </c>
      <c r="AW106" t="inlineStr">
        <is>
          <t>991004357629702656</t>
        </is>
      </c>
      <c r="AX106" t="inlineStr">
        <is>
          <t>991004357629702656</t>
        </is>
      </c>
      <c r="AY106" t="inlineStr">
        <is>
          <t>2272384570002656</t>
        </is>
      </c>
      <c r="AZ106" t="inlineStr">
        <is>
          <t>BOOK</t>
        </is>
      </c>
      <c r="BB106" t="inlineStr">
        <is>
          <t>9780773476707</t>
        </is>
      </c>
      <c r="BC106" t="inlineStr">
        <is>
          <t>32285005000814</t>
        </is>
      </c>
      <c r="BD106" t="inlineStr">
        <is>
          <t>893253597</t>
        </is>
      </c>
    </row>
    <row r="107">
      <c r="A107" t="inlineStr">
        <is>
          <t>No</t>
        </is>
      </c>
      <c r="B107" t="inlineStr">
        <is>
          <t>HM1271 .K84 2003</t>
        </is>
      </c>
      <c r="C107" t="inlineStr">
        <is>
          <t>0                      HM 1271000K  84          2003</t>
        </is>
      </c>
      <c r="D107" t="inlineStr">
        <is>
          <t>The liberal archipelago : a theory of diversity and freedom / Chandran Kukathas.</t>
        </is>
      </c>
      <c r="F107" t="inlineStr">
        <is>
          <t>No</t>
        </is>
      </c>
      <c r="G107" t="inlineStr">
        <is>
          <t>1</t>
        </is>
      </c>
      <c r="H107" t="inlineStr">
        <is>
          <t>No</t>
        </is>
      </c>
      <c r="I107" t="inlineStr">
        <is>
          <t>No</t>
        </is>
      </c>
      <c r="J107" t="inlineStr">
        <is>
          <t>0</t>
        </is>
      </c>
      <c r="K107" t="inlineStr">
        <is>
          <t>Kukathas, Chandran.</t>
        </is>
      </c>
      <c r="L107" t="inlineStr">
        <is>
          <t>Oxford : Oxford University Press, 2003.</t>
        </is>
      </c>
      <c r="M107" t="inlineStr">
        <is>
          <t>2003</t>
        </is>
      </c>
      <c r="O107" t="inlineStr">
        <is>
          <t>eng</t>
        </is>
      </c>
      <c r="P107" t="inlineStr">
        <is>
          <t>enk</t>
        </is>
      </c>
      <c r="Q107" t="inlineStr">
        <is>
          <t>Oxford political theory</t>
        </is>
      </c>
      <c r="R107" t="inlineStr">
        <is>
          <t xml:space="preserve">HM </t>
        </is>
      </c>
      <c r="S107" t="n">
        <v>1</v>
      </c>
      <c r="T107" t="n">
        <v>1</v>
      </c>
      <c r="U107" t="inlineStr">
        <is>
          <t>2003-11-05</t>
        </is>
      </c>
      <c r="V107" t="inlineStr">
        <is>
          <t>2003-11-05</t>
        </is>
      </c>
      <c r="W107" t="inlineStr">
        <is>
          <t>2003-10-01</t>
        </is>
      </c>
      <c r="X107" t="inlineStr">
        <is>
          <t>2003-10-01</t>
        </is>
      </c>
      <c r="Y107" t="n">
        <v>351</v>
      </c>
      <c r="Z107" t="n">
        <v>251</v>
      </c>
      <c r="AA107" t="n">
        <v>315</v>
      </c>
      <c r="AB107" t="n">
        <v>3</v>
      </c>
      <c r="AC107" t="n">
        <v>3</v>
      </c>
      <c r="AD107" t="n">
        <v>22</v>
      </c>
      <c r="AE107" t="n">
        <v>25</v>
      </c>
      <c r="AF107" t="n">
        <v>8</v>
      </c>
      <c r="AG107" t="n">
        <v>9</v>
      </c>
      <c r="AH107" t="n">
        <v>6</v>
      </c>
      <c r="AI107" t="n">
        <v>8</v>
      </c>
      <c r="AJ107" t="n">
        <v>9</v>
      </c>
      <c r="AK107" t="n">
        <v>10</v>
      </c>
      <c r="AL107" t="n">
        <v>2</v>
      </c>
      <c r="AM107" t="n">
        <v>2</v>
      </c>
      <c r="AN107" t="n">
        <v>2</v>
      </c>
      <c r="AO107" t="n">
        <v>2</v>
      </c>
      <c r="AP107" t="inlineStr">
        <is>
          <t>No</t>
        </is>
      </c>
      <c r="AQ107" t="inlineStr">
        <is>
          <t>No</t>
        </is>
      </c>
      <c r="AS107">
        <f>HYPERLINK("https://creighton-primo.hosted.exlibrisgroup.com/primo-explore/search?tab=default_tab&amp;search_scope=EVERYTHING&amp;vid=01CRU&amp;lang=en_US&amp;offset=0&amp;query=any,contains,991004146399702656","Catalog Record")</f>
        <v/>
      </c>
      <c r="AT107">
        <f>HYPERLINK("http://www.worldcat.org/oclc/60561912","WorldCat Record")</f>
        <v/>
      </c>
      <c r="AU107" t="inlineStr">
        <is>
          <t>196099822:eng</t>
        </is>
      </c>
      <c r="AV107" t="inlineStr">
        <is>
          <t>60561912</t>
        </is>
      </c>
      <c r="AW107" t="inlineStr">
        <is>
          <t>991004146399702656</t>
        </is>
      </c>
      <c r="AX107" t="inlineStr">
        <is>
          <t>991004146399702656</t>
        </is>
      </c>
      <c r="AY107" t="inlineStr">
        <is>
          <t>2266565770002656</t>
        </is>
      </c>
      <c r="AZ107" t="inlineStr">
        <is>
          <t>BOOK</t>
        </is>
      </c>
      <c r="BB107" t="inlineStr">
        <is>
          <t>9780199257546</t>
        </is>
      </c>
      <c r="BC107" t="inlineStr">
        <is>
          <t>32285004793179</t>
        </is>
      </c>
      <c r="BD107" t="inlineStr">
        <is>
          <t>893611975</t>
        </is>
      </c>
    </row>
    <row r="108">
      <c r="A108" t="inlineStr">
        <is>
          <t>No</t>
        </is>
      </c>
      <c r="B108" t="inlineStr">
        <is>
          <t>HM1271 .M8434 2002</t>
        </is>
      </c>
      <c r="C108" t="inlineStr">
        <is>
          <t>0                      HM 1271000M  8434        2002</t>
        </is>
      </c>
      <c r="D108" t="inlineStr">
        <is>
          <t>Multiculturalism reconsidered : 'Culture and equality' and its critics / edited by Paul Kelly.</t>
        </is>
      </c>
      <c r="F108" t="inlineStr">
        <is>
          <t>No</t>
        </is>
      </c>
      <c r="G108" t="inlineStr">
        <is>
          <t>1</t>
        </is>
      </c>
      <c r="H108" t="inlineStr">
        <is>
          <t>No</t>
        </is>
      </c>
      <c r="I108" t="inlineStr">
        <is>
          <t>No</t>
        </is>
      </c>
      <c r="J108" t="inlineStr">
        <is>
          <t>0</t>
        </is>
      </c>
      <c r="L108" t="inlineStr">
        <is>
          <t>Cambridge ; Malden, MA : Polity Press, c2002.</t>
        </is>
      </c>
      <c r="M108" t="inlineStr">
        <is>
          <t>2002</t>
        </is>
      </c>
      <c r="O108" t="inlineStr">
        <is>
          <t>eng</t>
        </is>
      </c>
      <c r="P108" t="inlineStr">
        <is>
          <t>enk</t>
        </is>
      </c>
      <c r="R108" t="inlineStr">
        <is>
          <t xml:space="preserve">HM </t>
        </is>
      </c>
      <c r="S108" t="n">
        <v>1</v>
      </c>
      <c r="T108" t="n">
        <v>1</v>
      </c>
      <c r="U108" t="inlineStr">
        <is>
          <t>2006-11-14</t>
        </is>
      </c>
      <c r="V108" t="inlineStr">
        <is>
          <t>2006-11-14</t>
        </is>
      </c>
      <c r="W108" t="inlineStr">
        <is>
          <t>2006-11-14</t>
        </is>
      </c>
      <c r="X108" t="inlineStr">
        <is>
          <t>2006-11-14</t>
        </is>
      </c>
      <c r="Y108" t="n">
        <v>317</v>
      </c>
      <c r="Z108" t="n">
        <v>161</v>
      </c>
      <c r="AA108" t="n">
        <v>163</v>
      </c>
      <c r="AB108" t="n">
        <v>3</v>
      </c>
      <c r="AC108" t="n">
        <v>3</v>
      </c>
      <c r="AD108" t="n">
        <v>11</v>
      </c>
      <c r="AE108" t="n">
        <v>11</v>
      </c>
      <c r="AF108" t="n">
        <v>2</v>
      </c>
      <c r="AG108" t="n">
        <v>2</v>
      </c>
      <c r="AH108" t="n">
        <v>5</v>
      </c>
      <c r="AI108" t="n">
        <v>5</v>
      </c>
      <c r="AJ108" t="n">
        <v>6</v>
      </c>
      <c r="AK108" t="n">
        <v>6</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HYPERLINK("https://creighton-primo.hosted.exlibrisgroup.com/primo-explore/search?tab=default_tab&amp;search_scope=EVERYTHING&amp;vid=01CRU&amp;lang=en_US&amp;offset=0&amp;query=any,contains,991004962379702656","Catalog Record")</f>
        <v/>
      </c>
      <c r="AT108">
        <f>HYPERLINK("http://www.worldcat.org/oclc/49681125","WorldCat Record")</f>
        <v/>
      </c>
      <c r="AU108" t="inlineStr">
        <is>
          <t>839649074:eng</t>
        </is>
      </c>
      <c r="AV108" t="inlineStr">
        <is>
          <t>49681125</t>
        </is>
      </c>
      <c r="AW108" t="inlineStr">
        <is>
          <t>991004962379702656</t>
        </is>
      </c>
      <c r="AX108" t="inlineStr">
        <is>
          <t>991004962379702656</t>
        </is>
      </c>
      <c r="AY108" t="inlineStr">
        <is>
          <t>2267656540002656</t>
        </is>
      </c>
      <c r="AZ108" t="inlineStr">
        <is>
          <t>BOOK</t>
        </is>
      </c>
      <c r="BB108" t="inlineStr">
        <is>
          <t>9780745627939</t>
        </is>
      </c>
      <c r="BC108" t="inlineStr">
        <is>
          <t>32285005239198</t>
        </is>
      </c>
      <c r="BD108" t="inlineStr">
        <is>
          <t>893612968</t>
        </is>
      </c>
    </row>
    <row r="109">
      <c r="A109" t="inlineStr">
        <is>
          <t>No</t>
        </is>
      </c>
      <c r="B109" t="inlineStr">
        <is>
          <t>HM1271 .P37 2000</t>
        </is>
      </c>
      <c r="C109" t="inlineStr">
        <is>
          <t>0                      HM 1271000P  37          2000</t>
        </is>
      </c>
      <c r="D109" t="inlineStr">
        <is>
          <t>Rethinking multiculturalism : cultural diversity and political theory / Bhikhu Parekh.</t>
        </is>
      </c>
      <c r="F109" t="inlineStr">
        <is>
          <t>No</t>
        </is>
      </c>
      <c r="G109" t="inlineStr">
        <is>
          <t>1</t>
        </is>
      </c>
      <c r="H109" t="inlineStr">
        <is>
          <t>No</t>
        </is>
      </c>
      <c r="I109" t="inlineStr">
        <is>
          <t>No</t>
        </is>
      </c>
      <c r="J109" t="inlineStr">
        <is>
          <t>0</t>
        </is>
      </c>
      <c r="K109" t="inlineStr">
        <is>
          <t>Parekh, Bhikhu C.</t>
        </is>
      </c>
      <c r="L109" t="inlineStr">
        <is>
          <t>Cambridge, Mass. : Harvard University Press, 2000.</t>
        </is>
      </c>
      <c r="M109" t="inlineStr">
        <is>
          <t>2000</t>
        </is>
      </c>
      <c r="O109" t="inlineStr">
        <is>
          <t>eng</t>
        </is>
      </c>
      <c r="P109" t="inlineStr">
        <is>
          <t>mau</t>
        </is>
      </c>
      <c r="R109" t="inlineStr">
        <is>
          <t xml:space="preserve">HM </t>
        </is>
      </c>
      <c r="S109" t="n">
        <v>7</v>
      </c>
      <c r="T109" t="n">
        <v>7</v>
      </c>
      <c r="U109" t="inlineStr">
        <is>
          <t>2004-05-26</t>
        </is>
      </c>
      <c r="V109" t="inlineStr">
        <is>
          <t>2004-05-26</t>
        </is>
      </c>
      <c r="W109" t="inlineStr">
        <is>
          <t>2001-05-29</t>
        </is>
      </c>
      <c r="X109" t="inlineStr">
        <is>
          <t>2001-05-29</t>
        </is>
      </c>
      <c r="Y109" t="n">
        <v>575</v>
      </c>
      <c r="Z109" t="n">
        <v>502</v>
      </c>
      <c r="AA109" t="n">
        <v>646</v>
      </c>
      <c r="AB109" t="n">
        <v>5</v>
      </c>
      <c r="AC109" t="n">
        <v>6</v>
      </c>
      <c r="AD109" t="n">
        <v>28</v>
      </c>
      <c r="AE109" t="n">
        <v>31</v>
      </c>
      <c r="AF109" t="n">
        <v>10</v>
      </c>
      <c r="AG109" t="n">
        <v>11</v>
      </c>
      <c r="AH109" t="n">
        <v>8</v>
      </c>
      <c r="AI109" t="n">
        <v>9</v>
      </c>
      <c r="AJ109" t="n">
        <v>12</v>
      </c>
      <c r="AK109" t="n">
        <v>13</v>
      </c>
      <c r="AL109" t="n">
        <v>4</v>
      </c>
      <c r="AM109" t="n">
        <v>5</v>
      </c>
      <c r="AN109" t="n">
        <v>0</v>
      </c>
      <c r="AO109" t="n">
        <v>0</v>
      </c>
      <c r="AP109" t="inlineStr">
        <is>
          <t>No</t>
        </is>
      </c>
      <c r="AQ109" t="inlineStr">
        <is>
          <t>Yes</t>
        </is>
      </c>
      <c r="AR109">
        <f>HYPERLINK("http://catalog.hathitrust.org/Record/004121273","HathiTrust Record")</f>
        <v/>
      </c>
      <c r="AS109">
        <f>HYPERLINK("https://creighton-primo.hosted.exlibrisgroup.com/primo-explore/search?tab=default_tab&amp;search_scope=EVERYTHING&amp;vid=01CRU&amp;lang=en_US&amp;offset=0&amp;query=any,contains,991003514809702656","Catalog Record")</f>
        <v/>
      </c>
      <c r="AT109">
        <f>HYPERLINK("http://www.worldcat.org/oclc/43757609","WorldCat Record")</f>
        <v/>
      </c>
      <c r="AU109" t="inlineStr">
        <is>
          <t>1005425:eng</t>
        </is>
      </c>
      <c r="AV109" t="inlineStr">
        <is>
          <t>43757609</t>
        </is>
      </c>
      <c r="AW109" t="inlineStr">
        <is>
          <t>991003514809702656</t>
        </is>
      </c>
      <c r="AX109" t="inlineStr">
        <is>
          <t>991003514809702656</t>
        </is>
      </c>
      <c r="AY109" t="inlineStr">
        <is>
          <t>2270333240002656</t>
        </is>
      </c>
      <c r="AZ109" t="inlineStr">
        <is>
          <t>BOOK</t>
        </is>
      </c>
      <c r="BB109" t="inlineStr">
        <is>
          <t>9780674004368</t>
        </is>
      </c>
      <c r="BC109" t="inlineStr">
        <is>
          <t>32285004318795</t>
        </is>
      </c>
      <c r="BD109" t="inlineStr">
        <is>
          <t>893252445</t>
        </is>
      </c>
    </row>
    <row r="110">
      <c r="A110" t="inlineStr">
        <is>
          <t>No</t>
        </is>
      </c>
      <c r="B110" t="inlineStr">
        <is>
          <t>HM1271 .P56 2006</t>
        </is>
      </c>
      <c r="C110" t="inlineStr">
        <is>
          <t>0                      HM 1271000P  56          2006</t>
        </is>
      </c>
      <c r="D110" t="inlineStr">
        <is>
          <t>Understanding diversity : an introduction to class, race, gender, and sexual orientation / Fred L. Pincus.</t>
        </is>
      </c>
      <c r="F110" t="inlineStr">
        <is>
          <t>No</t>
        </is>
      </c>
      <c r="G110" t="inlineStr">
        <is>
          <t>1</t>
        </is>
      </c>
      <c r="H110" t="inlineStr">
        <is>
          <t>No</t>
        </is>
      </c>
      <c r="I110" t="inlineStr">
        <is>
          <t>No</t>
        </is>
      </c>
      <c r="J110" t="inlineStr">
        <is>
          <t>0</t>
        </is>
      </c>
      <c r="K110" t="inlineStr">
        <is>
          <t>Pincus, Fred L.</t>
        </is>
      </c>
      <c r="L110" t="inlineStr">
        <is>
          <t>Boulder, Colo. : Lynne Rienner Publishers, 2006.</t>
        </is>
      </c>
      <c r="M110" t="inlineStr">
        <is>
          <t>2006</t>
        </is>
      </c>
      <c r="O110" t="inlineStr">
        <is>
          <t>eng</t>
        </is>
      </c>
      <c r="P110" t="inlineStr">
        <is>
          <t>cou</t>
        </is>
      </c>
      <c r="R110" t="inlineStr">
        <is>
          <t xml:space="preserve">HM </t>
        </is>
      </c>
      <c r="S110" t="n">
        <v>2</v>
      </c>
      <c r="T110" t="n">
        <v>2</v>
      </c>
      <c r="U110" t="inlineStr">
        <is>
          <t>2006-11-16</t>
        </is>
      </c>
      <c r="V110" t="inlineStr">
        <is>
          <t>2006-11-16</t>
        </is>
      </c>
      <c r="W110" t="inlineStr">
        <is>
          <t>2006-05-09</t>
        </is>
      </c>
      <c r="X110" t="inlineStr">
        <is>
          <t>2006-05-09</t>
        </is>
      </c>
      <c r="Y110" t="n">
        <v>352</v>
      </c>
      <c r="Z110" t="n">
        <v>288</v>
      </c>
      <c r="AA110" t="n">
        <v>381</v>
      </c>
      <c r="AB110" t="n">
        <v>2</v>
      </c>
      <c r="AC110" t="n">
        <v>2</v>
      </c>
      <c r="AD110" t="n">
        <v>9</v>
      </c>
      <c r="AE110" t="n">
        <v>11</v>
      </c>
      <c r="AF110" t="n">
        <v>2</v>
      </c>
      <c r="AG110" t="n">
        <v>4</v>
      </c>
      <c r="AH110" t="n">
        <v>3</v>
      </c>
      <c r="AI110" t="n">
        <v>4</v>
      </c>
      <c r="AJ110" t="n">
        <v>5</v>
      </c>
      <c r="AK110" t="n">
        <v>6</v>
      </c>
      <c r="AL110" t="n">
        <v>1</v>
      </c>
      <c r="AM110" t="n">
        <v>1</v>
      </c>
      <c r="AN110" t="n">
        <v>0</v>
      </c>
      <c r="AO110" t="n">
        <v>0</v>
      </c>
      <c r="AP110" t="inlineStr">
        <is>
          <t>No</t>
        </is>
      </c>
      <c r="AQ110" t="inlineStr">
        <is>
          <t>Yes</t>
        </is>
      </c>
      <c r="AR110">
        <f>HYPERLINK("http://catalog.hathitrust.org/Record/007146410","HathiTrust Record")</f>
        <v/>
      </c>
      <c r="AS110">
        <f>HYPERLINK("https://creighton-primo.hosted.exlibrisgroup.com/primo-explore/search?tab=default_tab&amp;search_scope=EVERYTHING&amp;vid=01CRU&amp;lang=en_US&amp;offset=0&amp;query=any,contains,991004800089702656","Catalog Record")</f>
        <v/>
      </c>
      <c r="AT110">
        <f>HYPERLINK("http://www.worldcat.org/oclc/62085471","WorldCat Record")</f>
        <v/>
      </c>
      <c r="AU110" t="inlineStr">
        <is>
          <t>46510697:eng</t>
        </is>
      </c>
      <c r="AV110" t="inlineStr">
        <is>
          <t>62085471</t>
        </is>
      </c>
      <c r="AW110" t="inlineStr">
        <is>
          <t>991004800089702656</t>
        </is>
      </c>
      <c r="AX110" t="inlineStr">
        <is>
          <t>991004800089702656</t>
        </is>
      </c>
      <c r="AY110" t="inlineStr">
        <is>
          <t>2270853500002656</t>
        </is>
      </c>
      <c r="AZ110" t="inlineStr">
        <is>
          <t>BOOK</t>
        </is>
      </c>
      <c r="BB110" t="inlineStr">
        <is>
          <t>9781588264022</t>
        </is>
      </c>
      <c r="BC110" t="inlineStr">
        <is>
          <t>32285005185698</t>
        </is>
      </c>
      <c r="BD110" t="inlineStr">
        <is>
          <t>893619102</t>
        </is>
      </c>
    </row>
    <row r="111">
      <c r="A111" t="inlineStr">
        <is>
          <t>No</t>
        </is>
      </c>
      <c r="B111" t="inlineStr">
        <is>
          <t>HM1271 .S45 2001</t>
        </is>
      </c>
      <c r="C111" t="inlineStr">
        <is>
          <t>0                      HM 1271000S  45          2001</t>
        </is>
      </c>
      <c r="D111" t="inlineStr">
        <is>
          <t>A world made safe for differences : cold war intellectuals and the politics of identity / Christopher Shannon.</t>
        </is>
      </c>
      <c r="F111" t="inlineStr">
        <is>
          <t>No</t>
        </is>
      </c>
      <c r="G111" t="inlineStr">
        <is>
          <t>1</t>
        </is>
      </c>
      <c r="H111" t="inlineStr">
        <is>
          <t>No</t>
        </is>
      </c>
      <c r="I111" t="inlineStr">
        <is>
          <t>No</t>
        </is>
      </c>
      <c r="J111" t="inlineStr">
        <is>
          <t>0</t>
        </is>
      </c>
      <c r="K111" t="inlineStr">
        <is>
          <t>Shannon, Christopher, 1962-</t>
        </is>
      </c>
      <c r="L111" t="inlineStr">
        <is>
          <t>Lanham, MD : Rowman &amp; Littlefield Publishers , c2001.</t>
        </is>
      </c>
      <c r="M111" t="inlineStr">
        <is>
          <t>2001</t>
        </is>
      </c>
      <c r="O111" t="inlineStr">
        <is>
          <t>eng</t>
        </is>
      </c>
      <c r="P111" t="inlineStr">
        <is>
          <t>mdu</t>
        </is>
      </c>
      <c r="Q111" t="inlineStr">
        <is>
          <t>American intellectual culture</t>
        </is>
      </c>
      <c r="R111" t="inlineStr">
        <is>
          <t xml:space="preserve">HM </t>
        </is>
      </c>
      <c r="S111" t="n">
        <v>3</v>
      </c>
      <c r="T111" t="n">
        <v>3</v>
      </c>
      <c r="U111" t="inlineStr">
        <is>
          <t>2006-11-30</t>
        </is>
      </c>
      <c r="V111" t="inlineStr">
        <is>
          <t>2006-11-30</t>
        </is>
      </c>
      <c r="W111" t="inlineStr">
        <is>
          <t>2002-09-09</t>
        </is>
      </c>
      <c r="X111" t="inlineStr">
        <is>
          <t>2002-09-09</t>
        </is>
      </c>
      <c r="Y111" t="n">
        <v>321</v>
      </c>
      <c r="Z111" t="n">
        <v>279</v>
      </c>
      <c r="AA111" t="n">
        <v>317</v>
      </c>
      <c r="AB111" t="n">
        <v>3</v>
      </c>
      <c r="AC111" t="n">
        <v>3</v>
      </c>
      <c r="AD111" t="n">
        <v>24</v>
      </c>
      <c r="AE111" t="n">
        <v>24</v>
      </c>
      <c r="AF111" t="n">
        <v>7</v>
      </c>
      <c r="AG111" t="n">
        <v>7</v>
      </c>
      <c r="AH111" t="n">
        <v>8</v>
      </c>
      <c r="AI111" t="n">
        <v>8</v>
      </c>
      <c r="AJ111" t="n">
        <v>15</v>
      </c>
      <c r="AK111" t="n">
        <v>15</v>
      </c>
      <c r="AL111" t="n">
        <v>2</v>
      </c>
      <c r="AM111" t="n">
        <v>2</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HYPERLINK("https://creighton-primo.hosted.exlibrisgroup.com/primo-explore/search?tab=default_tab&amp;search_scope=EVERYTHING&amp;vid=01CRU&amp;lang=en_US&amp;offset=0&amp;query=any,contains,991003864159702656","Catalog Record")</f>
        <v/>
      </c>
      <c r="AT111">
        <f>HYPERLINK("http://www.worldcat.org/oclc/44089133","WorldCat Record")</f>
        <v/>
      </c>
      <c r="AU111" t="inlineStr">
        <is>
          <t>1028021:eng</t>
        </is>
      </c>
      <c r="AV111" t="inlineStr">
        <is>
          <t>44089133</t>
        </is>
      </c>
      <c r="AW111" t="inlineStr">
        <is>
          <t>991003864159702656</t>
        </is>
      </c>
      <c r="AX111" t="inlineStr">
        <is>
          <t>991003864159702656</t>
        </is>
      </c>
      <c r="AY111" t="inlineStr">
        <is>
          <t>2262960290002656</t>
        </is>
      </c>
      <c r="AZ111" t="inlineStr">
        <is>
          <t>BOOK</t>
        </is>
      </c>
      <c r="BB111" t="inlineStr">
        <is>
          <t>9780847690572</t>
        </is>
      </c>
      <c r="BC111" t="inlineStr">
        <is>
          <t>32285004646377</t>
        </is>
      </c>
      <c r="BD111" t="inlineStr">
        <is>
          <t>893705715</t>
        </is>
      </c>
    </row>
    <row r="112">
      <c r="A112" t="inlineStr">
        <is>
          <t>No</t>
        </is>
      </c>
      <c r="B112" t="inlineStr">
        <is>
          <t>HM1276 .C35 2009</t>
        </is>
      </c>
      <c r="C112" t="inlineStr">
        <is>
          <t>0                      HM 1276000C  35          2009</t>
        </is>
      </c>
      <c r="D112" t="inlineStr">
        <is>
          <t>The myth of individualism : how social forces shape our lives / Peter L. Callero.</t>
        </is>
      </c>
      <c r="F112" t="inlineStr">
        <is>
          <t>No</t>
        </is>
      </c>
      <c r="G112" t="inlineStr">
        <is>
          <t>1</t>
        </is>
      </c>
      <c r="H112" t="inlineStr">
        <is>
          <t>No</t>
        </is>
      </c>
      <c r="I112" t="inlineStr">
        <is>
          <t>No</t>
        </is>
      </c>
      <c r="J112" t="inlineStr">
        <is>
          <t>0</t>
        </is>
      </c>
      <c r="K112" t="inlineStr">
        <is>
          <t>Callero, Peter L.</t>
        </is>
      </c>
      <c r="L112" t="inlineStr">
        <is>
          <t>Lanham : Rowman &amp; Littlefield Publishers, c2009.</t>
        </is>
      </c>
      <c r="M112" t="inlineStr">
        <is>
          <t>2009</t>
        </is>
      </c>
      <c r="O112" t="inlineStr">
        <is>
          <t>eng</t>
        </is>
      </c>
      <c r="P112" t="inlineStr">
        <is>
          <t>mdu</t>
        </is>
      </c>
      <c r="R112" t="inlineStr">
        <is>
          <t xml:space="preserve">HM </t>
        </is>
      </c>
      <c r="S112" t="n">
        <v>1</v>
      </c>
      <c r="T112" t="n">
        <v>1</v>
      </c>
      <c r="U112" t="inlineStr">
        <is>
          <t>2010-12-07</t>
        </is>
      </c>
      <c r="V112" t="inlineStr">
        <is>
          <t>2010-12-07</t>
        </is>
      </c>
      <c r="W112" t="inlineStr">
        <is>
          <t>2010-12-07</t>
        </is>
      </c>
      <c r="X112" t="inlineStr">
        <is>
          <t>2010-12-07</t>
        </is>
      </c>
      <c r="Y112" t="n">
        <v>258</v>
      </c>
      <c r="Z112" t="n">
        <v>223</v>
      </c>
      <c r="AA112" t="n">
        <v>629</v>
      </c>
      <c r="AB112" t="n">
        <v>4</v>
      </c>
      <c r="AC112" t="n">
        <v>7</v>
      </c>
      <c r="AD112" t="n">
        <v>11</v>
      </c>
      <c r="AE112" t="n">
        <v>20</v>
      </c>
      <c r="AF112" t="n">
        <v>3</v>
      </c>
      <c r="AG112" t="n">
        <v>7</v>
      </c>
      <c r="AH112" t="n">
        <v>3</v>
      </c>
      <c r="AI112" t="n">
        <v>5</v>
      </c>
      <c r="AJ112" t="n">
        <v>4</v>
      </c>
      <c r="AK112" t="n">
        <v>8</v>
      </c>
      <c r="AL112" t="n">
        <v>3</v>
      </c>
      <c r="AM112" t="n">
        <v>5</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HYPERLINK("https://creighton-primo.hosted.exlibrisgroup.com/primo-explore/search?tab=default_tab&amp;search_scope=EVERYTHING&amp;vid=01CRU&amp;lang=en_US&amp;offset=0&amp;query=any,contains,991000374899702656","Catalog Record")</f>
        <v/>
      </c>
      <c r="AT112">
        <f>HYPERLINK("http://www.worldcat.org/oclc/406945170","WorldCat Record")</f>
        <v/>
      </c>
      <c r="AU112" t="inlineStr">
        <is>
          <t>803015755:eng</t>
        </is>
      </c>
      <c r="AV112" t="inlineStr">
        <is>
          <t>406945170</t>
        </is>
      </c>
      <c r="AW112" t="inlineStr">
        <is>
          <t>991000374899702656</t>
        </is>
      </c>
      <c r="AX112" t="inlineStr">
        <is>
          <t>991000374899702656</t>
        </is>
      </c>
      <c r="AY112" t="inlineStr">
        <is>
          <t>2269384040002656</t>
        </is>
      </c>
      <c r="AZ112" t="inlineStr">
        <is>
          <t>BOOK</t>
        </is>
      </c>
      <c r="BB112" t="inlineStr">
        <is>
          <t>9780742599895</t>
        </is>
      </c>
      <c r="BC112" t="inlineStr">
        <is>
          <t>32285005609036</t>
        </is>
      </c>
      <c r="BD112" t="inlineStr">
        <is>
          <t>893237258</t>
        </is>
      </c>
    </row>
    <row r="113">
      <c r="A113" t="inlineStr">
        <is>
          <t>No</t>
        </is>
      </c>
      <c r="B113" t="inlineStr">
        <is>
          <t>HM1276 .L46 2006</t>
        </is>
      </c>
      <c r="C113" t="inlineStr">
        <is>
          <t>0                      HM 1276000L  46          2006</t>
        </is>
      </c>
      <c r="D113" t="inlineStr">
        <is>
          <t>Deadly worlds : the emotional costs of globalization / Charles Lemert and Anthony Elliott.</t>
        </is>
      </c>
      <c r="F113" t="inlineStr">
        <is>
          <t>No</t>
        </is>
      </c>
      <c r="G113" t="inlineStr">
        <is>
          <t>1</t>
        </is>
      </c>
      <c r="H113" t="inlineStr">
        <is>
          <t>No</t>
        </is>
      </c>
      <c r="I113" t="inlineStr">
        <is>
          <t>No</t>
        </is>
      </c>
      <c r="J113" t="inlineStr">
        <is>
          <t>0</t>
        </is>
      </c>
      <c r="K113" t="inlineStr">
        <is>
          <t>Lemert, Charles C., 1937-</t>
        </is>
      </c>
      <c r="L113" t="inlineStr">
        <is>
          <t>Lanham, Md. : Rowman &amp; Littlefield, c2006.</t>
        </is>
      </c>
      <c r="M113" t="inlineStr">
        <is>
          <t>2006</t>
        </is>
      </c>
      <c r="O113" t="inlineStr">
        <is>
          <t>eng</t>
        </is>
      </c>
      <c r="P113" t="inlineStr">
        <is>
          <t>mdu</t>
        </is>
      </c>
      <c r="R113" t="inlineStr">
        <is>
          <t xml:space="preserve">HM </t>
        </is>
      </c>
      <c r="S113" t="n">
        <v>1</v>
      </c>
      <c r="T113" t="n">
        <v>1</v>
      </c>
      <c r="U113" t="inlineStr">
        <is>
          <t>2006-05-10</t>
        </is>
      </c>
      <c r="V113" t="inlineStr">
        <is>
          <t>2006-05-10</t>
        </is>
      </c>
      <c r="W113" t="inlineStr">
        <is>
          <t>2006-05-10</t>
        </is>
      </c>
      <c r="X113" t="inlineStr">
        <is>
          <t>2006-05-10</t>
        </is>
      </c>
      <c r="Y113" t="n">
        <v>310</v>
      </c>
      <c r="Z113" t="n">
        <v>247</v>
      </c>
      <c r="AA113" t="n">
        <v>248</v>
      </c>
      <c r="AB113" t="n">
        <v>3</v>
      </c>
      <c r="AC113" t="n">
        <v>3</v>
      </c>
      <c r="AD113" t="n">
        <v>13</v>
      </c>
      <c r="AE113" t="n">
        <v>13</v>
      </c>
      <c r="AF113" t="n">
        <v>3</v>
      </c>
      <c r="AG113" t="n">
        <v>3</v>
      </c>
      <c r="AH113" t="n">
        <v>5</v>
      </c>
      <c r="AI113" t="n">
        <v>5</v>
      </c>
      <c r="AJ113" t="n">
        <v>7</v>
      </c>
      <c r="AK113" t="n">
        <v>7</v>
      </c>
      <c r="AL113" t="n">
        <v>2</v>
      </c>
      <c r="AM113" t="n">
        <v>2</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HYPERLINK("https://creighton-primo.hosted.exlibrisgroup.com/primo-explore/search?tab=default_tab&amp;search_scope=EVERYTHING&amp;vid=01CRU&amp;lang=en_US&amp;offset=0&amp;query=any,contains,991004799119702656","Catalog Record")</f>
        <v/>
      </c>
      <c r="AT113">
        <f>HYPERLINK("http://www.worldcat.org/oclc/60605210","WorldCat Record")</f>
        <v/>
      </c>
      <c r="AU113" t="inlineStr">
        <is>
          <t>46940856:eng</t>
        </is>
      </c>
      <c r="AV113" t="inlineStr">
        <is>
          <t>60605210</t>
        </is>
      </c>
      <c r="AW113" t="inlineStr">
        <is>
          <t>991004799119702656</t>
        </is>
      </c>
      <c r="AX113" t="inlineStr">
        <is>
          <t>991004799119702656</t>
        </is>
      </c>
      <c r="AY113" t="inlineStr">
        <is>
          <t>2262361190002656</t>
        </is>
      </c>
      <c r="AZ113" t="inlineStr">
        <is>
          <t>BOOK</t>
        </is>
      </c>
      <c r="BB113" t="inlineStr">
        <is>
          <t>9780742542389</t>
        </is>
      </c>
      <c r="BC113" t="inlineStr">
        <is>
          <t>32285005186241</t>
        </is>
      </c>
      <c r="BD113" t="inlineStr">
        <is>
          <t>893700681</t>
        </is>
      </c>
    </row>
    <row r="114">
      <c r="A114" t="inlineStr">
        <is>
          <t>No</t>
        </is>
      </c>
      <c r="B114" t="inlineStr">
        <is>
          <t>HM1281 .A74 2006</t>
        </is>
      </c>
      <c r="C114" t="inlineStr">
        <is>
          <t>0                      HM 1281000A  74          2006</t>
        </is>
      </c>
      <c r="D114" t="inlineStr">
        <is>
          <t>Enough blood shed : 101 solutions to violence, terror and war / Mary-Wynne Ashford ; with Guy Dauncey ; foreword by Arun Gandhi.</t>
        </is>
      </c>
      <c r="F114" t="inlineStr">
        <is>
          <t>No</t>
        </is>
      </c>
      <c r="G114" t="inlineStr">
        <is>
          <t>1</t>
        </is>
      </c>
      <c r="H114" t="inlineStr">
        <is>
          <t>No</t>
        </is>
      </c>
      <c r="I114" t="inlineStr">
        <is>
          <t>No</t>
        </is>
      </c>
      <c r="J114" t="inlineStr">
        <is>
          <t>0</t>
        </is>
      </c>
      <c r="K114" t="inlineStr">
        <is>
          <t>Ashford, Mary-Wynne.</t>
        </is>
      </c>
      <c r="L114" t="inlineStr">
        <is>
          <t>Gabriola, B.C. : New Society Publishers, 2006.</t>
        </is>
      </c>
      <c r="M114" t="inlineStr">
        <is>
          <t>2006</t>
        </is>
      </c>
      <c r="O114" t="inlineStr">
        <is>
          <t>eng</t>
        </is>
      </c>
      <c r="P114" t="inlineStr">
        <is>
          <t>bcc</t>
        </is>
      </c>
      <c r="R114" t="inlineStr">
        <is>
          <t xml:space="preserve">HM </t>
        </is>
      </c>
      <c r="S114" t="n">
        <v>1</v>
      </c>
      <c r="T114" t="n">
        <v>1</v>
      </c>
      <c r="U114" t="inlineStr">
        <is>
          <t>2006-09-12</t>
        </is>
      </c>
      <c r="V114" t="inlineStr">
        <is>
          <t>2006-09-12</t>
        </is>
      </c>
      <c r="W114" t="inlineStr">
        <is>
          <t>2006-09-12</t>
        </is>
      </c>
      <c r="X114" t="inlineStr">
        <is>
          <t>2006-09-12</t>
        </is>
      </c>
      <c r="Y114" t="n">
        <v>161</v>
      </c>
      <c r="Z114" t="n">
        <v>110</v>
      </c>
      <c r="AA114" t="n">
        <v>500</v>
      </c>
      <c r="AB114" t="n">
        <v>1</v>
      </c>
      <c r="AC114" t="n">
        <v>5</v>
      </c>
      <c r="AD114" t="n">
        <v>4</v>
      </c>
      <c r="AE114" t="n">
        <v>24</v>
      </c>
      <c r="AF114" t="n">
        <v>1</v>
      </c>
      <c r="AG114" t="n">
        <v>8</v>
      </c>
      <c r="AH114" t="n">
        <v>2</v>
      </c>
      <c r="AI114" t="n">
        <v>7</v>
      </c>
      <c r="AJ114" t="n">
        <v>4</v>
      </c>
      <c r="AK114" t="n">
        <v>9</v>
      </c>
      <c r="AL114" t="n">
        <v>0</v>
      </c>
      <c r="AM114" t="n">
        <v>4</v>
      </c>
      <c r="AN114" t="n">
        <v>0</v>
      </c>
      <c r="AO114" t="n">
        <v>1</v>
      </c>
      <c r="AP114" t="inlineStr">
        <is>
          <t>No</t>
        </is>
      </c>
      <c r="AQ114" t="inlineStr">
        <is>
          <t>No</t>
        </is>
      </c>
      <c r="AS114">
        <f>HYPERLINK("https://creighton-primo.hosted.exlibrisgroup.com/primo-explore/search?tab=default_tab&amp;search_scope=EVERYTHING&amp;vid=01CRU&amp;lang=en_US&amp;offset=0&amp;query=any,contains,991004906869702656","Catalog Record")</f>
        <v/>
      </c>
      <c r="AT114">
        <f>HYPERLINK("http://www.worldcat.org/oclc/70689175","WorldCat Record")</f>
        <v/>
      </c>
      <c r="AU114" t="inlineStr">
        <is>
          <t>865276836:eng</t>
        </is>
      </c>
      <c r="AV114" t="inlineStr">
        <is>
          <t>70689175</t>
        </is>
      </c>
      <c r="AW114" t="inlineStr">
        <is>
          <t>991004906869702656</t>
        </is>
      </c>
      <c r="AX114" t="inlineStr">
        <is>
          <t>991004906869702656</t>
        </is>
      </c>
      <c r="AY114" t="inlineStr">
        <is>
          <t>2254886910002656</t>
        </is>
      </c>
      <c r="AZ114" t="inlineStr">
        <is>
          <t>BOOK</t>
        </is>
      </c>
      <c r="BB114" t="inlineStr">
        <is>
          <t>9780865715271</t>
        </is>
      </c>
      <c r="BC114" t="inlineStr">
        <is>
          <t>32285005222715</t>
        </is>
      </c>
      <c r="BD114" t="inlineStr">
        <is>
          <t>893424328</t>
        </is>
      </c>
    </row>
    <row r="115">
      <c r="A115" t="inlineStr">
        <is>
          <t>No</t>
        </is>
      </c>
      <c r="B115" t="inlineStr">
        <is>
          <t>HM1281 .C49 2004</t>
        </is>
      </c>
      <c r="C115" t="inlineStr">
        <is>
          <t>0                      HM 1281000C  49          2004</t>
        </is>
      </c>
      <c r="D115" t="inlineStr">
        <is>
          <t>American nonviolence : the history of an idea / Ira Chernus.</t>
        </is>
      </c>
      <c r="F115" t="inlineStr">
        <is>
          <t>No</t>
        </is>
      </c>
      <c r="G115" t="inlineStr">
        <is>
          <t>1</t>
        </is>
      </c>
      <c r="H115" t="inlineStr">
        <is>
          <t>No</t>
        </is>
      </c>
      <c r="I115" t="inlineStr">
        <is>
          <t>No</t>
        </is>
      </c>
      <c r="J115" t="inlineStr">
        <is>
          <t>0</t>
        </is>
      </c>
      <c r="K115" t="inlineStr">
        <is>
          <t>Chernus, Ira, 1946-</t>
        </is>
      </c>
      <c r="L115" t="inlineStr">
        <is>
          <t>Maryknoll, N.Y. : Orbis Books, 2004.</t>
        </is>
      </c>
      <c r="M115" t="inlineStr">
        <is>
          <t>2004</t>
        </is>
      </c>
      <c r="O115" t="inlineStr">
        <is>
          <t>eng</t>
        </is>
      </c>
      <c r="P115" t="inlineStr">
        <is>
          <t>nyu</t>
        </is>
      </c>
      <c r="R115" t="inlineStr">
        <is>
          <t xml:space="preserve">HM </t>
        </is>
      </c>
      <c r="S115" t="n">
        <v>8</v>
      </c>
      <c r="T115" t="n">
        <v>8</v>
      </c>
      <c r="U115" t="inlineStr">
        <is>
          <t>2010-12-03</t>
        </is>
      </c>
      <c r="V115" t="inlineStr">
        <is>
          <t>2010-12-03</t>
        </is>
      </c>
      <c r="W115" t="inlineStr">
        <is>
          <t>2005-01-04</t>
        </is>
      </c>
      <c r="X115" t="inlineStr">
        <is>
          <t>2005-01-04</t>
        </is>
      </c>
      <c r="Y115" t="n">
        <v>471</v>
      </c>
      <c r="Z115" t="n">
        <v>425</v>
      </c>
      <c r="AA115" t="n">
        <v>441</v>
      </c>
      <c r="AB115" t="n">
        <v>4</v>
      </c>
      <c r="AC115" t="n">
        <v>4</v>
      </c>
      <c r="AD115" t="n">
        <v>27</v>
      </c>
      <c r="AE115" t="n">
        <v>27</v>
      </c>
      <c r="AF115" t="n">
        <v>9</v>
      </c>
      <c r="AG115" t="n">
        <v>9</v>
      </c>
      <c r="AH115" t="n">
        <v>6</v>
      </c>
      <c r="AI115" t="n">
        <v>6</v>
      </c>
      <c r="AJ115" t="n">
        <v>16</v>
      </c>
      <c r="AK115" t="n">
        <v>16</v>
      </c>
      <c r="AL115" t="n">
        <v>3</v>
      </c>
      <c r="AM115" t="n">
        <v>3</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HYPERLINK("https://creighton-primo.hosted.exlibrisgroup.com/primo-explore/search?tab=default_tab&amp;search_scope=EVERYTHING&amp;vid=01CRU&amp;lang=en_US&amp;offset=0&amp;query=any,contains,991004403979702656","Catalog Record")</f>
        <v/>
      </c>
      <c r="AT115">
        <f>HYPERLINK("http://www.worldcat.org/oclc/54803641","WorldCat Record")</f>
        <v/>
      </c>
      <c r="AU115" t="inlineStr">
        <is>
          <t>1084990:eng</t>
        </is>
      </c>
      <c r="AV115" t="inlineStr">
        <is>
          <t>54803641</t>
        </is>
      </c>
      <c r="AW115" t="inlineStr">
        <is>
          <t>991004403979702656</t>
        </is>
      </c>
      <c r="AX115" t="inlineStr">
        <is>
          <t>991004403979702656</t>
        </is>
      </c>
      <c r="AY115" t="inlineStr">
        <is>
          <t>2266217810002656</t>
        </is>
      </c>
      <c r="AZ115" t="inlineStr">
        <is>
          <t>BOOK</t>
        </is>
      </c>
      <c r="BB115" t="inlineStr">
        <is>
          <t>9781570755477</t>
        </is>
      </c>
      <c r="BC115" t="inlineStr">
        <is>
          <t>32285005018311</t>
        </is>
      </c>
      <c r="BD115" t="inlineStr">
        <is>
          <t>893241382</t>
        </is>
      </c>
    </row>
    <row r="116">
      <c r="A116" t="inlineStr">
        <is>
          <t>No</t>
        </is>
      </c>
      <c r="B116" t="inlineStr">
        <is>
          <t>HM1281 .G45 2007</t>
        </is>
      </c>
      <c r="C116" t="inlineStr">
        <is>
          <t>0                      HM 1281000G  45          2007</t>
        </is>
      </c>
      <c r="D116" t="inlineStr">
        <is>
          <t>How nonviolence protects the state / Peter Gelderloos.</t>
        </is>
      </c>
      <c r="F116" t="inlineStr">
        <is>
          <t>No</t>
        </is>
      </c>
      <c r="G116" t="inlineStr">
        <is>
          <t>1</t>
        </is>
      </c>
      <c r="H116" t="inlineStr">
        <is>
          <t>No</t>
        </is>
      </c>
      <c r="I116" t="inlineStr">
        <is>
          <t>No</t>
        </is>
      </c>
      <c r="J116" t="inlineStr">
        <is>
          <t>0</t>
        </is>
      </c>
      <c r="K116" t="inlineStr">
        <is>
          <t>Gelderloos, Peter.</t>
        </is>
      </c>
      <c r="L116" t="inlineStr">
        <is>
          <t>Cambridge, Mass. : South End Press, c2007.</t>
        </is>
      </c>
      <c r="M116" t="inlineStr">
        <is>
          <t>2007</t>
        </is>
      </c>
      <c r="O116" t="inlineStr">
        <is>
          <t>eng</t>
        </is>
      </c>
      <c r="P116" t="inlineStr">
        <is>
          <t>mau</t>
        </is>
      </c>
      <c r="R116" t="inlineStr">
        <is>
          <t xml:space="preserve">HM </t>
        </is>
      </c>
      <c r="S116" t="n">
        <v>2</v>
      </c>
      <c r="T116" t="n">
        <v>2</v>
      </c>
      <c r="U116" t="inlineStr">
        <is>
          <t>2009-12-03</t>
        </is>
      </c>
      <c r="V116" t="inlineStr">
        <is>
          <t>2009-12-03</t>
        </is>
      </c>
      <c r="W116" t="inlineStr">
        <is>
          <t>2008-02-06</t>
        </is>
      </c>
      <c r="X116" t="inlineStr">
        <is>
          <t>2008-02-06</t>
        </is>
      </c>
      <c r="Y116" t="n">
        <v>240</v>
      </c>
      <c r="Z116" t="n">
        <v>206</v>
      </c>
      <c r="AA116" t="n">
        <v>225</v>
      </c>
      <c r="AB116" t="n">
        <v>2</v>
      </c>
      <c r="AC116" t="n">
        <v>2</v>
      </c>
      <c r="AD116" t="n">
        <v>11</v>
      </c>
      <c r="AE116" t="n">
        <v>11</v>
      </c>
      <c r="AF116" t="n">
        <v>3</v>
      </c>
      <c r="AG116" t="n">
        <v>3</v>
      </c>
      <c r="AH116" t="n">
        <v>5</v>
      </c>
      <c r="AI116" t="n">
        <v>5</v>
      </c>
      <c r="AJ116" t="n">
        <v>6</v>
      </c>
      <c r="AK116" t="n">
        <v>6</v>
      </c>
      <c r="AL116" t="n">
        <v>1</v>
      </c>
      <c r="AM116" t="n">
        <v>1</v>
      </c>
      <c r="AN116" t="n">
        <v>0</v>
      </c>
      <c r="AO116" t="n">
        <v>0</v>
      </c>
      <c r="AP116" t="inlineStr">
        <is>
          <t>No</t>
        </is>
      </c>
      <c r="AQ116" t="inlineStr">
        <is>
          <t>Yes</t>
        </is>
      </c>
      <c r="AR116">
        <f>HYPERLINK("http://catalog.hathitrust.org/Record/007147954","HathiTrust Record")</f>
        <v/>
      </c>
      <c r="AS116">
        <f>HYPERLINK("https://creighton-primo.hosted.exlibrisgroup.com/primo-explore/search?tab=default_tab&amp;search_scope=EVERYTHING&amp;vid=01CRU&amp;lang=en_US&amp;offset=0&amp;query=any,contains,991005173109702656","Catalog Record")</f>
        <v/>
      </c>
      <c r="AT116">
        <f>HYPERLINK("http://www.worldcat.org/oclc/77830471","WorldCat Record")</f>
        <v/>
      </c>
      <c r="AU116" t="inlineStr">
        <is>
          <t>48403743:eng</t>
        </is>
      </c>
      <c r="AV116" t="inlineStr">
        <is>
          <t>77830471</t>
        </is>
      </c>
      <c r="AW116" t="inlineStr">
        <is>
          <t>991005173109702656</t>
        </is>
      </c>
      <c r="AX116" t="inlineStr">
        <is>
          <t>991005173109702656</t>
        </is>
      </c>
      <c r="AY116" t="inlineStr">
        <is>
          <t>2262140650002656</t>
        </is>
      </c>
      <c r="AZ116" t="inlineStr">
        <is>
          <t>BOOK</t>
        </is>
      </c>
      <c r="BB116" t="inlineStr">
        <is>
          <t>9780896087729</t>
        </is>
      </c>
      <c r="BC116" t="inlineStr">
        <is>
          <t>32285005392484</t>
        </is>
      </c>
      <c r="BD116" t="inlineStr">
        <is>
          <t>893722811</t>
        </is>
      </c>
    </row>
    <row r="117">
      <c r="A117" t="inlineStr">
        <is>
          <t>No</t>
        </is>
      </c>
      <c r="B117" t="inlineStr">
        <is>
          <t>HM1281 .S74 2000</t>
        </is>
      </c>
      <c r="C117" t="inlineStr">
        <is>
          <t>0                      HM 1281000S  74          2000</t>
        </is>
      </c>
      <c r="D117" t="inlineStr">
        <is>
          <t>Gandhi's dilemma : nonviolent principles and nationalist power / Manfred B. Steger.</t>
        </is>
      </c>
      <c r="F117" t="inlineStr">
        <is>
          <t>No</t>
        </is>
      </c>
      <c r="G117" t="inlineStr">
        <is>
          <t>1</t>
        </is>
      </c>
      <c r="H117" t="inlineStr">
        <is>
          <t>No</t>
        </is>
      </c>
      <c r="I117" t="inlineStr">
        <is>
          <t>No</t>
        </is>
      </c>
      <c r="J117" t="inlineStr">
        <is>
          <t>0</t>
        </is>
      </c>
      <c r="K117" t="inlineStr">
        <is>
          <t>Steger, Manfred B., 1961-</t>
        </is>
      </c>
      <c r="L117" t="inlineStr">
        <is>
          <t>New York : St. Martin's Press, 2000.</t>
        </is>
      </c>
      <c r="M117" t="inlineStr">
        <is>
          <t>2000</t>
        </is>
      </c>
      <c r="N117" t="inlineStr">
        <is>
          <t>1st ed.</t>
        </is>
      </c>
      <c r="O117" t="inlineStr">
        <is>
          <t>eng</t>
        </is>
      </c>
      <c r="P117" t="inlineStr">
        <is>
          <t>nyu</t>
        </is>
      </c>
      <c r="R117" t="inlineStr">
        <is>
          <t xml:space="preserve">HM </t>
        </is>
      </c>
      <c r="S117" t="n">
        <v>5</v>
      </c>
      <c r="T117" t="n">
        <v>5</v>
      </c>
      <c r="U117" t="inlineStr">
        <is>
          <t>2010-04-20</t>
        </is>
      </c>
      <c r="V117" t="inlineStr">
        <is>
          <t>2010-04-20</t>
        </is>
      </c>
      <c r="W117" t="inlineStr">
        <is>
          <t>2002-02-20</t>
        </is>
      </c>
      <c r="X117" t="inlineStr">
        <is>
          <t>2002-02-20</t>
        </is>
      </c>
      <c r="Y117" t="n">
        <v>442</v>
      </c>
      <c r="Z117" t="n">
        <v>376</v>
      </c>
      <c r="AA117" t="n">
        <v>382</v>
      </c>
      <c r="AB117" t="n">
        <v>4</v>
      </c>
      <c r="AC117" t="n">
        <v>4</v>
      </c>
      <c r="AD117" t="n">
        <v>22</v>
      </c>
      <c r="AE117" t="n">
        <v>22</v>
      </c>
      <c r="AF117" t="n">
        <v>7</v>
      </c>
      <c r="AG117" t="n">
        <v>7</v>
      </c>
      <c r="AH117" t="n">
        <v>7</v>
      </c>
      <c r="AI117" t="n">
        <v>7</v>
      </c>
      <c r="AJ117" t="n">
        <v>12</v>
      </c>
      <c r="AK117" t="n">
        <v>12</v>
      </c>
      <c r="AL117" t="n">
        <v>3</v>
      </c>
      <c r="AM117" t="n">
        <v>3</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HYPERLINK("https://creighton-primo.hosted.exlibrisgroup.com/primo-explore/search?tab=default_tab&amp;search_scope=EVERYTHING&amp;vid=01CRU&amp;lang=en_US&amp;offset=0&amp;query=any,contains,991003729819702656","Catalog Record")</f>
        <v/>
      </c>
      <c r="AT117">
        <f>HYPERLINK("http://www.worldcat.org/oclc/43884894","WorldCat Record")</f>
        <v/>
      </c>
      <c r="AU117" t="inlineStr">
        <is>
          <t>836987140:eng</t>
        </is>
      </c>
      <c r="AV117" t="inlineStr">
        <is>
          <t>43884894</t>
        </is>
      </c>
      <c r="AW117" t="inlineStr">
        <is>
          <t>991003729819702656</t>
        </is>
      </c>
      <c r="AX117" t="inlineStr">
        <is>
          <t>991003729819702656</t>
        </is>
      </c>
      <c r="AY117" t="inlineStr">
        <is>
          <t>2256786290002656</t>
        </is>
      </c>
      <c r="AZ117" t="inlineStr">
        <is>
          <t>BOOK</t>
        </is>
      </c>
      <c r="BB117" t="inlineStr">
        <is>
          <t>9780312221775</t>
        </is>
      </c>
      <c r="BC117" t="inlineStr">
        <is>
          <t>32285004455647</t>
        </is>
      </c>
      <c r="BD117" t="inlineStr">
        <is>
          <t>893505927</t>
        </is>
      </c>
    </row>
    <row r="118">
      <c r="A118" t="inlineStr">
        <is>
          <t>No</t>
        </is>
      </c>
      <c r="B118" t="inlineStr">
        <is>
          <t>HM13 .F46 1989</t>
        </is>
      </c>
      <c r="C118" t="inlineStr">
        <is>
          <t>0                      HM 0013000F  46          1989</t>
        </is>
      </c>
      <c r="D118" t="inlineStr">
        <is>
          <t>Feminism and sociological theory / edited by Ruth A. Wallace.</t>
        </is>
      </c>
      <c r="F118" t="inlineStr">
        <is>
          <t>No</t>
        </is>
      </c>
      <c r="G118" t="inlineStr">
        <is>
          <t>1</t>
        </is>
      </c>
      <c r="H118" t="inlineStr">
        <is>
          <t>No</t>
        </is>
      </c>
      <c r="I118" t="inlineStr">
        <is>
          <t>No</t>
        </is>
      </c>
      <c r="J118" t="inlineStr">
        <is>
          <t>0</t>
        </is>
      </c>
      <c r="L118" t="inlineStr">
        <is>
          <t>Newbury Park, Calif. : Sage Publications, c1989.</t>
        </is>
      </c>
      <c r="M118" t="inlineStr">
        <is>
          <t>1989</t>
        </is>
      </c>
      <c r="O118" t="inlineStr">
        <is>
          <t>eng</t>
        </is>
      </c>
      <c r="P118" t="inlineStr">
        <is>
          <t>cau</t>
        </is>
      </c>
      <c r="Q118" t="inlineStr">
        <is>
          <t>Key issues in sociological theory ; 4</t>
        </is>
      </c>
      <c r="R118" t="inlineStr">
        <is>
          <t xml:space="preserve">HM </t>
        </is>
      </c>
      <c r="S118" t="n">
        <v>5</v>
      </c>
      <c r="T118" t="n">
        <v>5</v>
      </c>
      <c r="U118" t="inlineStr">
        <is>
          <t>1995-10-27</t>
        </is>
      </c>
      <c r="V118" t="inlineStr">
        <is>
          <t>1995-10-27</t>
        </is>
      </c>
      <c r="W118" t="inlineStr">
        <is>
          <t>1990-08-01</t>
        </is>
      </c>
      <c r="X118" t="inlineStr">
        <is>
          <t>1990-08-01</t>
        </is>
      </c>
      <c r="Y118" t="n">
        <v>594</v>
      </c>
      <c r="Z118" t="n">
        <v>393</v>
      </c>
      <c r="AA118" t="n">
        <v>400</v>
      </c>
      <c r="AB118" t="n">
        <v>4</v>
      </c>
      <c r="AC118" t="n">
        <v>4</v>
      </c>
      <c r="AD118" t="n">
        <v>24</v>
      </c>
      <c r="AE118" t="n">
        <v>24</v>
      </c>
      <c r="AF118" t="n">
        <v>9</v>
      </c>
      <c r="AG118" t="n">
        <v>9</v>
      </c>
      <c r="AH118" t="n">
        <v>6</v>
      </c>
      <c r="AI118" t="n">
        <v>6</v>
      </c>
      <c r="AJ118" t="n">
        <v>14</v>
      </c>
      <c r="AK118" t="n">
        <v>14</v>
      </c>
      <c r="AL118" t="n">
        <v>3</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HYPERLINK("https://creighton-primo.hosted.exlibrisgroup.com/primo-explore/search?tab=default_tab&amp;search_scope=EVERYTHING&amp;vid=01CRU&amp;lang=en_US&amp;offset=0&amp;query=any,contains,991001497939702656","Catalog Record")</f>
        <v/>
      </c>
      <c r="AT118">
        <f>HYPERLINK("http://www.worldcat.org/oclc/19777800","WorldCat Record")</f>
        <v/>
      </c>
      <c r="AU118" t="inlineStr">
        <is>
          <t>498321828:eng</t>
        </is>
      </c>
      <c r="AV118" t="inlineStr">
        <is>
          <t>19777800</t>
        </is>
      </c>
      <c r="AW118" t="inlineStr">
        <is>
          <t>991001497939702656</t>
        </is>
      </c>
      <c r="AX118" t="inlineStr">
        <is>
          <t>991001497939702656</t>
        </is>
      </c>
      <c r="AY118" t="inlineStr">
        <is>
          <t>2266198910002656</t>
        </is>
      </c>
      <c r="AZ118" t="inlineStr">
        <is>
          <t>BOOK</t>
        </is>
      </c>
      <c r="BB118" t="inlineStr">
        <is>
          <t>9780803933989</t>
        </is>
      </c>
      <c r="BC118" t="inlineStr">
        <is>
          <t>32285000241678</t>
        </is>
      </c>
      <c r="BD118" t="inlineStr">
        <is>
          <t>893703067</t>
        </is>
      </c>
    </row>
    <row r="119">
      <c r="A119" t="inlineStr">
        <is>
          <t>No</t>
        </is>
      </c>
      <c r="B119" t="inlineStr">
        <is>
          <t>HM13 .S57</t>
        </is>
      </c>
      <c r="C119" t="inlineStr">
        <is>
          <t>0                      HM 0013000S  57</t>
        </is>
      </c>
      <c r="D119" t="inlineStr">
        <is>
          <t>Sociological traditions from generation to generation : glimpses of the American experience / edited by Robert K. Merton and Matilda White Riley.</t>
        </is>
      </c>
      <c r="F119" t="inlineStr">
        <is>
          <t>No</t>
        </is>
      </c>
      <c r="G119" t="inlineStr">
        <is>
          <t>1</t>
        </is>
      </c>
      <c r="H119" t="inlineStr">
        <is>
          <t>No</t>
        </is>
      </c>
      <c r="I119" t="inlineStr">
        <is>
          <t>No</t>
        </is>
      </c>
      <c r="J119" t="inlineStr">
        <is>
          <t>0</t>
        </is>
      </c>
      <c r="L119" t="inlineStr">
        <is>
          <t>Norwood, N.J. : Ablex Pub. Corp., c1980.</t>
        </is>
      </c>
      <c r="M119" t="inlineStr">
        <is>
          <t>1980</t>
        </is>
      </c>
      <c r="O119" t="inlineStr">
        <is>
          <t>eng</t>
        </is>
      </c>
      <c r="P119" t="inlineStr">
        <is>
          <t>nju</t>
        </is>
      </c>
      <c r="Q119" t="inlineStr">
        <is>
          <t>Modern sociology</t>
        </is>
      </c>
      <c r="R119" t="inlineStr">
        <is>
          <t xml:space="preserve">HM </t>
        </is>
      </c>
      <c r="S119" t="n">
        <v>2</v>
      </c>
      <c r="T119" t="n">
        <v>2</v>
      </c>
      <c r="U119" t="inlineStr">
        <is>
          <t>2003-06-30</t>
        </is>
      </c>
      <c r="V119" t="inlineStr">
        <is>
          <t>2003-06-30</t>
        </is>
      </c>
      <c r="W119" t="inlineStr">
        <is>
          <t>1992-07-21</t>
        </is>
      </c>
      <c r="X119" t="inlineStr">
        <is>
          <t>1992-07-21</t>
        </is>
      </c>
      <c r="Y119" t="n">
        <v>491</v>
      </c>
      <c r="Z119" t="n">
        <v>386</v>
      </c>
      <c r="AA119" t="n">
        <v>387</v>
      </c>
      <c r="AB119" t="n">
        <v>4</v>
      </c>
      <c r="AC119" t="n">
        <v>4</v>
      </c>
      <c r="AD119" t="n">
        <v>22</v>
      </c>
      <c r="AE119" t="n">
        <v>22</v>
      </c>
      <c r="AF119" t="n">
        <v>10</v>
      </c>
      <c r="AG119" t="n">
        <v>10</v>
      </c>
      <c r="AH119" t="n">
        <v>4</v>
      </c>
      <c r="AI119" t="n">
        <v>4</v>
      </c>
      <c r="AJ119" t="n">
        <v>11</v>
      </c>
      <c r="AK119" t="n">
        <v>11</v>
      </c>
      <c r="AL119" t="n">
        <v>3</v>
      </c>
      <c r="AM119" t="n">
        <v>3</v>
      </c>
      <c r="AN119" t="n">
        <v>0</v>
      </c>
      <c r="AO119" t="n">
        <v>0</v>
      </c>
      <c r="AP119" t="inlineStr">
        <is>
          <t>No</t>
        </is>
      </c>
      <c r="AQ119" t="inlineStr">
        <is>
          <t>Yes</t>
        </is>
      </c>
      <c r="AR119">
        <f>HYPERLINK("http://catalog.hathitrust.org/Record/000726118","HathiTrust Record")</f>
        <v/>
      </c>
      <c r="AS119">
        <f>HYPERLINK("https://creighton-primo.hosted.exlibrisgroup.com/primo-explore/search?tab=default_tab&amp;search_scope=EVERYTHING&amp;vid=01CRU&amp;lang=en_US&amp;offset=0&amp;query=any,contains,991004884339702656","Catalog Record")</f>
        <v/>
      </c>
      <c r="AT119">
        <f>HYPERLINK("http://www.worldcat.org/oclc/5830726","WorldCat Record")</f>
        <v/>
      </c>
      <c r="AU119" t="inlineStr">
        <is>
          <t>909686408:eng</t>
        </is>
      </c>
      <c r="AV119" t="inlineStr">
        <is>
          <t>5830726</t>
        </is>
      </c>
      <c r="AW119" t="inlineStr">
        <is>
          <t>991004884339702656</t>
        </is>
      </c>
      <c r="AX119" t="inlineStr">
        <is>
          <t>991004884339702656</t>
        </is>
      </c>
      <c r="AY119" t="inlineStr">
        <is>
          <t>2260685910002656</t>
        </is>
      </c>
      <c r="AZ119" t="inlineStr">
        <is>
          <t>BOOK</t>
        </is>
      </c>
      <c r="BB119" t="inlineStr">
        <is>
          <t>9780893910341</t>
        </is>
      </c>
      <c r="BC119" t="inlineStr">
        <is>
          <t>32285001193159</t>
        </is>
      </c>
      <c r="BD119" t="inlineStr">
        <is>
          <t>893807580</t>
        </is>
      </c>
    </row>
    <row r="120">
      <c r="A120" t="inlineStr">
        <is>
          <t>No</t>
        </is>
      </c>
      <c r="B120" t="inlineStr">
        <is>
          <t>HM131 .A7</t>
        </is>
      </c>
      <c r="C120" t="inlineStr">
        <is>
          <t>0                      HM 0131000A  7</t>
        </is>
      </c>
      <c r="D120" t="inlineStr">
        <is>
          <t>Interpersonal competence and organizational effectiveness. With a chapter by Roger Harrison.</t>
        </is>
      </c>
      <c r="F120" t="inlineStr">
        <is>
          <t>No</t>
        </is>
      </c>
      <c r="G120" t="inlineStr">
        <is>
          <t>1</t>
        </is>
      </c>
      <c r="H120" t="inlineStr">
        <is>
          <t>No</t>
        </is>
      </c>
      <c r="I120" t="inlineStr">
        <is>
          <t>No</t>
        </is>
      </c>
      <c r="J120" t="inlineStr">
        <is>
          <t>0</t>
        </is>
      </c>
      <c r="K120" t="inlineStr">
        <is>
          <t>Argyris, Chris, 1923-2013.</t>
        </is>
      </c>
      <c r="L120" t="inlineStr">
        <is>
          <t>Homewood, Ill., Dorsey Press, 1962.</t>
        </is>
      </c>
      <c r="M120" t="inlineStr">
        <is>
          <t>1962</t>
        </is>
      </c>
      <c r="O120" t="inlineStr">
        <is>
          <t>eng</t>
        </is>
      </c>
      <c r="P120" t="inlineStr">
        <is>
          <t>ilu</t>
        </is>
      </c>
      <c r="Q120" t="inlineStr">
        <is>
          <t>The Irwin-Dorsey series in behavioral science in business</t>
        </is>
      </c>
      <c r="R120" t="inlineStr">
        <is>
          <t xml:space="preserve">HM </t>
        </is>
      </c>
      <c r="S120" t="n">
        <v>1</v>
      </c>
      <c r="T120" t="n">
        <v>1</v>
      </c>
      <c r="U120" t="inlineStr">
        <is>
          <t>2002-10-27</t>
        </is>
      </c>
      <c r="V120" t="inlineStr">
        <is>
          <t>2002-10-27</t>
        </is>
      </c>
      <c r="W120" t="inlineStr">
        <is>
          <t>1997-07-29</t>
        </is>
      </c>
      <c r="X120" t="inlineStr">
        <is>
          <t>1997-07-29</t>
        </is>
      </c>
      <c r="Y120" t="n">
        <v>621</v>
      </c>
      <c r="Z120" t="n">
        <v>516</v>
      </c>
      <c r="AA120" t="n">
        <v>538</v>
      </c>
      <c r="AB120" t="n">
        <v>6</v>
      </c>
      <c r="AC120" t="n">
        <v>6</v>
      </c>
      <c r="AD120" t="n">
        <v>34</v>
      </c>
      <c r="AE120" t="n">
        <v>35</v>
      </c>
      <c r="AF120" t="n">
        <v>13</v>
      </c>
      <c r="AG120" t="n">
        <v>13</v>
      </c>
      <c r="AH120" t="n">
        <v>6</v>
      </c>
      <c r="AI120" t="n">
        <v>6</v>
      </c>
      <c r="AJ120" t="n">
        <v>19</v>
      </c>
      <c r="AK120" t="n">
        <v>20</v>
      </c>
      <c r="AL120" t="n">
        <v>5</v>
      </c>
      <c r="AM120" t="n">
        <v>5</v>
      </c>
      <c r="AN120" t="n">
        <v>0</v>
      </c>
      <c r="AO120" t="n">
        <v>0</v>
      </c>
      <c r="AP120" t="inlineStr">
        <is>
          <t>Yes</t>
        </is>
      </c>
      <c r="AQ120" t="inlineStr">
        <is>
          <t>No</t>
        </is>
      </c>
      <c r="AR120">
        <f>HYPERLINK("http://catalog.hathitrust.org/Record/001109239","HathiTrust Record")</f>
        <v/>
      </c>
      <c r="AS120">
        <f>HYPERLINK("https://creighton-primo.hosted.exlibrisgroup.com/primo-explore/search?tab=default_tab&amp;search_scope=EVERYTHING&amp;vid=01CRU&amp;lang=en_US&amp;offset=0&amp;query=any,contains,991001973409702656","Catalog Record")</f>
        <v/>
      </c>
      <c r="AT120">
        <f>HYPERLINK("http://www.worldcat.org/oclc/254242","WorldCat Record")</f>
        <v/>
      </c>
      <c r="AU120" t="inlineStr">
        <is>
          <t>1348936:eng</t>
        </is>
      </c>
      <c r="AV120" t="inlineStr">
        <is>
          <t>254242</t>
        </is>
      </c>
      <c r="AW120" t="inlineStr">
        <is>
          <t>991001973409702656</t>
        </is>
      </c>
      <c r="AX120" t="inlineStr">
        <is>
          <t>991001973409702656</t>
        </is>
      </c>
      <c r="AY120" t="inlineStr">
        <is>
          <t>2269344080002656</t>
        </is>
      </c>
      <c r="AZ120" t="inlineStr">
        <is>
          <t>BOOK</t>
        </is>
      </c>
      <c r="BC120" t="inlineStr">
        <is>
          <t>32285003015251</t>
        </is>
      </c>
      <c r="BD120" t="inlineStr">
        <is>
          <t>893779258</t>
        </is>
      </c>
    </row>
    <row r="121">
      <c r="A121" t="inlineStr">
        <is>
          <t>No</t>
        </is>
      </c>
      <c r="B121" t="inlineStr">
        <is>
          <t>HM131 .A77 1974</t>
        </is>
      </c>
      <c r="C121" t="inlineStr">
        <is>
          <t>0                      HM 0131000A  77          1974</t>
        </is>
      </c>
      <c r="D121" t="inlineStr">
        <is>
          <t>The limits of organization / [by] Kenneth J. Arrow.</t>
        </is>
      </c>
      <c r="F121" t="inlineStr">
        <is>
          <t>No</t>
        </is>
      </c>
      <c r="G121" t="inlineStr">
        <is>
          <t>1</t>
        </is>
      </c>
      <c r="H121" t="inlineStr">
        <is>
          <t>No</t>
        </is>
      </c>
      <c r="I121" t="inlineStr">
        <is>
          <t>No</t>
        </is>
      </c>
      <c r="J121" t="inlineStr">
        <is>
          <t>0</t>
        </is>
      </c>
      <c r="K121" t="inlineStr">
        <is>
          <t>Arrow, Kenneth J. (Kenneth Joseph), 1921-2017.</t>
        </is>
      </c>
      <c r="L121" t="inlineStr">
        <is>
          <t>New York : Norton, [1974]</t>
        </is>
      </c>
      <c r="M121" t="inlineStr">
        <is>
          <t>1974</t>
        </is>
      </c>
      <c r="N121" t="inlineStr">
        <is>
          <t>[1st ed.]</t>
        </is>
      </c>
      <c r="O121" t="inlineStr">
        <is>
          <t>eng</t>
        </is>
      </c>
      <c r="P121" t="inlineStr">
        <is>
          <t>nyu</t>
        </is>
      </c>
      <c r="Q121" t="inlineStr">
        <is>
          <t>The Fels lectures on public policy analysis</t>
        </is>
      </c>
      <c r="R121" t="inlineStr">
        <is>
          <t xml:space="preserve">HM </t>
        </is>
      </c>
      <c r="S121" t="n">
        <v>2</v>
      </c>
      <c r="T121" t="n">
        <v>2</v>
      </c>
      <c r="U121" t="inlineStr">
        <is>
          <t>2005-11-30</t>
        </is>
      </c>
      <c r="V121" t="inlineStr">
        <is>
          <t>2005-11-30</t>
        </is>
      </c>
      <c r="W121" t="inlineStr">
        <is>
          <t>1992-08-19</t>
        </is>
      </c>
      <c r="X121" t="inlineStr">
        <is>
          <t>1992-08-19</t>
        </is>
      </c>
      <c r="Y121" t="n">
        <v>839</v>
      </c>
      <c r="Z121" t="n">
        <v>581</v>
      </c>
      <c r="AA121" t="n">
        <v>588</v>
      </c>
      <c r="AB121" t="n">
        <v>3</v>
      </c>
      <c r="AC121" t="n">
        <v>3</v>
      </c>
      <c r="AD121" t="n">
        <v>27</v>
      </c>
      <c r="AE121" t="n">
        <v>27</v>
      </c>
      <c r="AF121" t="n">
        <v>8</v>
      </c>
      <c r="AG121" t="n">
        <v>8</v>
      </c>
      <c r="AH121" t="n">
        <v>8</v>
      </c>
      <c r="AI121" t="n">
        <v>8</v>
      </c>
      <c r="AJ121" t="n">
        <v>16</v>
      </c>
      <c r="AK121" t="n">
        <v>16</v>
      </c>
      <c r="AL121" t="n">
        <v>2</v>
      </c>
      <c r="AM121" t="n">
        <v>2</v>
      </c>
      <c r="AN121" t="n">
        <v>1</v>
      </c>
      <c r="AO121" t="n">
        <v>1</v>
      </c>
      <c r="AP121" t="inlineStr">
        <is>
          <t>No</t>
        </is>
      </c>
      <c r="AQ121" t="inlineStr">
        <is>
          <t>Yes</t>
        </is>
      </c>
      <c r="AR121">
        <f>HYPERLINK("http://catalog.hathitrust.org/Record/000012869","HathiTrust Record")</f>
        <v/>
      </c>
      <c r="AS121">
        <f>HYPERLINK("https://creighton-primo.hosted.exlibrisgroup.com/primo-explore/search?tab=default_tab&amp;search_scope=EVERYTHING&amp;vid=01CRU&amp;lang=en_US&amp;offset=0&amp;query=any,contains,991003314329702656","Catalog Record")</f>
        <v/>
      </c>
      <c r="AT121">
        <f>HYPERLINK("http://www.worldcat.org/oclc/838803","WorldCat Record")</f>
        <v/>
      </c>
      <c r="AU121" t="inlineStr">
        <is>
          <t>460547:eng</t>
        </is>
      </c>
      <c r="AV121" t="inlineStr">
        <is>
          <t>838803</t>
        </is>
      </c>
      <c r="AW121" t="inlineStr">
        <is>
          <t>991003314329702656</t>
        </is>
      </c>
      <c r="AX121" t="inlineStr">
        <is>
          <t>991003314329702656</t>
        </is>
      </c>
      <c r="AY121" t="inlineStr">
        <is>
          <t>2258987870002656</t>
        </is>
      </c>
      <c r="AZ121" t="inlineStr">
        <is>
          <t>BOOK</t>
        </is>
      </c>
      <c r="BB121" t="inlineStr">
        <is>
          <t>9780393055078</t>
        </is>
      </c>
      <c r="BC121" t="inlineStr">
        <is>
          <t>32285001265676</t>
        </is>
      </c>
      <c r="BD121" t="inlineStr">
        <is>
          <t>893698895</t>
        </is>
      </c>
    </row>
    <row r="122">
      <c r="A122" t="inlineStr">
        <is>
          <t>No</t>
        </is>
      </c>
      <c r="B122" t="inlineStr">
        <is>
          <t>HM131 .B28 1990</t>
        </is>
      </c>
      <c r="C122" t="inlineStr">
        <is>
          <t>0                      HM 0131000B  28          1990</t>
        </is>
      </c>
      <c r="D122" t="inlineStr">
        <is>
          <t>Group beliefs : a conception for analyzing group structure, processes, and behavior / Daniel Bar-Tal.</t>
        </is>
      </c>
      <c r="F122" t="inlineStr">
        <is>
          <t>No</t>
        </is>
      </c>
      <c r="G122" t="inlineStr">
        <is>
          <t>1</t>
        </is>
      </c>
      <c r="H122" t="inlineStr">
        <is>
          <t>No</t>
        </is>
      </c>
      <c r="I122" t="inlineStr">
        <is>
          <t>No</t>
        </is>
      </c>
      <c r="J122" t="inlineStr">
        <is>
          <t>0</t>
        </is>
      </c>
      <c r="K122" t="inlineStr">
        <is>
          <t>Bar-Tal, Daniel.</t>
        </is>
      </c>
      <c r="L122" t="inlineStr">
        <is>
          <t>New York : Springer-Verlag, c1990.</t>
        </is>
      </c>
      <c r="M122" t="inlineStr">
        <is>
          <t>1990</t>
        </is>
      </c>
      <c r="O122" t="inlineStr">
        <is>
          <t>eng</t>
        </is>
      </c>
      <c r="P122" t="inlineStr">
        <is>
          <t>nyu</t>
        </is>
      </c>
      <c r="Q122" t="inlineStr">
        <is>
          <t>Springer series in social psychology</t>
        </is>
      </c>
      <c r="R122" t="inlineStr">
        <is>
          <t xml:space="preserve">HM </t>
        </is>
      </c>
      <c r="S122" t="n">
        <v>4</v>
      </c>
      <c r="T122" t="n">
        <v>4</v>
      </c>
      <c r="U122" t="inlineStr">
        <is>
          <t>1999-04-15</t>
        </is>
      </c>
      <c r="V122" t="inlineStr">
        <is>
          <t>1999-04-15</t>
        </is>
      </c>
      <c r="W122" t="inlineStr">
        <is>
          <t>1992-04-20</t>
        </is>
      </c>
      <c r="X122" t="inlineStr">
        <is>
          <t>1992-04-20</t>
        </is>
      </c>
      <c r="Y122" t="n">
        <v>371</v>
      </c>
      <c r="Z122" t="n">
        <v>267</v>
      </c>
      <c r="AA122" t="n">
        <v>294</v>
      </c>
      <c r="AB122" t="n">
        <v>4</v>
      </c>
      <c r="AC122" t="n">
        <v>4</v>
      </c>
      <c r="AD122" t="n">
        <v>14</v>
      </c>
      <c r="AE122" t="n">
        <v>17</v>
      </c>
      <c r="AF122" t="n">
        <v>2</v>
      </c>
      <c r="AG122" t="n">
        <v>5</v>
      </c>
      <c r="AH122" t="n">
        <v>4</v>
      </c>
      <c r="AI122" t="n">
        <v>5</v>
      </c>
      <c r="AJ122" t="n">
        <v>9</v>
      </c>
      <c r="AK122" t="n">
        <v>10</v>
      </c>
      <c r="AL122" t="n">
        <v>3</v>
      </c>
      <c r="AM122" t="n">
        <v>3</v>
      </c>
      <c r="AN122" t="n">
        <v>0</v>
      </c>
      <c r="AO122" t="n">
        <v>0</v>
      </c>
      <c r="AP122" t="inlineStr">
        <is>
          <t>No</t>
        </is>
      </c>
      <c r="AQ122" t="inlineStr">
        <is>
          <t>Yes</t>
        </is>
      </c>
      <c r="AR122">
        <f>HYPERLINK("http://catalog.hathitrust.org/Record/001839416","HathiTrust Record")</f>
        <v/>
      </c>
      <c r="AS122">
        <f>HYPERLINK("https://creighton-primo.hosted.exlibrisgroup.com/primo-explore/search?tab=default_tab&amp;search_scope=EVERYTHING&amp;vid=01CRU&amp;lang=en_US&amp;offset=0&amp;query=any,contains,991001528099702656","Catalog Record")</f>
        <v/>
      </c>
      <c r="AT122">
        <f>HYPERLINK("http://www.worldcat.org/oclc/20014223","WorldCat Record")</f>
        <v/>
      </c>
      <c r="AU122" t="inlineStr">
        <is>
          <t>890183992:eng</t>
        </is>
      </c>
      <c r="AV122" t="inlineStr">
        <is>
          <t>20014223</t>
        </is>
      </c>
      <c r="AW122" t="inlineStr">
        <is>
          <t>991001528099702656</t>
        </is>
      </c>
      <c r="AX122" t="inlineStr">
        <is>
          <t>991001528099702656</t>
        </is>
      </c>
      <c r="AY122" t="inlineStr">
        <is>
          <t>2264136170002656</t>
        </is>
      </c>
      <c r="AZ122" t="inlineStr">
        <is>
          <t>BOOK</t>
        </is>
      </c>
      <c r="BB122" t="inlineStr">
        <is>
          <t>9783540970859</t>
        </is>
      </c>
      <c r="BC122" t="inlineStr">
        <is>
          <t>32285001035996</t>
        </is>
      </c>
      <c r="BD122" t="inlineStr">
        <is>
          <t>893420388</t>
        </is>
      </c>
    </row>
    <row r="123">
      <c r="A123" t="inlineStr">
        <is>
          <t>No</t>
        </is>
      </c>
      <c r="B123" t="inlineStr">
        <is>
          <t>HM131 .B36</t>
        </is>
      </c>
      <c r="C123" t="inlineStr">
        <is>
          <t>0                      HM 0131000B  36</t>
        </is>
      </c>
      <c r="D123" t="inlineStr">
        <is>
          <t>Interpersonal communication in organizations / Otis W. Baskin, Craig E. Aronoff.</t>
        </is>
      </c>
      <c r="F123" t="inlineStr">
        <is>
          <t>No</t>
        </is>
      </c>
      <c r="G123" t="inlineStr">
        <is>
          <t>1</t>
        </is>
      </c>
      <c r="H123" t="inlineStr">
        <is>
          <t>No</t>
        </is>
      </c>
      <c r="I123" t="inlineStr">
        <is>
          <t>No</t>
        </is>
      </c>
      <c r="J123" t="inlineStr">
        <is>
          <t>0</t>
        </is>
      </c>
      <c r="K123" t="inlineStr">
        <is>
          <t>Baskin, Otis W.</t>
        </is>
      </c>
      <c r="L123" t="inlineStr">
        <is>
          <t>Santa Monica, Calif. : Goodyear Pub. Co., c1980.</t>
        </is>
      </c>
      <c r="M123" t="inlineStr">
        <is>
          <t>1980</t>
        </is>
      </c>
      <c r="O123" t="inlineStr">
        <is>
          <t>eng</t>
        </is>
      </c>
      <c r="P123" t="inlineStr">
        <is>
          <t>cau</t>
        </is>
      </c>
      <c r="Q123" t="inlineStr">
        <is>
          <t>Goodyear series in management and organizations</t>
        </is>
      </c>
      <c r="R123" t="inlineStr">
        <is>
          <t xml:space="preserve">HM </t>
        </is>
      </c>
      <c r="S123" t="n">
        <v>5</v>
      </c>
      <c r="T123" t="n">
        <v>5</v>
      </c>
      <c r="U123" t="inlineStr">
        <is>
          <t>2008-02-20</t>
        </is>
      </c>
      <c r="V123" t="inlineStr">
        <is>
          <t>2008-02-20</t>
        </is>
      </c>
      <c r="W123" t="inlineStr">
        <is>
          <t>1991-12-06</t>
        </is>
      </c>
      <c r="X123" t="inlineStr">
        <is>
          <t>1991-12-06</t>
        </is>
      </c>
      <c r="Y123" t="n">
        <v>265</v>
      </c>
      <c r="Z123" t="n">
        <v>199</v>
      </c>
      <c r="AA123" t="n">
        <v>225</v>
      </c>
      <c r="AB123" t="n">
        <v>1</v>
      </c>
      <c r="AC123" t="n">
        <v>1</v>
      </c>
      <c r="AD123" t="n">
        <v>9</v>
      </c>
      <c r="AE123" t="n">
        <v>10</v>
      </c>
      <c r="AF123" t="n">
        <v>4</v>
      </c>
      <c r="AG123" t="n">
        <v>4</v>
      </c>
      <c r="AH123" t="n">
        <v>2</v>
      </c>
      <c r="AI123" t="n">
        <v>2</v>
      </c>
      <c r="AJ123" t="n">
        <v>5</v>
      </c>
      <c r="AK123" t="n">
        <v>6</v>
      </c>
      <c r="AL123" t="n">
        <v>0</v>
      </c>
      <c r="AM123" t="n">
        <v>0</v>
      </c>
      <c r="AN123" t="n">
        <v>0</v>
      </c>
      <c r="AO123" t="n">
        <v>0</v>
      </c>
      <c r="AP123" t="inlineStr">
        <is>
          <t>No</t>
        </is>
      </c>
      <c r="AQ123" t="inlineStr">
        <is>
          <t>No</t>
        </is>
      </c>
      <c r="AR123">
        <f>HYPERLINK("http://catalog.hathitrust.org/Record/010826320","HathiTrust Record")</f>
        <v/>
      </c>
      <c r="AS123">
        <f>HYPERLINK("https://creighton-primo.hosted.exlibrisgroup.com/primo-explore/search?tab=default_tab&amp;search_scope=EVERYTHING&amp;vid=01CRU&amp;lang=en_US&amp;offset=0&amp;query=any,contains,991004822789702656","Catalog Record")</f>
        <v/>
      </c>
      <c r="AT123">
        <f>HYPERLINK("http://www.worldcat.org/oclc/5336884","WorldCat Record")</f>
        <v/>
      </c>
      <c r="AU123" t="inlineStr">
        <is>
          <t>533716:eng</t>
        </is>
      </c>
      <c r="AV123" t="inlineStr">
        <is>
          <t>5336884</t>
        </is>
      </c>
      <c r="AW123" t="inlineStr">
        <is>
          <t>991004822789702656</t>
        </is>
      </c>
      <c r="AX123" t="inlineStr">
        <is>
          <t>991004822789702656</t>
        </is>
      </c>
      <c r="AY123" t="inlineStr">
        <is>
          <t>2265239800002656</t>
        </is>
      </c>
      <c r="AZ123" t="inlineStr">
        <is>
          <t>BOOK</t>
        </is>
      </c>
      <c r="BB123" t="inlineStr">
        <is>
          <t>9780876204559</t>
        </is>
      </c>
      <c r="BC123" t="inlineStr">
        <is>
          <t>32285000829118</t>
        </is>
      </c>
      <c r="BD123" t="inlineStr">
        <is>
          <t>893344303</t>
        </is>
      </c>
    </row>
    <row r="124">
      <c r="A124" t="inlineStr">
        <is>
          <t>No</t>
        </is>
      </c>
      <c r="B124" t="inlineStr">
        <is>
          <t>HM131 .B375 1987</t>
        </is>
      </c>
      <c r="C124" t="inlineStr">
        <is>
          <t>0                      HM 0131000B  375         1987</t>
        </is>
      </c>
      <c r="D124" t="inlineStr">
        <is>
          <t>The invisible bureaucracy : the unconscious in organizational problem solving / Howell S. Baum.</t>
        </is>
      </c>
      <c r="F124" t="inlineStr">
        <is>
          <t>No</t>
        </is>
      </c>
      <c r="G124" t="inlineStr">
        <is>
          <t>1</t>
        </is>
      </c>
      <c r="H124" t="inlineStr">
        <is>
          <t>No</t>
        </is>
      </c>
      <c r="I124" t="inlineStr">
        <is>
          <t>No</t>
        </is>
      </c>
      <c r="J124" t="inlineStr">
        <is>
          <t>0</t>
        </is>
      </c>
      <c r="K124" t="inlineStr">
        <is>
          <t>Baum, Howell S.</t>
        </is>
      </c>
      <c r="L124" t="inlineStr">
        <is>
          <t>New York : Oxford University Press, 1987.</t>
        </is>
      </c>
      <c r="M124" t="inlineStr">
        <is>
          <t>1987</t>
        </is>
      </c>
      <c r="O124" t="inlineStr">
        <is>
          <t>eng</t>
        </is>
      </c>
      <c r="P124" t="inlineStr">
        <is>
          <t>nyu</t>
        </is>
      </c>
      <c r="R124" t="inlineStr">
        <is>
          <t xml:space="preserve">HM </t>
        </is>
      </c>
      <c r="S124" t="n">
        <v>5</v>
      </c>
      <c r="T124" t="n">
        <v>5</v>
      </c>
      <c r="U124" t="inlineStr">
        <is>
          <t>1999-08-17</t>
        </is>
      </c>
      <c r="V124" t="inlineStr">
        <is>
          <t>1999-08-17</t>
        </is>
      </c>
      <c r="W124" t="inlineStr">
        <is>
          <t>1992-08-19</t>
        </is>
      </c>
      <c r="X124" t="inlineStr">
        <is>
          <t>1992-08-19</t>
        </is>
      </c>
      <c r="Y124" t="n">
        <v>421</v>
      </c>
      <c r="Z124" t="n">
        <v>313</v>
      </c>
      <c r="AA124" t="n">
        <v>320</v>
      </c>
      <c r="AB124" t="n">
        <v>2</v>
      </c>
      <c r="AC124" t="n">
        <v>2</v>
      </c>
      <c r="AD124" t="n">
        <v>13</v>
      </c>
      <c r="AE124" t="n">
        <v>13</v>
      </c>
      <c r="AF124" t="n">
        <v>4</v>
      </c>
      <c r="AG124" t="n">
        <v>4</v>
      </c>
      <c r="AH124" t="n">
        <v>4</v>
      </c>
      <c r="AI124" t="n">
        <v>4</v>
      </c>
      <c r="AJ124" t="n">
        <v>9</v>
      </c>
      <c r="AK124" t="n">
        <v>9</v>
      </c>
      <c r="AL124" t="n">
        <v>1</v>
      </c>
      <c r="AM124" t="n">
        <v>1</v>
      </c>
      <c r="AN124" t="n">
        <v>0</v>
      </c>
      <c r="AO124" t="n">
        <v>0</v>
      </c>
      <c r="AP124" t="inlineStr">
        <is>
          <t>No</t>
        </is>
      </c>
      <c r="AQ124" t="inlineStr">
        <is>
          <t>Yes</t>
        </is>
      </c>
      <c r="AR124">
        <f>HYPERLINK("http://catalog.hathitrust.org/Record/000859046","HathiTrust Record")</f>
        <v/>
      </c>
      <c r="AS124">
        <f>HYPERLINK("https://creighton-primo.hosted.exlibrisgroup.com/primo-explore/search?tab=default_tab&amp;search_scope=EVERYTHING&amp;vid=01CRU&amp;lang=en_US&amp;offset=0&amp;query=any,contains,991000977289702656","Catalog Record")</f>
        <v/>
      </c>
      <c r="AT124">
        <f>HYPERLINK("http://www.worldcat.org/oclc/15016730","WorldCat Record")</f>
        <v/>
      </c>
      <c r="AU124" t="inlineStr">
        <is>
          <t>365615625:eng</t>
        </is>
      </c>
      <c r="AV124" t="inlineStr">
        <is>
          <t>15016730</t>
        </is>
      </c>
      <c r="AW124" t="inlineStr">
        <is>
          <t>991000977289702656</t>
        </is>
      </c>
      <c r="AX124" t="inlineStr">
        <is>
          <t>991000977289702656</t>
        </is>
      </c>
      <c r="AY124" t="inlineStr">
        <is>
          <t>2264336840002656</t>
        </is>
      </c>
      <c r="AZ124" t="inlineStr">
        <is>
          <t>BOOK</t>
        </is>
      </c>
      <c r="BB124" t="inlineStr">
        <is>
          <t>9780195039610</t>
        </is>
      </c>
      <c r="BC124" t="inlineStr">
        <is>
          <t>32285001265684</t>
        </is>
      </c>
      <c r="BD124" t="inlineStr">
        <is>
          <t>893784695</t>
        </is>
      </c>
    </row>
    <row r="125">
      <c r="A125" t="inlineStr">
        <is>
          <t>No</t>
        </is>
      </c>
      <c r="B125" t="inlineStr">
        <is>
          <t>HM131 .B392</t>
        </is>
      </c>
      <c r="C125" t="inlineStr">
        <is>
          <t>0                      HM 0131000B  392</t>
        </is>
      </c>
      <c r="D125" t="inlineStr">
        <is>
          <t>Organizations, theory and analysis / Arthur G. Bedeian.</t>
        </is>
      </c>
      <c r="F125" t="inlineStr">
        <is>
          <t>No</t>
        </is>
      </c>
      <c r="G125" t="inlineStr">
        <is>
          <t>1</t>
        </is>
      </c>
      <c r="H125" t="inlineStr">
        <is>
          <t>No</t>
        </is>
      </c>
      <c r="I125" t="inlineStr">
        <is>
          <t>No</t>
        </is>
      </c>
      <c r="J125" t="inlineStr">
        <is>
          <t>0</t>
        </is>
      </c>
      <c r="K125" t="inlineStr">
        <is>
          <t>Bedeian, Arthur G.</t>
        </is>
      </c>
      <c r="L125" t="inlineStr">
        <is>
          <t>Hinsdale, Ill. : Dryden Press, c1980.</t>
        </is>
      </c>
      <c r="M125" t="inlineStr">
        <is>
          <t>1980</t>
        </is>
      </c>
      <c r="O125" t="inlineStr">
        <is>
          <t>eng</t>
        </is>
      </c>
      <c r="P125" t="inlineStr">
        <is>
          <t>ilu</t>
        </is>
      </c>
      <c r="R125" t="inlineStr">
        <is>
          <t xml:space="preserve">HM </t>
        </is>
      </c>
      <c r="S125" t="n">
        <v>19</v>
      </c>
      <c r="T125" t="n">
        <v>19</v>
      </c>
      <c r="U125" t="inlineStr">
        <is>
          <t>1999-08-06</t>
        </is>
      </c>
      <c r="V125" t="inlineStr">
        <is>
          <t>1999-08-06</t>
        </is>
      </c>
      <c r="W125" t="inlineStr">
        <is>
          <t>1992-01-14</t>
        </is>
      </c>
      <c r="X125" t="inlineStr">
        <is>
          <t>1992-01-14</t>
        </is>
      </c>
      <c r="Y125" t="n">
        <v>211</v>
      </c>
      <c r="Z125" t="n">
        <v>152</v>
      </c>
      <c r="AA125" t="n">
        <v>244</v>
      </c>
      <c r="AB125" t="n">
        <v>2</v>
      </c>
      <c r="AC125" t="n">
        <v>3</v>
      </c>
      <c r="AD125" t="n">
        <v>5</v>
      </c>
      <c r="AE125" t="n">
        <v>10</v>
      </c>
      <c r="AF125" t="n">
        <v>2</v>
      </c>
      <c r="AG125" t="n">
        <v>2</v>
      </c>
      <c r="AH125" t="n">
        <v>1</v>
      </c>
      <c r="AI125" t="n">
        <v>3</v>
      </c>
      <c r="AJ125" t="n">
        <v>2</v>
      </c>
      <c r="AK125" t="n">
        <v>6</v>
      </c>
      <c r="AL125" t="n">
        <v>1</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HYPERLINK("https://creighton-primo.hosted.exlibrisgroup.com/primo-explore/search?tab=default_tab&amp;search_scope=EVERYTHING&amp;vid=01CRU&amp;lang=en_US&amp;offset=0&amp;query=any,contains,991005009939702656","Catalog Record")</f>
        <v/>
      </c>
      <c r="AT125">
        <f>HYPERLINK("http://www.worldcat.org/oclc/6597028","WorldCat Record")</f>
        <v/>
      </c>
      <c r="AU125" t="inlineStr">
        <is>
          <t>2280101494:eng</t>
        </is>
      </c>
      <c r="AV125" t="inlineStr">
        <is>
          <t>6597028</t>
        </is>
      </c>
      <c r="AW125" t="inlineStr">
        <is>
          <t>991005009939702656</t>
        </is>
      </c>
      <c r="AX125" t="inlineStr">
        <is>
          <t>991005009939702656</t>
        </is>
      </c>
      <c r="AY125" t="inlineStr">
        <is>
          <t>2255276960002656</t>
        </is>
      </c>
      <c r="AZ125" t="inlineStr">
        <is>
          <t>BOOK</t>
        </is>
      </c>
      <c r="BB125" t="inlineStr">
        <is>
          <t>9780030529566</t>
        </is>
      </c>
      <c r="BC125" t="inlineStr">
        <is>
          <t>32285000897016</t>
        </is>
      </c>
      <c r="BD125" t="inlineStr">
        <is>
          <t>893513899</t>
        </is>
      </c>
    </row>
    <row r="126">
      <c r="A126" t="inlineStr">
        <is>
          <t>No</t>
        </is>
      </c>
      <c r="B126" t="inlineStr">
        <is>
          <t>HM131 .C7142 1999</t>
        </is>
      </c>
      <c r="C126" t="inlineStr">
        <is>
          <t>0                      HM 0131000C  7142        1999</t>
        </is>
      </c>
      <c r="D126" t="inlineStr">
        <is>
          <t>Celebrating diversity : coexisting in a multicultural society / Benyamin Chetkow-Yannov.</t>
        </is>
      </c>
      <c r="F126" t="inlineStr">
        <is>
          <t>No</t>
        </is>
      </c>
      <c r="G126" t="inlineStr">
        <is>
          <t>1</t>
        </is>
      </c>
      <c r="H126" t="inlineStr">
        <is>
          <t>No</t>
        </is>
      </c>
      <c r="I126" t="inlineStr">
        <is>
          <t>No</t>
        </is>
      </c>
      <c r="J126" t="inlineStr">
        <is>
          <t>0</t>
        </is>
      </c>
      <c r="K126" t="inlineStr">
        <is>
          <t>Chetkow-Yanoov, B.</t>
        </is>
      </c>
      <c r="L126" t="inlineStr">
        <is>
          <t>New York : Haworth Press, c1999.</t>
        </is>
      </c>
      <c r="M126" t="inlineStr">
        <is>
          <t>1999</t>
        </is>
      </c>
      <c r="O126" t="inlineStr">
        <is>
          <t>eng</t>
        </is>
      </c>
      <c r="P126" t="inlineStr">
        <is>
          <t>nyu</t>
        </is>
      </c>
      <c r="R126" t="inlineStr">
        <is>
          <t xml:space="preserve">HM </t>
        </is>
      </c>
      <c r="S126" t="n">
        <v>2</v>
      </c>
      <c r="T126" t="n">
        <v>2</v>
      </c>
      <c r="U126" t="inlineStr">
        <is>
          <t>2001-07-06</t>
        </is>
      </c>
      <c r="V126" t="inlineStr">
        <is>
          <t>2001-07-06</t>
        </is>
      </c>
      <c r="W126" t="inlineStr">
        <is>
          <t>2000-08-14</t>
        </is>
      </c>
      <c r="X126" t="inlineStr">
        <is>
          <t>2000-08-14</t>
        </is>
      </c>
      <c r="Y126" t="n">
        <v>249</v>
      </c>
      <c r="Z126" t="n">
        <v>193</v>
      </c>
      <c r="AA126" t="n">
        <v>212</v>
      </c>
      <c r="AB126" t="n">
        <v>2</v>
      </c>
      <c r="AC126" t="n">
        <v>2</v>
      </c>
      <c r="AD126" t="n">
        <v>8</v>
      </c>
      <c r="AE126" t="n">
        <v>8</v>
      </c>
      <c r="AF126" t="n">
        <v>1</v>
      </c>
      <c r="AG126" t="n">
        <v>1</v>
      </c>
      <c r="AH126" t="n">
        <v>3</v>
      </c>
      <c r="AI126" t="n">
        <v>3</v>
      </c>
      <c r="AJ126" t="n">
        <v>4</v>
      </c>
      <c r="AK126" t="n">
        <v>4</v>
      </c>
      <c r="AL126" t="n">
        <v>1</v>
      </c>
      <c r="AM126" t="n">
        <v>1</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HYPERLINK("https://creighton-primo.hosted.exlibrisgroup.com/primo-explore/search?tab=default_tab&amp;search_scope=EVERYTHING&amp;vid=01CRU&amp;lang=en_US&amp;offset=0&amp;query=any,contains,991003265339702656","Catalog Record")</f>
        <v/>
      </c>
      <c r="AT126">
        <f>HYPERLINK("http://www.worldcat.org/oclc/39849436","WorldCat Record")</f>
        <v/>
      </c>
      <c r="AU126" t="inlineStr">
        <is>
          <t>42705236:eng</t>
        </is>
      </c>
      <c r="AV126" t="inlineStr">
        <is>
          <t>39849436</t>
        </is>
      </c>
      <c r="AW126" t="inlineStr">
        <is>
          <t>991003265339702656</t>
        </is>
      </c>
      <c r="AX126" t="inlineStr">
        <is>
          <t>991003265339702656</t>
        </is>
      </c>
      <c r="AY126" t="inlineStr">
        <is>
          <t>2271713520002656</t>
        </is>
      </c>
      <c r="AZ126" t="inlineStr">
        <is>
          <t>BOOK</t>
        </is>
      </c>
      <c r="BB126" t="inlineStr">
        <is>
          <t>9780789004376</t>
        </is>
      </c>
      <c r="BC126" t="inlineStr">
        <is>
          <t>32285003757340</t>
        </is>
      </c>
      <c r="BD126" t="inlineStr">
        <is>
          <t>893592352</t>
        </is>
      </c>
    </row>
    <row r="127">
      <c r="A127" t="inlineStr">
        <is>
          <t>No</t>
        </is>
      </c>
      <c r="B127" t="inlineStr">
        <is>
          <t>HM131 .C74284 1983</t>
        </is>
      </c>
      <c r="C127" t="inlineStr">
        <is>
          <t>0                      HM 0131000C  74284       1983</t>
        </is>
      </c>
      <c r="D127" t="inlineStr">
        <is>
          <t>Community as a social ideal / edited by Eugene Kamenka.</t>
        </is>
      </c>
      <c r="F127" t="inlineStr">
        <is>
          <t>No</t>
        </is>
      </c>
      <c r="G127" t="inlineStr">
        <is>
          <t>1</t>
        </is>
      </c>
      <c r="H127" t="inlineStr">
        <is>
          <t>No</t>
        </is>
      </c>
      <c r="I127" t="inlineStr">
        <is>
          <t>No</t>
        </is>
      </c>
      <c r="J127" t="inlineStr">
        <is>
          <t>0</t>
        </is>
      </c>
      <c r="L127" t="inlineStr">
        <is>
          <t>New York : St. Martin's Press, 1983, c1982.</t>
        </is>
      </c>
      <c r="M127" t="inlineStr">
        <is>
          <t>1983</t>
        </is>
      </c>
      <c r="O127" t="inlineStr">
        <is>
          <t>eng</t>
        </is>
      </c>
      <c r="P127" t="inlineStr">
        <is>
          <t>nyu</t>
        </is>
      </c>
      <c r="Q127" t="inlineStr">
        <is>
          <t>Ideas and ideologies</t>
        </is>
      </c>
      <c r="R127" t="inlineStr">
        <is>
          <t xml:space="preserve">HM </t>
        </is>
      </c>
      <c r="S127" t="n">
        <v>7</v>
      </c>
      <c r="T127" t="n">
        <v>7</v>
      </c>
      <c r="U127" t="inlineStr">
        <is>
          <t>1999-10-19</t>
        </is>
      </c>
      <c r="V127" t="inlineStr">
        <is>
          <t>1999-10-19</t>
        </is>
      </c>
      <c r="W127" t="inlineStr">
        <is>
          <t>1992-08-19</t>
        </is>
      </c>
      <c r="X127" t="inlineStr">
        <is>
          <t>1992-08-19</t>
        </is>
      </c>
      <c r="Y127" t="n">
        <v>414</v>
      </c>
      <c r="Z127" t="n">
        <v>389</v>
      </c>
      <c r="AA127" t="n">
        <v>427</v>
      </c>
      <c r="AB127" t="n">
        <v>5</v>
      </c>
      <c r="AC127" t="n">
        <v>6</v>
      </c>
      <c r="AD127" t="n">
        <v>21</v>
      </c>
      <c r="AE127" t="n">
        <v>22</v>
      </c>
      <c r="AF127" t="n">
        <v>8</v>
      </c>
      <c r="AG127" t="n">
        <v>8</v>
      </c>
      <c r="AH127" t="n">
        <v>6</v>
      </c>
      <c r="AI127" t="n">
        <v>6</v>
      </c>
      <c r="AJ127" t="n">
        <v>10</v>
      </c>
      <c r="AK127" t="n">
        <v>10</v>
      </c>
      <c r="AL127" t="n">
        <v>4</v>
      </c>
      <c r="AM127" t="n">
        <v>5</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HYPERLINK("https://creighton-primo.hosted.exlibrisgroup.com/primo-explore/search?tab=default_tab&amp;search_scope=EVERYTHING&amp;vid=01CRU&amp;lang=en_US&amp;offset=0&amp;query=any,contains,991005398459702656","Catalog Record")</f>
        <v/>
      </c>
      <c r="AT127">
        <f>HYPERLINK("http://www.worldcat.org/oclc/8785282","WorldCat Record")</f>
        <v/>
      </c>
      <c r="AU127" t="inlineStr">
        <is>
          <t>54519664:eng</t>
        </is>
      </c>
      <c r="AV127" t="inlineStr">
        <is>
          <t>8785282</t>
        </is>
      </c>
      <c r="AW127" t="inlineStr">
        <is>
          <t>991005398459702656</t>
        </is>
      </c>
      <c r="AX127" t="inlineStr">
        <is>
          <t>991005398459702656</t>
        </is>
      </c>
      <c r="AY127" t="inlineStr">
        <is>
          <t>2266803880002656</t>
        </is>
      </c>
      <c r="AZ127" t="inlineStr">
        <is>
          <t>BOOK</t>
        </is>
      </c>
      <c r="BB127" t="inlineStr">
        <is>
          <t>9780312153021</t>
        </is>
      </c>
      <c r="BC127" t="inlineStr">
        <is>
          <t>32285001265734</t>
        </is>
      </c>
      <c r="BD127" t="inlineStr">
        <is>
          <t>893594993</t>
        </is>
      </c>
    </row>
    <row r="128">
      <c r="A128" t="inlineStr">
        <is>
          <t>No</t>
        </is>
      </c>
      <c r="B128" t="inlineStr">
        <is>
          <t>HM131 .C74288 1998</t>
        </is>
      </c>
      <c r="C128" t="inlineStr">
        <is>
          <t>0                      HM 0131000C  74288       1998</t>
        </is>
      </c>
      <c r="D128" t="inlineStr">
        <is>
          <t>The Community of the future / Frances Hesselbein, ... [et al.], editors.</t>
        </is>
      </c>
      <c r="F128" t="inlineStr">
        <is>
          <t>No</t>
        </is>
      </c>
      <c r="G128" t="inlineStr">
        <is>
          <t>1</t>
        </is>
      </c>
      <c r="H128" t="inlineStr">
        <is>
          <t>No</t>
        </is>
      </c>
      <c r="I128" t="inlineStr">
        <is>
          <t>No</t>
        </is>
      </c>
      <c r="J128" t="inlineStr">
        <is>
          <t>0</t>
        </is>
      </c>
      <c r="L128" t="inlineStr">
        <is>
          <t>San Francisco : Jossey-Bass, c1998.</t>
        </is>
      </c>
      <c r="M128" t="inlineStr">
        <is>
          <t>1998</t>
        </is>
      </c>
      <c r="N128" t="inlineStr">
        <is>
          <t>1st ed.</t>
        </is>
      </c>
      <c r="O128" t="inlineStr">
        <is>
          <t>eng</t>
        </is>
      </c>
      <c r="P128" t="inlineStr">
        <is>
          <t>cau</t>
        </is>
      </c>
      <c r="Q128" t="inlineStr">
        <is>
          <t>Drucker Foundation future series</t>
        </is>
      </c>
      <c r="R128" t="inlineStr">
        <is>
          <t xml:space="preserve">HM </t>
        </is>
      </c>
      <c r="S128" t="n">
        <v>2</v>
      </c>
      <c r="T128" t="n">
        <v>2</v>
      </c>
      <c r="U128" t="inlineStr">
        <is>
          <t>2006-11-14</t>
        </is>
      </c>
      <c r="V128" t="inlineStr">
        <is>
          <t>2006-11-14</t>
        </is>
      </c>
      <c r="W128" t="inlineStr">
        <is>
          <t>1998-08-20</t>
        </is>
      </c>
      <c r="X128" t="inlineStr">
        <is>
          <t>1998-08-20</t>
        </is>
      </c>
      <c r="Y128" t="n">
        <v>926</v>
      </c>
      <c r="Z128" t="n">
        <v>735</v>
      </c>
      <c r="AA128" t="n">
        <v>752</v>
      </c>
      <c r="AB128" t="n">
        <v>7</v>
      </c>
      <c r="AC128" t="n">
        <v>7</v>
      </c>
      <c r="AD128" t="n">
        <v>33</v>
      </c>
      <c r="AE128" t="n">
        <v>33</v>
      </c>
      <c r="AF128" t="n">
        <v>12</v>
      </c>
      <c r="AG128" t="n">
        <v>12</v>
      </c>
      <c r="AH128" t="n">
        <v>7</v>
      </c>
      <c r="AI128" t="n">
        <v>7</v>
      </c>
      <c r="AJ128" t="n">
        <v>19</v>
      </c>
      <c r="AK128" t="n">
        <v>19</v>
      </c>
      <c r="AL128" t="n">
        <v>4</v>
      </c>
      <c r="AM128" t="n">
        <v>4</v>
      </c>
      <c r="AN128" t="n">
        <v>1</v>
      </c>
      <c r="AO128" t="n">
        <v>1</v>
      </c>
      <c r="AP128" t="inlineStr">
        <is>
          <t>No</t>
        </is>
      </c>
      <c r="AQ128" t="inlineStr">
        <is>
          <t>Yes</t>
        </is>
      </c>
      <c r="AR128">
        <f>HYPERLINK("http://catalog.hathitrust.org/Record/003963099","HathiTrust Record")</f>
        <v/>
      </c>
      <c r="AS128">
        <f>HYPERLINK("https://creighton-primo.hosted.exlibrisgroup.com/primo-explore/search?tab=default_tab&amp;search_scope=EVERYTHING&amp;vid=01CRU&amp;lang=en_US&amp;offset=0&amp;query=any,contains,991002870039702656","Catalog Record")</f>
        <v/>
      </c>
      <c r="AT128">
        <f>HYPERLINK("http://www.worldcat.org/oclc/37836658","WorldCat Record")</f>
        <v/>
      </c>
      <c r="AU128" t="inlineStr">
        <is>
          <t>144323945:eng</t>
        </is>
      </c>
      <c r="AV128" t="inlineStr">
        <is>
          <t>37836658</t>
        </is>
      </c>
      <c r="AW128" t="inlineStr">
        <is>
          <t>991002870039702656</t>
        </is>
      </c>
      <c r="AX128" t="inlineStr">
        <is>
          <t>991002870039702656</t>
        </is>
      </c>
      <c r="AY128" t="inlineStr">
        <is>
          <t>2270188210002656</t>
        </is>
      </c>
      <c r="AZ128" t="inlineStr">
        <is>
          <t>BOOK</t>
        </is>
      </c>
      <c r="BB128" t="inlineStr">
        <is>
          <t>9780787910068</t>
        </is>
      </c>
      <c r="BC128" t="inlineStr">
        <is>
          <t>32285003460317</t>
        </is>
      </c>
      <c r="BD128" t="inlineStr">
        <is>
          <t>893504925</t>
        </is>
      </c>
    </row>
    <row r="129">
      <c r="A129" t="inlineStr">
        <is>
          <t>No</t>
        </is>
      </c>
      <c r="B129" t="inlineStr">
        <is>
          <t>HM131 .C749 1993</t>
        </is>
      </c>
      <c r="C129" t="inlineStr">
        <is>
          <t>0                      HM 0131000C  749         1993</t>
        </is>
      </c>
      <c r="D129" t="inlineStr">
        <is>
          <t>Cultural diversity in organizations : theory, research, &amp; practice / Taylor Cox, Jr.</t>
        </is>
      </c>
      <c r="F129" t="inlineStr">
        <is>
          <t>No</t>
        </is>
      </c>
      <c r="G129" t="inlineStr">
        <is>
          <t>1</t>
        </is>
      </c>
      <c r="H129" t="inlineStr">
        <is>
          <t>No</t>
        </is>
      </c>
      <c r="I129" t="inlineStr">
        <is>
          <t>No</t>
        </is>
      </c>
      <c r="J129" t="inlineStr">
        <is>
          <t>0</t>
        </is>
      </c>
      <c r="K129" t="inlineStr">
        <is>
          <t>Cox, Taylor, 1949-</t>
        </is>
      </c>
      <c r="L129" t="inlineStr">
        <is>
          <t>San Francisco, Calif. : Berrett-Koehler, c1993.</t>
        </is>
      </c>
      <c r="M129" t="inlineStr">
        <is>
          <t>1993</t>
        </is>
      </c>
      <c r="N129" t="inlineStr">
        <is>
          <t>1st ed.</t>
        </is>
      </c>
      <c r="O129" t="inlineStr">
        <is>
          <t>eng</t>
        </is>
      </c>
      <c r="P129" t="inlineStr">
        <is>
          <t>cau</t>
        </is>
      </c>
      <c r="R129" t="inlineStr">
        <is>
          <t xml:space="preserve">HM </t>
        </is>
      </c>
      <c r="S129" t="n">
        <v>7</v>
      </c>
      <c r="T129" t="n">
        <v>7</v>
      </c>
      <c r="U129" t="inlineStr">
        <is>
          <t>2001-01-04</t>
        </is>
      </c>
      <c r="V129" t="inlineStr">
        <is>
          <t>2001-01-04</t>
        </is>
      </c>
      <c r="W129" t="inlineStr">
        <is>
          <t>1994-03-14</t>
        </is>
      </c>
      <c r="X129" t="inlineStr">
        <is>
          <t>1994-03-14</t>
        </is>
      </c>
      <c r="Y129" t="n">
        <v>688</v>
      </c>
      <c r="Z129" t="n">
        <v>566</v>
      </c>
      <c r="AA129" t="n">
        <v>863</v>
      </c>
      <c r="AB129" t="n">
        <v>6</v>
      </c>
      <c r="AC129" t="n">
        <v>6</v>
      </c>
      <c r="AD129" t="n">
        <v>31</v>
      </c>
      <c r="AE129" t="n">
        <v>43</v>
      </c>
      <c r="AF129" t="n">
        <v>12</v>
      </c>
      <c r="AG129" t="n">
        <v>19</v>
      </c>
      <c r="AH129" t="n">
        <v>8</v>
      </c>
      <c r="AI129" t="n">
        <v>11</v>
      </c>
      <c r="AJ129" t="n">
        <v>14</v>
      </c>
      <c r="AK129" t="n">
        <v>19</v>
      </c>
      <c r="AL129" t="n">
        <v>5</v>
      </c>
      <c r="AM129" t="n">
        <v>5</v>
      </c>
      <c r="AN129" t="n">
        <v>0</v>
      </c>
      <c r="AO129" t="n">
        <v>0</v>
      </c>
      <c r="AP129" t="inlineStr">
        <is>
          <t>No</t>
        </is>
      </c>
      <c r="AQ129" t="inlineStr">
        <is>
          <t>Yes</t>
        </is>
      </c>
      <c r="AR129">
        <f>HYPERLINK("http://catalog.hathitrust.org/Record/002738316","HathiTrust Record")</f>
        <v/>
      </c>
      <c r="AS129">
        <f>HYPERLINK("https://creighton-primo.hosted.exlibrisgroup.com/primo-explore/search?tab=default_tab&amp;search_scope=EVERYTHING&amp;vid=01CRU&amp;lang=en_US&amp;offset=0&amp;query=any,contains,991002183309702656","Catalog Record")</f>
        <v/>
      </c>
      <c r="AT129">
        <f>HYPERLINK("http://www.worldcat.org/oclc/28113060","WorldCat Record")</f>
        <v/>
      </c>
      <c r="AU129" t="inlineStr">
        <is>
          <t>1067792:eng</t>
        </is>
      </c>
      <c r="AV129" t="inlineStr">
        <is>
          <t>28113060</t>
        </is>
      </c>
      <c r="AW129" t="inlineStr">
        <is>
          <t>991002183309702656</t>
        </is>
      </c>
      <c r="AX129" t="inlineStr">
        <is>
          <t>991002183309702656</t>
        </is>
      </c>
      <c r="AY129" t="inlineStr">
        <is>
          <t>2258636810002656</t>
        </is>
      </c>
      <c r="AZ129" t="inlineStr">
        <is>
          <t>BOOK</t>
        </is>
      </c>
      <c r="BB129" t="inlineStr">
        <is>
          <t>9781881052197</t>
        </is>
      </c>
      <c r="BC129" t="inlineStr">
        <is>
          <t>32285001856383</t>
        </is>
      </c>
      <c r="BD129" t="inlineStr">
        <is>
          <t>893703760</t>
        </is>
      </c>
    </row>
    <row r="130">
      <c r="A130" t="inlineStr">
        <is>
          <t>No</t>
        </is>
      </c>
      <c r="B130" t="inlineStr">
        <is>
          <t>HM131 .D47</t>
        </is>
      </c>
      <c r="C130" t="inlineStr">
        <is>
          <t>0                      HM 0131000D  47</t>
        </is>
      </c>
      <c r="D130" t="inlineStr">
        <is>
          <t>In the shadow of organization / Robert B. Denhardt.</t>
        </is>
      </c>
      <c r="F130" t="inlineStr">
        <is>
          <t>No</t>
        </is>
      </c>
      <c r="G130" t="inlineStr">
        <is>
          <t>1</t>
        </is>
      </c>
      <c r="H130" t="inlineStr">
        <is>
          <t>No</t>
        </is>
      </c>
      <c r="I130" t="inlineStr">
        <is>
          <t>No</t>
        </is>
      </c>
      <c r="J130" t="inlineStr">
        <is>
          <t>0</t>
        </is>
      </c>
      <c r="K130" t="inlineStr">
        <is>
          <t>Denhardt, Robert B.</t>
        </is>
      </c>
      <c r="L130" t="inlineStr">
        <is>
          <t>Lawrence : Regents Press of Kansas, c1981.</t>
        </is>
      </c>
      <c r="M130" t="inlineStr">
        <is>
          <t>1981</t>
        </is>
      </c>
      <c r="O130" t="inlineStr">
        <is>
          <t>eng</t>
        </is>
      </c>
      <c r="P130" t="inlineStr">
        <is>
          <t>ksu</t>
        </is>
      </c>
      <c r="R130" t="inlineStr">
        <is>
          <t xml:space="preserve">HM </t>
        </is>
      </c>
      <c r="S130" t="n">
        <v>5</v>
      </c>
      <c r="T130" t="n">
        <v>5</v>
      </c>
      <c r="U130" t="inlineStr">
        <is>
          <t>2000-01-12</t>
        </is>
      </c>
      <c r="V130" t="inlineStr">
        <is>
          <t>2000-01-12</t>
        </is>
      </c>
      <c r="W130" t="inlineStr">
        <is>
          <t>1992-08-24</t>
        </is>
      </c>
      <c r="X130" t="inlineStr">
        <is>
          <t>1992-08-24</t>
        </is>
      </c>
      <c r="Y130" t="n">
        <v>441</v>
      </c>
      <c r="Z130" t="n">
        <v>387</v>
      </c>
      <c r="AA130" t="n">
        <v>439</v>
      </c>
      <c r="AB130" t="n">
        <v>2</v>
      </c>
      <c r="AC130" t="n">
        <v>3</v>
      </c>
      <c r="AD130" t="n">
        <v>21</v>
      </c>
      <c r="AE130" t="n">
        <v>22</v>
      </c>
      <c r="AF130" t="n">
        <v>8</v>
      </c>
      <c r="AG130" t="n">
        <v>8</v>
      </c>
      <c r="AH130" t="n">
        <v>2</v>
      </c>
      <c r="AI130" t="n">
        <v>2</v>
      </c>
      <c r="AJ130" t="n">
        <v>15</v>
      </c>
      <c r="AK130" t="n">
        <v>15</v>
      </c>
      <c r="AL130" t="n">
        <v>1</v>
      </c>
      <c r="AM130" t="n">
        <v>2</v>
      </c>
      <c r="AN130" t="n">
        <v>0</v>
      </c>
      <c r="AO130" t="n">
        <v>0</v>
      </c>
      <c r="AP130" t="inlineStr">
        <is>
          <t>No</t>
        </is>
      </c>
      <c r="AQ130" t="inlineStr">
        <is>
          <t>Yes</t>
        </is>
      </c>
      <c r="AR130">
        <f>HYPERLINK("http://catalog.hathitrust.org/Record/000127812","HathiTrust Record")</f>
        <v/>
      </c>
      <c r="AS130">
        <f>HYPERLINK("https://creighton-primo.hosted.exlibrisgroup.com/primo-explore/search?tab=default_tab&amp;search_scope=EVERYTHING&amp;vid=01CRU&amp;lang=en_US&amp;offset=0&amp;query=any,contains,991005044549702656","Catalog Record")</f>
        <v/>
      </c>
      <c r="AT130">
        <f>HYPERLINK("http://www.worldcat.org/oclc/6815967","WorldCat Record")</f>
        <v/>
      </c>
      <c r="AU130" t="inlineStr">
        <is>
          <t>21324497:eng</t>
        </is>
      </c>
      <c r="AV130" t="inlineStr">
        <is>
          <t>6815967</t>
        </is>
      </c>
      <c r="AW130" t="inlineStr">
        <is>
          <t>991005044549702656</t>
        </is>
      </c>
      <c r="AX130" t="inlineStr">
        <is>
          <t>991005044549702656</t>
        </is>
      </c>
      <c r="AY130" t="inlineStr">
        <is>
          <t>2265352920002656</t>
        </is>
      </c>
      <c r="AZ130" t="inlineStr">
        <is>
          <t>BOOK</t>
        </is>
      </c>
      <c r="BB130" t="inlineStr">
        <is>
          <t>9780700602100</t>
        </is>
      </c>
      <c r="BC130" t="inlineStr">
        <is>
          <t>32285001265767</t>
        </is>
      </c>
      <c r="BD130" t="inlineStr">
        <is>
          <t>893443309</t>
        </is>
      </c>
    </row>
    <row r="131">
      <c r="A131" t="inlineStr">
        <is>
          <t>No</t>
        </is>
      </c>
      <c r="B131" t="inlineStr">
        <is>
          <t>HM131 .F545 1981</t>
        </is>
      </c>
      <c r="C131" t="inlineStr">
        <is>
          <t>0                      HM 0131000F  545         1981</t>
        </is>
      </c>
      <c r="D131" t="inlineStr">
        <is>
          <t>Intergroup behavior / edited by John C. Turner and Howard Giles.</t>
        </is>
      </c>
      <c r="F131" t="inlineStr">
        <is>
          <t>No</t>
        </is>
      </c>
      <c r="G131" t="inlineStr">
        <is>
          <t>1</t>
        </is>
      </c>
      <c r="H131" t="inlineStr">
        <is>
          <t>No</t>
        </is>
      </c>
      <c r="I131" t="inlineStr">
        <is>
          <t>No</t>
        </is>
      </c>
      <c r="J131" t="inlineStr">
        <is>
          <t>0</t>
        </is>
      </c>
      <c r="L131" t="inlineStr">
        <is>
          <t>Chicago : University of Chicago Press, c1981.</t>
        </is>
      </c>
      <c r="M131" t="inlineStr">
        <is>
          <t>1981</t>
        </is>
      </c>
      <c r="O131" t="inlineStr">
        <is>
          <t>eng</t>
        </is>
      </c>
      <c r="P131" t="inlineStr">
        <is>
          <t>ilu</t>
        </is>
      </c>
      <c r="R131" t="inlineStr">
        <is>
          <t xml:space="preserve">HM </t>
        </is>
      </c>
      <c r="S131" t="n">
        <v>9</v>
      </c>
      <c r="T131" t="n">
        <v>9</v>
      </c>
      <c r="U131" t="inlineStr">
        <is>
          <t>2003-05-27</t>
        </is>
      </c>
      <c r="V131" t="inlineStr">
        <is>
          <t>2003-05-27</t>
        </is>
      </c>
      <c r="W131" t="inlineStr">
        <is>
          <t>1992-08-24</t>
        </is>
      </c>
      <c r="X131" t="inlineStr">
        <is>
          <t>1992-08-24</t>
        </is>
      </c>
      <c r="Y131" t="n">
        <v>254</v>
      </c>
      <c r="Z131" t="n">
        <v>215</v>
      </c>
      <c r="AA131" t="n">
        <v>259</v>
      </c>
      <c r="AB131" t="n">
        <v>2</v>
      </c>
      <c r="AC131" t="n">
        <v>2</v>
      </c>
      <c r="AD131" t="n">
        <v>10</v>
      </c>
      <c r="AE131" t="n">
        <v>10</v>
      </c>
      <c r="AF131" t="n">
        <v>2</v>
      </c>
      <c r="AG131" t="n">
        <v>2</v>
      </c>
      <c r="AH131" t="n">
        <v>2</v>
      </c>
      <c r="AI131" t="n">
        <v>2</v>
      </c>
      <c r="AJ131" t="n">
        <v>7</v>
      </c>
      <c r="AK131" t="n">
        <v>7</v>
      </c>
      <c r="AL131" t="n">
        <v>1</v>
      </c>
      <c r="AM131" t="n">
        <v>1</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HYPERLINK("https://creighton-primo.hosted.exlibrisgroup.com/primo-explore/search?tab=default_tab&amp;search_scope=EVERYTHING&amp;vid=01CRU&amp;lang=en_US&amp;offset=0&amp;query=any,contains,991005230469702656","Catalog Record")</f>
        <v/>
      </c>
      <c r="AT131">
        <f>HYPERLINK("http://www.worldcat.org/oclc/8314974","WorldCat Record")</f>
        <v/>
      </c>
      <c r="AU131" t="inlineStr">
        <is>
          <t>762373350:eng</t>
        </is>
      </c>
      <c r="AV131" t="inlineStr">
        <is>
          <t>8314974</t>
        </is>
      </c>
      <c r="AW131" t="inlineStr">
        <is>
          <t>991005230469702656</t>
        </is>
      </c>
      <c r="AX131" t="inlineStr">
        <is>
          <t>991005230469702656</t>
        </is>
      </c>
      <c r="AY131" t="inlineStr">
        <is>
          <t>2266285710002656</t>
        </is>
      </c>
      <c r="AZ131" t="inlineStr">
        <is>
          <t>BOOK</t>
        </is>
      </c>
      <c r="BB131" t="inlineStr">
        <is>
          <t>9780226817262</t>
        </is>
      </c>
      <c r="BC131" t="inlineStr">
        <is>
          <t>32285001265817</t>
        </is>
      </c>
      <c r="BD131" t="inlineStr">
        <is>
          <t>893332635</t>
        </is>
      </c>
    </row>
    <row r="132">
      <c r="A132" t="inlineStr">
        <is>
          <t>No</t>
        </is>
      </c>
      <c r="B132" t="inlineStr">
        <is>
          <t>HM131 .G57</t>
        </is>
      </c>
      <c r="C132" t="inlineStr">
        <is>
          <t>0                      HM 0131000G  57</t>
        </is>
      </c>
      <c r="D132" t="inlineStr">
        <is>
          <t>The small group : an analysis of research concepts and operations.</t>
        </is>
      </c>
      <c r="F132" t="inlineStr">
        <is>
          <t>No</t>
        </is>
      </c>
      <c r="G132" t="inlineStr">
        <is>
          <t>1</t>
        </is>
      </c>
      <c r="H132" t="inlineStr">
        <is>
          <t>No</t>
        </is>
      </c>
      <c r="I132" t="inlineStr">
        <is>
          <t>No</t>
        </is>
      </c>
      <c r="J132" t="inlineStr">
        <is>
          <t>0</t>
        </is>
      </c>
      <c r="K132" t="inlineStr">
        <is>
          <t>Golembiewski, Robert T.</t>
        </is>
      </c>
      <c r="L132" t="inlineStr">
        <is>
          <t>[Chicago] : University of Chicago Press, [1962]</t>
        </is>
      </c>
      <c r="M132" t="inlineStr">
        <is>
          <t>1962</t>
        </is>
      </c>
      <c r="O132" t="inlineStr">
        <is>
          <t>eng</t>
        </is>
      </c>
      <c r="P132" t="inlineStr">
        <is>
          <t>ilu</t>
        </is>
      </c>
      <c r="R132" t="inlineStr">
        <is>
          <t xml:space="preserve">HM </t>
        </is>
      </c>
      <c r="S132" t="n">
        <v>1</v>
      </c>
      <c r="T132" t="n">
        <v>1</v>
      </c>
      <c r="U132" t="inlineStr">
        <is>
          <t>1993-06-09</t>
        </is>
      </c>
      <c r="V132" t="inlineStr">
        <is>
          <t>1993-06-09</t>
        </is>
      </c>
      <c r="W132" t="inlineStr">
        <is>
          <t>1991-12-09</t>
        </is>
      </c>
      <c r="X132" t="inlineStr">
        <is>
          <t>1991-12-09</t>
        </is>
      </c>
      <c r="Y132" t="n">
        <v>738</v>
      </c>
      <c r="Z132" t="n">
        <v>610</v>
      </c>
      <c r="AA132" t="n">
        <v>619</v>
      </c>
      <c r="AB132" t="n">
        <v>4</v>
      </c>
      <c r="AC132" t="n">
        <v>4</v>
      </c>
      <c r="AD132" t="n">
        <v>28</v>
      </c>
      <c r="AE132" t="n">
        <v>28</v>
      </c>
      <c r="AF132" t="n">
        <v>10</v>
      </c>
      <c r="AG132" t="n">
        <v>10</v>
      </c>
      <c r="AH132" t="n">
        <v>5</v>
      </c>
      <c r="AI132" t="n">
        <v>5</v>
      </c>
      <c r="AJ132" t="n">
        <v>19</v>
      </c>
      <c r="AK132" t="n">
        <v>19</v>
      </c>
      <c r="AL132" t="n">
        <v>3</v>
      </c>
      <c r="AM132" t="n">
        <v>3</v>
      </c>
      <c r="AN132" t="n">
        <v>0</v>
      </c>
      <c r="AO132" t="n">
        <v>0</v>
      </c>
      <c r="AP132" t="inlineStr">
        <is>
          <t>No</t>
        </is>
      </c>
      <c r="AQ132" t="inlineStr">
        <is>
          <t>Yes</t>
        </is>
      </c>
      <c r="AR132">
        <f>HYPERLINK("http://catalog.hathitrust.org/Record/001108039","HathiTrust Record")</f>
        <v/>
      </c>
      <c r="AS132">
        <f>HYPERLINK("https://creighton-primo.hosted.exlibrisgroup.com/primo-explore/search?tab=default_tab&amp;search_scope=EVERYTHING&amp;vid=01CRU&amp;lang=en_US&amp;offset=0&amp;query=any,contains,991001990679702656","Catalog Record")</f>
        <v/>
      </c>
      <c r="AT132">
        <f>HYPERLINK("http://www.worldcat.org/oclc/255457","WorldCat Record")</f>
        <v/>
      </c>
      <c r="AU132" t="inlineStr">
        <is>
          <t>3901158449:eng</t>
        </is>
      </c>
      <c r="AV132" t="inlineStr">
        <is>
          <t>255457</t>
        </is>
      </c>
      <c r="AW132" t="inlineStr">
        <is>
          <t>991001990679702656</t>
        </is>
      </c>
      <c r="AX132" t="inlineStr">
        <is>
          <t>991001990679702656</t>
        </is>
      </c>
      <c r="AY132" t="inlineStr">
        <is>
          <t>2268816110002656</t>
        </is>
      </c>
      <c r="AZ132" t="inlineStr">
        <is>
          <t>BOOK</t>
        </is>
      </c>
      <c r="BC132" t="inlineStr">
        <is>
          <t>32285000849421</t>
        </is>
      </c>
      <c r="BD132" t="inlineStr">
        <is>
          <t>893791926</t>
        </is>
      </c>
    </row>
    <row r="133">
      <c r="A133" t="inlineStr">
        <is>
          <t>No</t>
        </is>
      </c>
      <c r="B133" t="inlineStr">
        <is>
          <t>HM131 .G585 1982</t>
        </is>
      </c>
      <c r="C133" t="inlineStr">
        <is>
          <t>0                      HM 0131000G  585         1982</t>
        </is>
      </c>
      <c r="D133" t="inlineStr">
        <is>
          <t>Change in organizations : new perspectives on theory, research, and practice / Paul S. Goodman and associates.</t>
        </is>
      </c>
      <c r="F133" t="inlineStr">
        <is>
          <t>No</t>
        </is>
      </c>
      <c r="G133" t="inlineStr">
        <is>
          <t>1</t>
        </is>
      </c>
      <c r="H133" t="inlineStr">
        <is>
          <t>No</t>
        </is>
      </c>
      <c r="I133" t="inlineStr">
        <is>
          <t>No</t>
        </is>
      </c>
      <c r="J133" t="inlineStr">
        <is>
          <t>0</t>
        </is>
      </c>
      <c r="K133" t="inlineStr">
        <is>
          <t>Goodman, Paul S.</t>
        </is>
      </c>
      <c r="L133" t="inlineStr">
        <is>
          <t>San Francisco : Jossey-Bass, 1982.</t>
        </is>
      </c>
      <c r="M133" t="inlineStr">
        <is>
          <t>1982</t>
        </is>
      </c>
      <c r="N133" t="inlineStr">
        <is>
          <t>1st ed.</t>
        </is>
      </c>
      <c r="O133" t="inlineStr">
        <is>
          <t>eng</t>
        </is>
      </c>
      <c r="P133" t="inlineStr">
        <is>
          <t>cau</t>
        </is>
      </c>
      <c r="R133" t="inlineStr">
        <is>
          <t xml:space="preserve">HM </t>
        </is>
      </c>
      <c r="S133" t="n">
        <v>3</v>
      </c>
      <c r="T133" t="n">
        <v>3</v>
      </c>
      <c r="U133" t="inlineStr">
        <is>
          <t>1997-03-25</t>
        </is>
      </c>
      <c r="V133" t="inlineStr">
        <is>
          <t>1997-03-25</t>
        </is>
      </c>
      <c r="W133" t="inlineStr">
        <is>
          <t>1992-08-24</t>
        </is>
      </c>
      <c r="X133" t="inlineStr">
        <is>
          <t>1992-08-24</t>
        </is>
      </c>
      <c r="Y133" t="n">
        <v>693</v>
      </c>
      <c r="Z133" t="n">
        <v>517</v>
      </c>
      <c r="AA133" t="n">
        <v>526</v>
      </c>
      <c r="AB133" t="n">
        <v>7</v>
      </c>
      <c r="AC133" t="n">
        <v>7</v>
      </c>
      <c r="AD133" t="n">
        <v>29</v>
      </c>
      <c r="AE133" t="n">
        <v>29</v>
      </c>
      <c r="AF133" t="n">
        <v>11</v>
      </c>
      <c r="AG133" t="n">
        <v>11</v>
      </c>
      <c r="AH133" t="n">
        <v>4</v>
      </c>
      <c r="AI133" t="n">
        <v>4</v>
      </c>
      <c r="AJ133" t="n">
        <v>18</v>
      </c>
      <c r="AK133" t="n">
        <v>18</v>
      </c>
      <c r="AL133" t="n">
        <v>6</v>
      </c>
      <c r="AM133" t="n">
        <v>6</v>
      </c>
      <c r="AN133" t="n">
        <v>0</v>
      </c>
      <c r="AO133" t="n">
        <v>0</v>
      </c>
      <c r="AP133" t="inlineStr">
        <is>
          <t>No</t>
        </is>
      </c>
      <c r="AQ133" t="inlineStr">
        <is>
          <t>Yes</t>
        </is>
      </c>
      <c r="AR133">
        <f>HYPERLINK("http://catalog.hathitrust.org/Record/000233331","HathiTrust Record")</f>
        <v/>
      </c>
      <c r="AS133">
        <f>HYPERLINK("https://creighton-primo.hosted.exlibrisgroup.com/primo-explore/search?tab=default_tab&amp;search_scope=EVERYTHING&amp;vid=01CRU&amp;lang=en_US&amp;offset=0&amp;query=any,contains,991000067179702656","Catalog Record")</f>
        <v/>
      </c>
      <c r="AT133">
        <f>HYPERLINK("http://www.worldcat.org/oclc/8764259","WorldCat Record")</f>
        <v/>
      </c>
      <c r="AU133" t="inlineStr">
        <is>
          <t>347683524:eng</t>
        </is>
      </c>
      <c r="AV133" t="inlineStr">
        <is>
          <t>8764259</t>
        </is>
      </c>
      <c r="AW133" t="inlineStr">
        <is>
          <t>991000067179702656</t>
        </is>
      </c>
      <c r="AX133" t="inlineStr">
        <is>
          <t>991000067179702656</t>
        </is>
      </c>
      <c r="AY133" t="inlineStr">
        <is>
          <t>2265378640002656</t>
        </is>
      </c>
      <c r="AZ133" t="inlineStr">
        <is>
          <t>BOOK</t>
        </is>
      </c>
      <c r="BB133" t="inlineStr">
        <is>
          <t>9780875895475</t>
        </is>
      </c>
      <c r="BC133" t="inlineStr">
        <is>
          <t>32285001265833</t>
        </is>
      </c>
      <c r="BD133" t="inlineStr">
        <is>
          <t>893326974</t>
        </is>
      </c>
    </row>
    <row r="134">
      <c r="A134" t="inlineStr">
        <is>
          <t>No</t>
        </is>
      </c>
      <c r="B134" t="inlineStr">
        <is>
          <t>HM131 .H23</t>
        </is>
      </c>
      <c r="C134" t="inlineStr">
        <is>
          <t>0                      HM 0131000H  23</t>
        </is>
      </c>
      <c r="D134" t="inlineStr">
        <is>
          <t>Social change in complex organizations / [by] Jerald Hage [and] Michael Aiken.</t>
        </is>
      </c>
      <c r="F134" t="inlineStr">
        <is>
          <t>No</t>
        </is>
      </c>
      <c r="G134" t="inlineStr">
        <is>
          <t>1</t>
        </is>
      </c>
      <c r="H134" t="inlineStr">
        <is>
          <t>No</t>
        </is>
      </c>
      <c r="I134" t="inlineStr">
        <is>
          <t>No</t>
        </is>
      </c>
      <c r="J134" t="inlineStr">
        <is>
          <t>0</t>
        </is>
      </c>
      <c r="K134" t="inlineStr">
        <is>
          <t>Hage, Jerald, 1932-</t>
        </is>
      </c>
      <c r="L134" t="inlineStr">
        <is>
          <t>New York : Random House, [1970]</t>
        </is>
      </c>
      <c r="M134" t="inlineStr">
        <is>
          <t>1970</t>
        </is>
      </c>
      <c r="O134" t="inlineStr">
        <is>
          <t>eng</t>
        </is>
      </c>
      <c r="P134" t="inlineStr">
        <is>
          <t>nyu</t>
        </is>
      </c>
      <c r="Q134" t="inlineStr">
        <is>
          <t>Studies in sociology</t>
        </is>
      </c>
      <c r="R134" t="inlineStr">
        <is>
          <t xml:space="preserve">HM </t>
        </is>
      </c>
      <c r="S134" t="n">
        <v>5</v>
      </c>
      <c r="T134" t="n">
        <v>5</v>
      </c>
      <c r="U134" t="inlineStr">
        <is>
          <t>1994-02-09</t>
        </is>
      </c>
      <c r="V134" t="inlineStr">
        <is>
          <t>1994-02-09</t>
        </is>
      </c>
      <c r="W134" t="inlineStr">
        <is>
          <t>1992-04-11</t>
        </is>
      </c>
      <c r="X134" t="inlineStr">
        <is>
          <t>1992-04-11</t>
        </is>
      </c>
      <c r="Y134" t="n">
        <v>501</v>
      </c>
      <c r="Z134" t="n">
        <v>391</v>
      </c>
      <c r="AA134" t="n">
        <v>398</v>
      </c>
      <c r="AB134" t="n">
        <v>3</v>
      </c>
      <c r="AC134" t="n">
        <v>3</v>
      </c>
      <c r="AD134" t="n">
        <v>14</v>
      </c>
      <c r="AE134" t="n">
        <v>14</v>
      </c>
      <c r="AF134" t="n">
        <v>5</v>
      </c>
      <c r="AG134" t="n">
        <v>5</v>
      </c>
      <c r="AH134" t="n">
        <v>3</v>
      </c>
      <c r="AI134" t="n">
        <v>3</v>
      </c>
      <c r="AJ134" t="n">
        <v>9</v>
      </c>
      <c r="AK134" t="n">
        <v>9</v>
      </c>
      <c r="AL134" t="n">
        <v>2</v>
      </c>
      <c r="AM134" t="n">
        <v>2</v>
      </c>
      <c r="AN134" t="n">
        <v>0</v>
      </c>
      <c r="AO134" t="n">
        <v>0</v>
      </c>
      <c r="AP134" t="inlineStr">
        <is>
          <t>No</t>
        </is>
      </c>
      <c r="AQ134" t="inlineStr">
        <is>
          <t>Yes</t>
        </is>
      </c>
      <c r="AR134">
        <f>HYPERLINK("http://catalog.hathitrust.org/Record/000965153","HathiTrust Record")</f>
        <v/>
      </c>
      <c r="AS134">
        <f>HYPERLINK("https://creighton-primo.hosted.exlibrisgroup.com/primo-explore/search?tab=default_tab&amp;search_scope=EVERYTHING&amp;vid=01CRU&amp;lang=en_US&amp;offset=0&amp;query=any,contains,991000672539702656","Catalog Record")</f>
        <v/>
      </c>
      <c r="AT134">
        <f>HYPERLINK("http://www.worldcat.org/oclc/119302","WorldCat Record")</f>
        <v/>
      </c>
      <c r="AU134" t="inlineStr">
        <is>
          <t>1239300:eng</t>
        </is>
      </c>
      <c r="AV134" t="inlineStr">
        <is>
          <t>119302</t>
        </is>
      </c>
      <c r="AW134" t="inlineStr">
        <is>
          <t>991000672539702656</t>
        </is>
      </c>
      <c r="AX134" t="inlineStr">
        <is>
          <t>991000672539702656</t>
        </is>
      </c>
      <c r="AY134" t="inlineStr">
        <is>
          <t>2264268540002656</t>
        </is>
      </c>
      <c r="AZ134" t="inlineStr">
        <is>
          <t>BOOK</t>
        </is>
      </c>
      <c r="BC134" t="inlineStr">
        <is>
          <t>32285001058477</t>
        </is>
      </c>
      <c r="BD134" t="inlineStr">
        <is>
          <t>893796893</t>
        </is>
      </c>
    </row>
    <row r="135">
      <c r="A135" t="inlineStr">
        <is>
          <t>No</t>
        </is>
      </c>
      <c r="B135" t="inlineStr">
        <is>
          <t>HM131 .H237 1991</t>
        </is>
      </c>
      <c r="C135" t="inlineStr">
        <is>
          <t>0                      HM 0131000H  237         1991</t>
        </is>
      </c>
      <c r="D135" t="inlineStr">
        <is>
          <t>Organizations : structures, processes, and outcomes / Richard H. Hall.</t>
        </is>
      </c>
      <c r="F135" t="inlineStr">
        <is>
          <t>No</t>
        </is>
      </c>
      <c r="G135" t="inlineStr">
        <is>
          <t>1</t>
        </is>
      </c>
      <c r="H135" t="inlineStr">
        <is>
          <t>No</t>
        </is>
      </c>
      <c r="I135" t="inlineStr">
        <is>
          <t>No</t>
        </is>
      </c>
      <c r="J135" t="inlineStr">
        <is>
          <t>0</t>
        </is>
      </c>
      <c r="K135" t="inlineStr">
        <is>
          <t>Hall, Richard H., 1934-</t>
        </is>
      </c>
      <c r="L135" t="inlineStr">
        <is>
          <t>Englewood Cliffs, N.J. : Prentice Hall, c1991.</t>
        </is>
      </c>
      <c r="M135" t="inlineStr">
        <is>
          <t>1991</t>
        </is>
      </c>
      <c r="N135" t="inlineStr">
        <is>
          <t>5th ed.</t>
        </is>
      </c>
      <c r="O135" t="inlineStr">
        <is>
          <t>eng</t>
        </is>
      </c>
      <c r="P135" t="inlineStr">
        <is>
          <t>nju</t>
        </is>
      </c>
      <c r="R135" t="inlineStr">
        <is>
          <t xml:space="preserve">HM </t>
        </is>
      </c>
      <c r="S135" t="n">
        <v>6</v>
      </c>
      <c r="T135" t="n">
        <v>6</v>
      </c>
      <c r="U135" t="inlineStr">
        <is>
          <t>2008-11-04</t>
        </is>
      </c>
      <c r="V135" t="inlineStr">
        <is>
          <t>2008-11-04</t>
        </is>
      </c>
      <c r="W135" t="inlineStr">
        <is>
          <t>1994-10-20</t>
        </is>
      </c>
      <c r="X135" t="inlineStr">
        <is>
          <t>1994-10-20</t>
        </is>
      </c>
      <c r="Y135" t="n">
        <v>317</v>
      </c>
      <c r="Z135" t="n">
        <v>182</v>
      </c>
      <c r="AA135" t="n">
        <v>545</v>
      </c>
      <c r="AB135" t="n">
        <v>1</v>
      </c>
      <c r="AC135" t="n">
        <v>4</v>
      </c>
      <c r="AD135" t="n">
        <v>7</v>
      </c>
      <c r="AE135" t="n">
        <v>27</v>
      </c>
      <c r="AF135" t="n">
        <v>2</v>
      </c>
      <c r="AG135" t="n">
        <v>14</v>
      </c>
      <c r="AH135" t="n">
        <v>3</v>
      </c>
      <c r="AI135" t="n">
        <v>6</v>
      </c>
      <c r="AJ135" t="n">
        <v>5</v>
      </c>
      <c r="AK135" t="n">
        <v>14</v>
      </c>
      <c r="AL135" t="n">
        <v>0</v>
      </c>
      <c r="AM135" t="n">
        <v>3</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HYPERLINK("https://creighton-primo.hosted.exlibrisgroup.com/primo-explore/search?tab=default_tab&amp;search_scope=EVERYTHING&amp;vid=01CRU&amp;lang=en_US&amp;offset=0&amp;query=any,contains,991001728809702656","Catalog Record")</f>
        <v/>
      </c>
      <c r="AT135">
        <f>HYPERLINK("http://www.worldcat.org/oclc/21907693","WorldCat Record")</f>
        <v/>
      </c>
      <c r="AU135" t="inlineStr">
        <is>
          <t>9592753498:eng</t>
        </is>
      </c>
      <c r="AV135" t="inlineStr">
        <is>
          <t>21907693</t>
        </is>
      </c>
      <c r="AW135" t="inlineStr">
        <is>
          <t>991001728809702656</t>
        </is>
      </c>
      <c r="AX135" t="inlineStr">
        <is>
          <t>991001728809702656</t>
        </is>
      </c>
      <c r="AY135" t="inlineStr">
        <is>
          <t>2272362820002656</t>
        </is>
      </c>
      <c r="AZ135" t="inlineStr">
        <is>
          <t>BOOK</t>
        </is>
      </c>
      <c r="BB135" t="inlineStr">
        <is>
          <t>9780136425625</t>
        </is>
      </c>
      <c r="BC135" t="inlineStr">
        <is>
          <t>32285001949337</t>
        </is>
      </c>
      <c r="BD135" t="inlineStr">
        <is>
          <t>893872752</t>
        </is>
      </c>
    </row>
    <row r="136">
      <c r="A136" t="inlineStr">
        <is>
          <t>No</t>
        </is>
      </c>
      <c r="B136" t="inlineStr">
        <is>
          <t>HM131 .J44 1997</t>
        </is>
      </c>
      <c r="C136" t="inlineStr">
        <is>
          <t>0                      HM 0131000J  44          1997</t>
        </is>
      </c>
      <c r="D136" t="inlineStr">
        <is>
          <t>System effects : complexity in political and social life / Robert Jervis.</t>
        </is>
      </c>
      <c r="F136" t="inlineStr">
        <is>
          <t>No</t>
        </is>
      </c>
      <c r="G136" t="inlineStr">
        <is>
          <t>1</t>
        </is>
      </c>
      <c r="H136" t="inlineStr">
        <is>
          <t>No</t>
        </is>
      </c>
      <c r="I136" t="inlineStr">
        <is>
          <t>No</t>
        </is>
      </c>
      <c r="J136" t="inlineStr">
        <is>
          <t>0</t>
        </is>
      </c>
      <c r="K136" t="inlineStr">
        <is>
          <t>Jervis, Robert, 1940-</t>
        </is>
      </c>
      <c r="L136" t="inlineStr">
        <is>
          <t>Princeton, N.J. : Princeton University Press, c1997.</t>
        </is>
      </c>
      <c r="M136" t="inlineStr">
        <is>
          <t>1997</t>
        </is>
      </c>
      <c r="O136" t="inlineStr">
        <is>
          <t>eng</t>
        </is>
      </c>
      <c r="P136" t="inlineStr">
        <is>
          <t>nju</t>
        </is>
      </c>
      <c r="R136" t="inlineStr">
        <is>
          <t xml:space="preserve">HM </t>
        </is>
      </c>
      <c r="S136" t="n">
        <v>4</v>
      </c>
      <c r="T136" t="n">
        <v>4</v>
      </c>
      <c r="U136" t="inlineStr">
        <is>
          <t>2008-02-25</t>
        </is>
      </c>
      <c r="V136" t="inlineStr">
        <is>
          <t>2008-02-25</t>
        </is>
      </c>
      <c r="W136" t="inlineStr">
        <is>
          <t>1999-09-08</t>
        </is>
      </c>
      <c r="X136" t="inlineStr">
        <is>
          <t>1999-09-08</t>
        </is>
      </c>
      <c r="Y136" t="n">
        <v>574</v>
      </c>
      <c r="Z136" t="n">
        <v>466</v>
      </c>
      <c r="AA136" t="n">
        <v>987</v>
      </c>
      <c r="AB136" t="n">
        <v>3</v>
      </c>
      <c r="AC136" t="n">
        <v>8</v>
      </c>
      <c r="AD136" t="n">
        <v>25</v>
      </c>
      <c r="AE136" t="n">
        <v>50</v>
      </c>
      <c r="AF136" t="n">
        <v>11</v>
      </c>
      <c r="AG136" t="n">
        <v>22</v>
      </c>
      <c r="AH136" t="n">
        <v>6</v>
      </c>
      <c r="AI136" t="n">
        <v>10</v>
      </c>
      <c r="AJ136" t="n">
        <v>14</v>
      </c>
      <c r="AK136" t="n">
        <v>21</v>
      </c>
      <c r="AL136" t="n">
        <v>2</v>
      </c>
      <c r="AM136" t="n">
        <v>7</v>
      </c>
      <c r="AN136" t="n">
        <v>0</v>
      </c>
      <c r="AO136" t="n">
        <v>1</v>
      </c>
      <c r="AP136" t="inlineStr">
        <is>
          <t>No</t>
        </is>
      </c>
      <c r="AQ136" t="inlineStr">
        <is>
          <t>No</t>
        </is>
      </c>
      <c r="AS136">
        <f>HYPERLINK("https://creighton-primo.hosted.exlibrisgroup.com/primo-explore/search?tab=default_tab&amp;search_scope=EVERYTHING&amp;vid=01CRU&amp;lang=en_US&amp;offset=0&amp;query=any,contains,991002767249702656","Catalog Record")</f>
        <v/>
      </c>
      <c r="AT136">
        <f>HYPERLINK("http://www.worldcat.org/oclc/36315829","WorldCat Record")</f>
        <v/>
      </c>
      <c r="AU136" t="inlineStr">
        <is>
          <t>793900629:eng</t>
        </is>
      </c>
      <c r="AV136" t="inlineStr">
        <is>
          <t>36315829</t>
        </is>
      </c>
      <c r="AW136" t="inlineStr">
        <is>
          <t>991002767249702656</t>
        </is>
      </c>
      <c r="AX136" t="inlineStr">
        <is>
          <t>991002767249702656</t>
        </is>
      </c>
      <c r="AY136" t="inlineStr">
        <is>
          <t>2265029160002656</t>
        </is>
      </c>
      <c r="AZ136" t="inlineStr">
        <is>
          <t>BOOK</t>
        </is>
      </c>
      <c r="BB136" t="inlineStr">
        <is>
          <t>9780691026244</t>
        </is>
      </c>
      <c r="BC136" t="inlineStr">
        <is>
          <t>32285003587010</t>
        </is>
      </c>
      <c r="BD136" t="inlineStr">
        <is>
          <t>893886692</t>
        </is>
      </c>
    </row>
    <row r="137">
      <c r="A137" t="inlineStr">
        <is>
          <t>No</t>
        </is>
      </c>
      <c r="B137" t="inlineStr">
        <is>
          <t>HM131 .K35 1978</t>
        </is>
      </c>
      <c r="C137" t="inlineStr">
        <is>
          <t>0                      HM 0131000K  35          1978</t>
        </is>
      </c>
      <c r="D137" t="inlineStr">
        <is>
          <t>The social psychology of organizations / Daniel Katz, Robert L. Kahn.</t>
        </is>
      </c>
      <c r="F137" t="inlineStr">
        <is>
          <t>No</t>
        </is>
      </c>
      <c r="G137" t="inlineStr">
        <is>
          <t>1</t>
        </is>
      </c>
      <c r="H137" t="inlineStr">
        <is>
          <t>No</t>
        </is>
      </c>
      <c r="I137" t="inlineStr">
        <is>
          <t>No</t>
        </is>
      </c>
      <c r="J137" t="inlineStr">
        <is>
          <t>0</t>
        </is>
      </c>
      <c r="K137" t="inlineStr">
        <is>
          <t>Katz, Daniel, 1903-1998.</t>
        </is>
      </c>
      <c r="L137" t="inlineStr">
        <is>
          <t>New York : Wiley, c1978.</t>
        </is>
      </c>
      <c r="M137" t="inlineStr">
        <is>
          <t>1978</t>
        </is>
      </c>
      <c r="N137" t="inlineStr">
        <is>
          <t>2d ed.</t>
        </is>
      </c>
      <c r="O137" t="inlineStr">
        <is>
          <t>eng</t>
        </is>
      </c>
      <c r="P137" t="inlineStr">
        <is>
          <t>nyu</t>
        </is>
      </c>
      <c r="R137" t="inlineStr">
        <is>
          <t xml:space="preserve">HM </t>
        </is>
      </c>
      <c r="S137" t="n">
        <v>8</v>
      </c>
      <c r="T137" t="n">
        <v>8</v>
      </c>
      <c r="U137" t="inlineStr">
        <is>
          <t>2002-06-21</t>
        </is>
      </c>
      <c r="V137" t="inlineStr">
        <is>
          <t>2002-06-21</t>
        </is>
      </c>
      <c r="W137" t="inlineStr">
        <is>
          <t>1991-12-12</t>
        </is>
      </c>
      <c r="X137" t="inlineStr">
        <is>
          <t>1991-12-12</t>
        </is>
      </c>
      <c r="Y137" t="n">
        <v>999</v>
      </c>
      <c r="Z137" t="n">
        <v>694</v>
      </c>
      <c r="AA137" t="n">
        <v>1208</v>
      </c>
      <c r="AB137" t="n">
        <v>6</v>
      </c>
      <c r="AC137" t="n">
        <v>9</v>
      </c>
      <c r="AD137" t="n">
        <v>30</v>
      </c>
      <c r="AE137" t="n">
        <v>52</v>
      </c>
      <c r="AF137" t="n">
        <v>9</v>
      </c>
      <c r="AG137" t="n">
        <v>21</v>
      </c>
      <c r="AH137" t="n">
        <v>8</v>
      </c>
      <c r="AI137" t="n">
        <v>10</v>
      </c>
      <c r="AJ137" t="n">
        <v>16</v>
      </c>
      <c r="AK137" t="n">
        <v>26</v>
      </c>
      <c r="AL137" t="n">
        <v>4</v>
      </c>
      <c r="AM137" t="n">
        <v>7</v>
      </c>
      <c r="AN137" t="n">
        <v>0</v>
      </c>
      <c r="AO137" t="n">
        <v>1</v>
      </c>
      <c r="AP137" t="inlineStr">
        <is>
          <t>No</t>
        </is>
      </c>
      <c r="AQ137" t="inlineStr">
        <is>
          <t>Yes</t>
        </is>
      </c>
      <c r="AR137">
        <f>HYPERLINK("http://catalog.hathitrust.org/Record/000090148","HathiTrust Record")</f>
        <v/>
      </c>
      <c r="AS137">
        <f>HYPERLINK("https://creighton-primo.hosted.exlibrisgroup.com/primo-explore/search?tab=default_tab&amp;search_scope=EVERYTHING&amp;vid=01CRU&amp;lang=en_US&amp;offset=0&amp;query=any,contains,991004464059702656","Catalog Record")</f>
        <v/>
      </c>
      <c r="AT137">
        <f>HYPERLINK("http://www.worldcat.org/oclc/3558969","WorldCat Record")</f>
        <v/>
      </c>
      <c r="AU137" t="inlineStr">
        <is>
          <t>488360:eng</t>
        </is>
      </c>
      <c r="AV137" t="inlineStr">
        <is>
          <t>3558969</t>
        </is>
      </c>
      <c r="AW137" t="inlineStr">
        <is>
          <t>991004464059702656</t>
        </is>
      </c>
      <c r="AX137" t="inlineStr">
        <is>
          <t>991004464059702656</t>
        </is>
      </c>
      <c r="AY137" t="inlineStr">
        <is>
          <t>2262097550002656</t>
        </is>
      </c>
      <c r="AZ137" t="inlineStr">
        <is>
          <t>BOOK</t>
        </is>
      </c>
      <c r="BB137" t="inlineStr">
        <is>
          <t>9780471023555</t>
        </is>
      </c>
      <c r="BC137" t="inlineStr">
        <is>
          <t>32285000887264</t>
        </is>
      </c>
      <c r="BD137" t="inlineStr">
        <is>
          <t>893869741</t>
        </is>
      </c>
    </row>
    <row r="138">
      <c r="A138" t="inlineStr">
        <is>
          <t>No</t>
        </is>
      </c>
      <c r="B138" t="inlineStr">
        <is>
          <t>HM131 .K352</t>
        </is>
      </c>
      <c r="C138" t="inlineStr">
        <is>
          <t>0                      HM 0131000K  352</t>
        </is>
      </c>
      <c r="D138" t="inlineStr">
        <is>
          <t>The study of organizations : findings from field and laboratory / Daniel Katz, Robert L. Kahn, J. Stacy Adams.</t>
        </is>
      </c>
      <c r="F138" t="inlineStr">
        <is>
          <t>No</t>
        </is>
      </c>
      <c r="G138" t="inlineStr">
        <is>
          <t>1</t>
        </is>
      </c>
      <c r="H138" t="inlineStr">
        <is>
          <t>No</t>
        </is>
      </c>
      <c r="I138" t="inlineStr">
        <is>
          <t>No</t>
        </is>
      </c>
      <c r="J138" t="inlineStr">
        <is>
          <t>0</t>
        </is>
      </c>
      <c r="K138" t="inlineStr">
        <is>
          <t>Katz, Daniel, 1903-1998.</t>
        </is>
      </c>
      <c r="L138" t="inlineStr">
        <is>
          <t>San Francisco, Calif. : Jossey-Bass, 1980.</t>
        </is>
      </c>
      <c r="M138" t="inlineStr">
        <is>
          <t>1980</t>
        </is>
      </c>
      <c r="O138" t="inlineStr">
        <is>
          <t>eng</t>
        </is>
      </c>
      <c r="P138" t="inlineStr">
        <is>
          <t>cau</t>
        </is>
      </c>
      <c r="R138" t="inlineStr">
        <is>
          <t xml:space="preserve">HM </t>
        </is>
      </c>
      <c r="S138" t="n">
        <v>9</v>
      </c>
      <c r="T138" t="n">
        <v>9</v>
      </c>
      <c r="U138" t="inlineStr">
        <is>
          <t>1993-03-22</t>
        </is>
      </c>
      <c r="V138" t="inlineStr">
        <is>
          <t>1993-03-22</t>
        </is>
      </c>
      <c r="W138" t="inlineStr">
        <is>
          <t>1991-12-19</t>
        </is>
      </c>
      <c r="X138" t="inlineStr">
        <is>
          <t>1991-12-19</t>
        </is>
      </c>
      <c r="Y138" t="n">
        <v>795</v>
      </c>
      <c r="Z138" t="n">
        <v>629</v>
      </c>
      <c r="AA138" t="n">
        <v>639</v>
      </c>
      <c r="AB138" t="n">
        <v>6</v>
      </c>
      <c r="AC138" t="n">
        <v>6</v>
      </c>
      <c r="AD138" t="n">
        <v>33</v>
      </c>
      <c r="AE138" t="n">
        <v>34</v>
      </c>
      <c r="AF138" t="n">
        <v>11</v>
      </c>
      <c r="AG138" t="n">
        <v>11</v>
      </c>
      <c r="AH138" t="n">
        <v>7</v>
      </c>
      <c r="AI138" t="n">
        <v>8</v>
      </c>
      <c r="AJ138" t="n">
        <v>19</v>
      </c>
      <c r="AK138" t="n">
        <v>20</v>
      </c>
      <c r="AL138" t="n">
        <v>5</v>
      </c>
      <c r="AM138" t="n">
        <v>5</v>
      </c>
      <c r="AN138" t="n">
        <v>0</v>
      </c>
      <c r="AO138" t="n">
        <v>0</v>
      </c>
      <c r="AP138" t="inlineStr">
        <is>
          <t>No</t>
        </is>
      </c>
      <c r="AQ138" t="inlineStr">
        <is>
          <t>Yes</t>
        </is>
      </c>
      <c r="AR138">
        <f>HYPERLINK("http://catalog.hathitrust.org/Record/000727553","HathiTrust Record")</f>
        <v/>
      </c>
      <c r="AS138">
        <f>HYPERLINK("https://creighton-primo.hosted.exlibrisgroup.com/primo-explore/search?tab=default_tab&amp;search_scope=EVERYTHING&amp;vid=01CRU&amp;lang=en_US&amp;offset=0&amp;query=any,contains,991004969229702656","Catalog Record")</f>
        <v/>
      </c>
      <c r="AT138">
        <f>HYPERLINK("http://www.worldcat.org/oclc/6356241","WorldCat Record")</f>
        <v/>
      </c>
      <c r="AU138" t="inlineStr">
        <is>
          <t>350962035:eng</t>
        </is>
      </c>
      <c r="AV138" t="inlineStr">
        <is>
          <t>6356241</t>
        </is>
      </c>
      <c r="AW138" t="inlineStr">
        <is>
          <t>991004969229702656</t>
        </is>
      </c>
      <c r="AX138" t="inlineStr">
        <is>
          <t>991004969229702656</t>
        </is>
      </c>
      <c r="AY138" t="inlineStr">
        <is>
          <t>2255655520002656</t>
        </is>
      </c>
      <c r="AZ138" t="inlineStr">
        <is>
          <t>BOOK</t>
        </is>
      </c>
      <c r="BB138" t="inlineStr">
        <is>
          <t>9780875894645</t>
        </is>
      </c>
      <c r="BC138" t="inlineStr">
        <is>
          <t>32285000907690</t>
        </is>
      </c>
      <c r="BD138" t="inlineStr">
        <is>
          <t>893446482</t>
        </is>
      </c>
    </row>
    <row r="139">
      <c r="A139" t="inlineStr">
        <is>
          <t>No</t>
        </is>
      </c>
      <c r="B139" t="inlineStr">
        <is>
          <t>HM131 .K617 1992</t>
        </is>
      </c>
      <c r="C139" t="inlineStr">
        <is>
          <t>0                      HM 0131000K  617         1992</t>
        </is>
      </c>
      <c r="D139" t="inlineStr">
        <is>
          <t>Institutions and social conflict / Jack Knight.</t>
        </is>
      </c>
      <c r="F139" t="inlineStr">
        <is>
          <t>No</t>
        </is>
      </c>
      <c r="G139" t="inlineStr">
        <is>
          <t>1</t>
        </is>
      </c>
      <c r="H139" t="inlineStr">
        <is>
          <t>No</t>
        </is>
      </c>
      <c r="I139" t="inlineStr">
        <is>
          <t>No</t>
        </is>
      </c>
      <c r="J139" t="inlineStr">
        <is>
          <t>0</t>
        </is>
      </c>
      <c r="K139" t="inlineStr">
        <is>
          <t>Knight, Jack, 1952-</t>
        </is>
      </c>
      <c r="L139" t="inlineStr">
        <is>
          <t>Cambridge [England] ; New York, N.Y. : Cambridge University Press, 1992.</t>
        </is>
      </c>
      <c r="M139" t="inlineStr">
        <is>
          <t>1992</t>
        </is>
      </c>
      <c r="O139" t="inlineStr">
        <is>
          <t>eng</t>
        </is>
      </c>
      <c r="P139" t="inlineStr">
        <is>
          <t>enk</t>
        </is>
      </c>
      <c r="Q139" t="inlineStr">
        <is>
          <t>The Political economy of institutions and decisions</t>
        </is>
      </c>
      <c r="R139" t="inlineStr">
        <is>
          <t xml:space="preserve">HM </t>
        </is>
      </c>
      <c r="S139" t="n">
        <v>1</v>
      </c>
      <c r="T139" t="n">
        <v>1</v>
      </c>
      <c r="U139" t="inlineStr">
        <is>
          <t>2010-02-16</t>
        </is>
      </c>
      <c r="V139" t="inlineStr">
        <is>
          <t>2010-02-16</t>
        </is>
      </c>
      <c r="W139" t="inlineStr">
        <is>
          <t>1995-08-16</t>
        </is>
      </c>
      <c r="X139" t="inlineStr">
        <is>
          <t>1995-08-16</t>
        </is>
      </c>
      <c r="Y139" t="n">
        <v>457</v>
      </c>
      <c r="Z139" t="n">
        <v>308</v>
      </c>
      <c r="AA139" t="n">
        <v>316</v>
      </c>
      <c r="AB139" t="n">
        <v>4</v>
      </c>
      <c r="AC139" t="n">
        <v>4</v>
      </c>
      <c r="AD139" t="n">
        <v>25</v>
      </c>
      <c r="AE139" t="n">
        <v>25</v>
      </c>
      <c r="AF139" t="n">
        <v>4</v>
      </c>
      <c r="AG139" t="n">
        <v>4</v>
      </c>
      <c r="AH139" t="n">
        <v>4</v>
      </c>
      <c r="AI139" t="n">
        <v>4</v>
      </c>
      <c r="AJ139" t="n">
        <v>10</v>
      </c>
      <c r="AK139" t="n">
        <v>10</v>
      </c>
      <c r="AL139" t="n">
        <v>3</v>
      </c>
      <c r="AM139" t="n">
        <v>3</v>
      </c>
      <c r="AN139" t="n">
        <v>9</v>
      </c>
      <c r="AO139" t="n">
        <v>9</v>
      </c>
      <c r="AP139" t="inlineStr">
        <is>
          <t>No</t>
        </is>
      </c>
      <c r="AQ139" t="inlineStr">
        <is>
          <t>No</t>
        </is>
      </c>
      <c r="AS139">
        <f>HYPERLINK("https://creighton-primo.hosted.exlibrisgroup.com/primo-explore/search?tab=default_tab&amp;search_scope=EVERYTHING&amp;vid=01CRU&amp;lang=en_US&amp;offset=0&amp;query=any,contains,991001995669702656","Catalog Record")</f>
        <v/>
      </c>
      <c r="AT139">
        <f>HYPERLINK("http://www.worldcat.org/oclc/25368818","WorldCat Record")</f>
        <v/>
      </c>
      <c r="AU139" t="inlineStr">
        <is>
          <t>20666891:eng</t>
        </is>
      </c>
      <c r="AV139" t="inlineStr">
        <is>
          <t>25368818</t>
        </is>
      </c>
      <c r="AW139" t="inlineStr">
        <is>
          <t>991001995669702656</t>
        </is>
      </c>
      <c r="AX139" t="inlineStr">
        <is>
          <t>991001995669702656</t>
        </is>
      </c>
      <c r="AY139" t="inlineStr">
        <is>
          <t>2256936860002656</t>
        </is>
      </c>
      <c r="AZ139" t="inlineStr">
        <is>
          <t>BOOK</t>
        </is>
      </c>
      <c r="BB139" t="inlineStr">
        <is>
          <t>9780521420525</t>
        </is>
      </c>
      <c r="BC139" t="inlineStr">
        <is>
          <t>32285002077542</t>
        </is>
      </c>
      <c r="BD139" t="inlineStr">
        <is>
          <t>893334810</t>
        </is>
      </c>
    </row>
    <row r="140">
      <c r="A140" t="inlineStr">
        <is>
          <t>No</t>
        </is>
      </c>
      <c r="B140" t="inlineStr">
        <is>
          <t>HM131 .K92 1972</t>
        </is>
      </c>
      <c r="C140" t="inlineStr">
        <is>
          <t>0                      HM 0131000K  92          1972</t>
        </is>
      </c>
      <c r="D140" t="inlineStr">
        <is>
          <t>Mutual aid, a factor of evolution. With a foreword by Ashley Montagu, and The struggle for existence, by Thomas H. Huxley. With a new introd. for the Garland ed. by Esther Kingston-Mann.</t>
        </is>
      </c>
      <c r="F140" t="inlineStr">
        <is>
          <t>No</t>
        </is>
      </c>
      <c r="G140" t="inlineStr">
        <is>
          <t>1</t>
        </is>
      </c>
      <c r="H140" t="inlineStr">
        <is>
          <t>No</t>
        </is>
      </c>
      <c r="I140" t="inlineStr">
        <is>
          <t>No</t>
        </is>
      </c>
      <c r="J140" t="inlineStr">
        <is>
          <t>0</t>
        </is>
      </c>
      <c r="K140" t="inlineStr">
        <is>
          <t>Kropotkin, Petr Alekseevich, kni︠a︡zʹ, 1842-1921.</t>
        </is>
      </c>
      <c r="L140" t="inlineStr">
        <is>
          <t>New York, Garland Pub., 1972 [c1955]</t>
        </is>
      </c>
      <c r="M140" t="inlineStr">
        <is>
          <t>1972</t>
        </is>
      </c>
      <c r="O140" t="inlineStr">
        <is>
          <t>eng</t>
        </is>
      </c>
      <c r="P140" t="inlineStr">
        <is>
          <t>nyu</t>
        </is>
      </c>
      <c r="Q140" t="inlineStr">
        <is>
          <t>The Garland library of war and peace</t>
        </is>
      </c>
      <c r="R140" t="inlineStr">
        <is>
          <t xml:space="preserve">HM </t>
        </is>
      </c>
      <c r="S140" t="n">
        <v>2</v>
      </c>
      <c r="T140" t="n">
        <v>2</v>
      </c>
      <c r="U140" t="inlineStr">
        <is>
          <t>2004-04-15</t>
        </is>
      </c>
      <c r="V140" t="inlineStr">
        <is>
          <t>2004-04-15</t>
        </is>
      </c>
      <c r="W140" t="inlineStr">
        <is>
          <t>1997-07-29</t>
        </is>
      </c>
      <c r="X140" t="inlineStr">
        <is>
          <t>1997-07-29</t>
        </is>
      </c>
      <c r="Y140" t="n">
        <v>101</v>
      </c>
      <c r="Z140" t="n">
        <v>86</v>
      </c>
      <c r="AA140" t="n">
        <v>1070</v>
      </c>
      <c r="AB140" t="n">
        <v>2</v>
      </c>
      <c r="AC140" t="n">
        <v>4</v>
      </c>
      <c r="AD140" t="n">
        <v>2</v>
      </c>
      <c r="AE140" t="n">
        <v>45</v>
      </c>
      <c r="AF140" t="n">
        <v>0</v>
      </c>
      <c r="AG140" t="n">
        <v>19</v>
      </c>
      <c r="AH140" t="n">
        <v>0</v>
      </c>
      <c r="AI140" t="n">
        <v>10</v>
      </c>
      <c r="AJ140" t="n">
        <v>1</v>
      </c>
      <c r="AK140" t="n">
        <v>22</v>
      </c>
      <c r="AL140" t="n">
        <v>1</v>
      </c>
      <c r="AM140" t="n">
        <v>3</v>
      </c>
      <c r="AN140" t="n">
        <v>0</v>
      </c>
      <c r="AO140" t="n">
        <v>3</v>
      </c>
      <c r="AP140" t="inlineStr">
        <is>
          <t>No</t>
        </is>
      </c>
      <c r="AQ140" t="inlineStr">
        <is>
          <t>No</t>
        </is>
      </c>
      <c r="AS140">
        <f>HYPERLINK("https://creighton-primo.hosted.exlibrisgroup.com/primo-explore/search?tab=default_tab&amp;search_scope=EVERYTHING&amp;vid=01CRU&amp;lang=en_US&amp;offset=0&amp;query=any,contains,991002887299702656","Catalog Record")</f>
        <v/>
      </c>
      <c r="AT140">
        <f>HYPERLINK("http://www.worldcat.org/oclc/509435","WorldCat Record")</f>
        <v/>
      </c>
      <c r="AU140" t="inlineStr">
        <is>
          <t>4915909183:eng</t>
        </is>
      </c>
      <c r="AV140" t="inlineStr">
        <is>
          <t>509435</t>
        </is>
      </c>
      <c r="AW140" t="inlineStr">
        <is>
          <t>991002887299702656</t>
        </is>
      </c>
      <c r="AX140" t="inlineStr">
        <is>
          <t>991002887299702656</t>
        </is>
      </c>
      <c r="AY140" t="inlineStr">
        <is>
          <t>2261570540002656</t>
        </is>
      </c>
      <c r="AZ140" t="inlineStr">
        <is>
          <t>BOOK</t>
        </is>
      </c>
      <c r="BB140" t="inlineStr">
        <is>
          <t>9780824002671</t>
        </is>
      </c>
      <c r="BC140" t="inlineStr">
        <is>
          <t>32285003015517</t>
        </is>
      </c>
      <c r="BD140" t="inlineStr">
        <is>
          <t>893233557</t>
        </is>
      </c>
    </row>
    <row r="141">
      <c r="A141" t="inlineStr">
        <is>
          <t>No</t>
        </is>
      </c>
      <c r="B141" t="inlineStr">
        <is>
          <t>HM131 .L817 1990</t>
        </is>
      </c>
      <c r="C141" t="inlineStr">
        <is>
          <t>0                      HM 0131000L  817         1990</t>
        </is>
      </c>
      <c r="D141" t="inlineStr">
        <is>
          <t>Essays on self-reference / Niklas Luhmann.</t>
        </is>
      </c>
      <c r="F141" t="inlineStr">
        <is>
          <t>No</t>
        </is>
      </c>
      <c r="G141" t="inlineStr">
        <is>
          <t>1</t>
        </is>
      </c>
      <c r="H141" t="inlineStr">
        <is>
          <t>No</t>
        </is>
      </c>
      <c r="I141" t="inlineStr">
        <is>
          <t>No</t>
        </is>
      </c>
      <c r="J141" t="inlineStr">
        <is>
          <t>0</t>
        </is>
      </c>
      <c r="K141" t="inlineStr">
        <is>
          <t>Luhmann, Niklas, 1927-1998.</t>
        </is>
      </c>
      <c r="L141" t="inlineStr">
        <is>
          <t>New York : Columbia University Press, 1990.</t>
        </is>
      </c>
      <c r="M141" t="inlineStr">
        <is>
          <t>1990</t>
        </is>
      </c>
      <c r="O141" t="inlineStr">
        <is>
          <t>eng</t>
        </is>
      </c>
      <c r="P141" t="inlineStr">
        <is>
          <t>nyu</t>
        </is>
      </c>
      <c r="R141" t="inlineStr">
        <is>
          <t xml:space="preserve">HM </t>
        </is>
      </c>
      <c r="S141" t="n">
        <v>4</v>
      </c>
      <c r="T141" t="n">
        <v>4</v>
      </c>
      <c r="U141" t="inlineStr">
        <is>
          <t>2003-02-11</t>
        </is>
      </c>
      <c r="V141" t="inlineStr">
        <is>
          <t>2003-02-11</t>
        </is>
      </c>
      <c r="W141" t="inlineStr">
        <is>
          <t>1990-10-09</t>
        </is>
      </c>
      <c r="X141" t="inlineStr">
        <is>
          <t>1990-10-09</t>
        </is>
      </c>
      <c r="Y141" t="n">
        <v>354</v>
      </c>
      <c r="Z141" t="n">
        <v>254</v>
      </c>
      <c r="AA141" t="n">
        <v>254</v>
      </c>
      <c r="AB141" t="n">
        <v>3</v>
      </c>
      <c r="AC141" t="n">
        <v>3</v>
      </c>
      <c r="AD141" t="n">
        <v>13</v>
      </c>
      <c r="AE141" t="n">
        <v>13</v>
      </c>
      <c r="AF141" t="n">
        <v>1</v>
      </c>
      <c r="AG141" t="n">
        <v>1</v>
      </c>
      <c r="AH141" t="n">
        <v>3</v>
      </c>
      <c r="AI141" t="n">
        <v>3</v>
      </c>
      <c r="AJ141" t="n">
        <v>10</v>
      </c>
      <c r="AK141" t="n">
        <v>10</v>
      </c>
      <c r="AL141" t="n">
        <v>2</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HYPERLINK("https://creighton-primo.hosted.exlibrisgroup.com/primo-explore/search?tab=default_tab&amp;search_scope=EVERYTHING&amp;vid=01CRU&amp;lang=en_US&amp;offset=0&amp;query=any,contains,991001568519702656","Catalog Record")</f>
        <v/>
      </c>
      <c r="AT141">
        <f>HYPERLINK("http://www.worldcat.org/oclc/20357750","WorldCat Record")</f>
        <v/>
      </c>
      <c r="AU141" t="inlineStr">
        <is>
          <t>1061448:eng</t>
        </is>
      </c>
      <c r="AV141" t="inlineStr">
        <is>
          <t>20357750</t>
        </is>
      </c>
      <c r="AW141" t="inlineStr">
        <is>
          <t>991001568519702656</t>
        </is>
      </c>
      <c r="AX141" t="inlineStr">
        <is>
          <t>991001568519702656</t>
        </is>
      </c>
      <c r="AY141" t="inlineStr">
        <is>
          <t>2270568180002656</t>
        </is>
      </c>
      <c r="AZ141" t="inlineStr">
        <is>
          <t>BOOK</t>
        </is>
      </c>
      <c r="BB141" t="inlineStr">
        <is>
          <t>9780231063685</t>
        </is>
      </c>
      <c r="BC141" t="inlineStr">
        <is>
          <t>32285000279744</t>
        </is>
      </c>
      <c r="BD141" t="inlineStr">
        <is>
          <t>893596550</t>
        </is>
      </c>
    </row>
    <row r="142">
      <c r="A142" t="inlineStr">
        <is>
          <t>No</t>
        </is>
      </c>
      <c r="B142" t="inlineStr">
        <is>
          <t>HM131 .L8213</t>
        </is>
      </c>
      <c r="C142" t="inlineStr">
        <is>
          <t>0                      HM 0131000L  8213</t>
        </is>
      </c>
      <c r="D142" t="inlineStr">
        <is>
          <t>The differentiation of society / Niklas Luhmann ; translated by Stephen Holmes and Charles Larmore.</t>
        </is>
      </c>
      <c r="F142" t="inlineStr">
        <is>
          <t>No</t>
        </is>
      </c>
      <c r="G142" t="inlineStr">
        <is>
          <t>1</t>
        </is>
      </c>
      <c r="H142" t="inlineStr">
        <is>
          <t>No</t>
        </is>
      </c>
      <c r="I142" t="inlineStr">
        <is>
          <t>No</t>
        </is>
      </c>
      <c r="J142" t="inlineStr">
        <is>
          <t>0</t>
        </is>
      </c>
      <c r="K142" t="inlineStr">
        <is>
          <t>Luhmann, Niklas, 1927-1998.</t>
        </is>
      </c>
      <c r="L142" t="inlineStr">
        <is>
          <t>New York : Columbia University Press, 1982.</t>
        </is>
      </c>
      <c r="M142" t="inlineStr">
        <is>
          <t>1982</t>
        </is>
      </c>
      <c r="O142" t="inlineStr">
        <is>
          <t>eng</t>
        </is>
      </c>
      <c r="P142" t="inlineStr">
        <is>
          <t>nyu</t>
        </is>
      </c>
      <c r="Q142" t="inlineStr">
        <is>
          <t>European perspectives</t>
        </is>
      </c>
      <c r="R142" t="inlineStr">
        <is>
          <t xml:space="preserve">HM </t>
        </is>
      </c>
      <c r="S142" t="n">
        <v>1</v>
      </c>
      <c r="T142" t="n">
        <v>1</v>
      </c>
      <c r="U142" t="inlineStr">
        <is>
          <t>2009-09-21</t>
        </is>
      </c>
      <c r="V142" t="inlineStr">
        <is>
          <t>2009-09-21</t>
        </is>
      </c>
      <c r="W142" t="inlineStr">
        <is>
          <t>1992-08-24</t>
        </is>
      </c>
      <c r="X142" t="inlineStr">
        <is>
          <t>1992-08-24</t>
        </is>
      </c>
      <c r="Y142" t="n">
        <v>418</v>
      </c>
      <c r="Z142" t="n">
        <v>286</v>
      </c>
      <c r="AA142" t="n">
        <v>290</v>
      </c>
      <c r="AB142" t="n">
        <v>3</v>
      </c>
      <c r="AC142" t="n">
        <v>3</v>
      </c>
      <c r="AD142" t="n">
        <v>14</v>
      </c>
      <c r="AE142" t="n">
        <v>14</v>
      </c>
      <c r="AF142" t="n">
        <v>2</v>
      </c>
      <c r="AG142" t="n">
        <v>2</v>
      </c>
      <c r="AH142" t="n">
        <v>4</v>
      </c>
      <c r="AI142" t="n">
        <v>4</v>
      </c>
      <c r="AJ142" t="n">
        <v>7</v>
      </c>
      <c r="AK142" t="n">
        <v>7</v>
      </c>
      <c r="AL142" t="n">
        <v>2</v>
      </c>
      <c r="AM142" t="n">
        <v>2</v>
      </c>
      <c r="AN142" t="n">
        <v>2</v>
      </c>
      <c r="AO142" t="n">
        <v>2</v>
      </c>
      <c r="AP142" t="inlineStr">
        <is>
          <t>No</t>
        </is>
      </c>
      <c r="AQ142" t="inlineStr">
        <is>
          <t>No</t>
        </is>
      </c>
      <c r="AS142">
        <f>HYPERLINK("https://creighton-primo.hosted.exlibrisgroup.com/primo-explore/search?tab=default_tab&amp;search_scope=EVERYTHING&amp;vid=01CRU&amp;lang=en_US&amp;offset=0&amp;query=any,contains,991005126099702656","Catalog Record")</f>
        <v/>
      </c>
      <c r="AT142">
        <f>HYPERLINK("http://www.worldcat.org/oclc/7553678","WorldCat Record")</f>
        <v/>
      </c>
      <c r="AU142" t="inlineStr">
        <is>
          <t>2974032534:eng</t>
        </is>
      </c>
      <c r="AV142" t="inlineStr">
        <is>
          <t>7553678</t>
        </is>
      </c>
      <c r="AW142" t="inlineStr">
        <is>
          <t>991005126099702656</t>
        </is>
      </c>
      <c r="AX142" t="inlineStr">
        <is>
          <t>991005126099702656</t>
        </is>
      </c>
      <c r="AY142" t="inlineStr">
        <is>
          <t>2262595820002656</t>
        </is>
      </c>
      <c r="AZ142" t="inlineStr">
        <is>
          <t>BOOK</t>
        </is>
      </c>
      <c r="BB142" t="inlineStr">
        <is>
          <t>9780231049962</t>
        </is>
      </c>
      <c r="BC142" t="inlineStr">
        <is>
          <t>32285001265908</t>
        </is>
      </c>
      <c r="BD142" t="inlineStr">
        <is>
          <t>893694790</t>
        </is>
      </c>
    </row>
    <row r="143">
      <c r="A143" t="inlineStr">
        <is>
          <t>No</t>
        </is>
      </c>
      <c r="B143" t="inlineStr">
        <is>
          <t>HM131 .M318713 1996</t>
        </is>
      </c>
      <c r="C143" t="inlineStr">
        <is>
          <t>0                      HM 0131000M  318713      1996</t>
        </is>
      </c>
      <c r="D143" t="inlineStr">
        <is>
          <t>The time of the tribes : the decline of individualism in mass society / Michel Maffesoli ; translated by Don Smith.</t>
        </is>
      </c>
      <c r="F143" t="inlineStr">
        <is>
          <t>No</t>
        </is>
      </c>
      <c r="G143" t="inlineStr">
        <is>
          <t>1</t>
        </is>
      </c>
      <c r="H143" t="inlineStr">
        <is>
          <t>No</t>
        </is>
      </c>
      <c r="I143" t="inlineStr">
        <is>
          <t>No</t>
        </is>
      </c>
      <c r="J143" t="inlineStr">
        <is>
          <t>0</t>
        </is>
      </c>
      <c r="K143" t="inlineStr">
        <is>
          <t>Maffesoli, Michel.</t>
        </is>
      </c>
      <c r="L143" t="inlineStr">
        <is>
          <t>London ; Thousand Oaks, Calif. : Sage, 1996.</t>
        </is>
      </c>
      <c r="M143" t="inlineStr">
        <is>
          <t>1996</t>
        </is>
      </c>
      <c r="O143" t="inlineStr">
        <is>
          <t>eng</t>
        </is>
      </c>
      <c r="P143" t="inlineStr">
        <is>
          <t>enk</t>
        </is>
      </c>
      <c r="Q143" t="inlineStr">
        <is>
          <t>Theory, culture &amp; society</t>
        </is>
      </c>
      <c r="R143" t="inlineStr">
        <is>
          <t xml:space="preserve">HM </t>
        </is>
      </c>
      <c r="S143" t="n">
        <v>3</v>
      </c>
      <c r="T143" t="n">
        <v>3</v>
      </c>
      <c r="U143" t="inlineStr">
        <is>
          <t>1996-10-31</t>
        </is>
      </c>
      <c r="V143" t="inlineStr">
        <is>
          <t>1996-10-31</t>
        </is>
      </c>
      <c r="W143" t="inlineStr">
        <is>
          <t>1996-10-15</t>
        </is>
      </c>
      <c r="X143" t="inlineStr">
        <is>
          <t>1996-10-15</t>
        </is>
      </c>
      <c r="Y143" t="n">
        <v>454</v>
      </c>
      <c r="Z143" t="n">
        <v>236</v>
      </c>
      <c r="AA143" t="n">
        <v>872</v>
      </c>
      <c r="AB143" t="n">
        <v>3</v>
      </c>
      <c r="AC143" t="n">
        <v>8</v>
      </c>
      <c r="AD143" t="n">
        <v>16</v>
      </c>
      <c r="AE143" t="n">
        <v>36</v>
      </c>
      <c r="AF143" t="n">
        <v>4</v>
      </c>
      <c r="AG143" t="n">
        <v>11</v>
      </c>
      <c r="AH143" t="n">
        <v>5</v>
      </c>
      <c r="AI143" t="n">
        <v>10</v>
      </c>
      <c r="AJ143" t="n">
        <v>8</v>
      </c>
      <c r="AK143" t="n">
        <v>15</v>
      </c>
      <c r="AL143" t="n">
        <v>2</v>
      </c>
      <c r="AM143" t="n">
        <v>7</v>
      </c>
      <c r="AN143" t="n">
        <v>0</v>
      </c>
      <c r="AO143" t="n">
        <v>1</v>
      </c>
      <c r="AP143" t="inlineStr">
        <is>
          <t>No</t>
        </is>
      </c>
      <c r="AQ143" t="inlineStr">
        <is>
          <t>No</t>
        </is>
      </c>
      <c r="AS143">
        <f>HYPERLINK("https://creighton-primo.hosted.exlibrisgroup.com/primo-explore/search?tab=default_tab&amp;search_scope=EVERYTHING&amp;vid=01CRU&amp;lang=en_US&amp;offset=0&amp;query=any,contains,991002617069702656","Catalog Record")</f>
        <v/>
      </c>
      <c r="AT143">
        <f>HYPERLINK("http://www.worldcat.org/oclc/34313680","WorldCat Record")</f>
        <v/>
      </c>
      <c r="AU143" t="inlineStr">
        <is>
          <t>1151557043:eng</t>
        </is>
      </c>
      <c r="AV143" t="inlineStr">
        <is>
          <t>34313680</t>
        </is>
      </c>
      <c r="AW143" t="inlineStr">
        <is>
          <t>991002617069702656</t>
        </is>
      </c>
      <c r="AX143" t="inlineStr">
        <is>
          <t>991002617069702656</t>
        </is>
      </c>
      <c r="AY143" t="inlineStr">
        <is>
          <t>2260074390002656</t>
        </is>
      </c>
      <c r="AZ143" t="inlineStr">
        <is>
          <t>BOOK</t>
        </is>
      </c>
      <c r="BB143" t="inlineStr">
        <is>
          <t>9780803984738</t>
        </is>
      </c>
      <c r="BC143" t="inlineStr">
        <is>
          <t>32285002365939</t>
        </is>
      </c>
      <c r="BD143" t="inlineStr">
        <is>
          <t>893510978</t>
        </is>
      </c>
    </row>
    <row r="144">
      <c r="A144" t="inlineStr">
        <is>
          <t>No</t>
        </is>
      </c>
      <c r="B144" t="inlineStr">
        <is>
          <t>HM131 .M32</t>
        </is>
      </c>
      <c r="C144" t="inlineStr">
        <is>
          <t>0                      HM 0131000M  32</t>
        </is>
      </c>
      <c r="D144" t="inlineStr">
        <is>
          <t>Problem-solving discussions and conferences: leadership methods and skills.</t>
        </is>
      </c>
      <c r="F144" t="inlineStr">
        <is>
          <t>No</t>
        </is>
      </c>
      <c r="G144" t="inlineStr">
        <is>
          <t>1</t>
        </is>
      </c>
      <c r="H144" t="inlineStr">
        <is>
          <t>No</t>
        </is>
      </c>
      <c r="I144" t="inlineStr">
        <is>
          <t>No</t>
        </is>
      </c>
      <c r="J144" t="inlineStr">
        <is>
          <t>0</t>
        </is>
      </c>
      <c r="K144" t="inlineStr">
        <is>
          <t>Maier, Norman R. F. (Norman Raymond Frederick), 1900-1977.</t>
        </is>
      </c>
      <c r="L144" t="inlineStr">
        <is>
          <t>New York, McGraw-Hill [c1963]</t>
        </is>
      </c>
      <c r="M144" t="inlineStr">
        <is>
          <t>1963</t>
        </is>
      </c>
      <c r="O144" t="inlineStr">
        <is>
          <t>eng</t>
        </is>
      </c>
      <c r="P144" t="inlineStr">
        <is>
          <t>nyu</t>
        </is>
      </c>
      <c r="Q144" t="inlineStr">
        <is>
          <t>McGraw-Hill series in management</t>
        </is>
      </c>
      <c r="R144" t="inlineStr">
        <is>
          <t xml:space="preserve">HM </t>
        </is>
      </c>
      <c r="S144" t="n">
        <v>1</v>
      </c>
      <c r="T144" t="n">
        <v>1</v>
      </c>
      <c r="U144" t="inlineStr">
        <is>
          <t>2006-01-24</t>
        </is>
      </c>
      <c r="V144" t="inlineStr">
        <is>
          <t>2006-01-24</t>
        </is>
      </c>
      <c r="W144" t="inlineStr">
        <is>
          <t>1997-07-29</t>
        </is>
      </c>
      <c r="X144" t="inlineStr">
        <is>
          <t>1997-07-29</t>
        </is>
      </c>
      <c r="Y144" t="n">
        <v>811</v>
      </c>
      <c r="Z144" t="n">
        <v>637</v>
      </c>
      <c r="AA144" t="n">
        <v>647</v>
      </c>
      <c r="AB144" t="n">
        <v>5</v>
      </c>
      <c r="AC144" t="n">
        <v>5</v>
      </c>
      <c r="AD144" t="n">
        <v>28</v>
      </c>
      <c r="AE144" t="n">
        <v>28</v>
      </c>
      <c r="AF144" t="n">
        <v>11</v>
      </c>
      <c r="AG144" t="n">
        <v>11</v>
      </c>
      <c r="AH144" t="n">
        <v>6</v>
      </c>
      <c r="AI144" t="n">
        <v>6</v>
      </c>
      <c r="AJ144" t="n">
        <v>15</v>
      </c>
      <c r="AK144" t="n">
        <v>15</v>
      </c>
      <c r="AL144" t="n">
        <v>3</v>
      </c>
      <c r="AM144" t="n">
        <v>3</v>
      </c>
      <c r="AN144" t="n">
        <v>0</v>
      </c>
      <c r="AO144" t="n">
        <v>0</v>
      </c>
      <c r="AP144" t="inlineStr">
        <is>
          <t>Yes</t>
        </is>
      </c>
      <c r="AQ144" t="inlineStr">
        <is>
          <t>No</t>
        </is>
      </c>
      <c r="AR144">
        <f>HYPERLINK("http://catalog.hathitrust.org/Record/001109260","HathiTrust Record")</f>
        <v/>
      </c>
      <c r="AS144">
        <f>HYPERLINK("https://creighton-primo.hosted.exlibrisgroup.com/primo-explore/search?tab=default_tab&amp;search_scope=EVERYTHING&amp;vid=01CRU&amp;lang=en_US&amp;offset=0&amp;query=any,contains,991005254569702656","Catalog Record")</f>
        <v/>
      </c>
      <c r="AT144">
        <f>HYPERLINK("http://www.worldcat.org/oclc/190816","WorldCat Record")</f>
        <v/>
      </c>
      <c r="AU144" t="inlineStr">
        <is>
          <t>144801725:eng</t>
        </is>
      </c>
      <c r="AV144" t="inlineStr">
        <is>
          <t>190816</t>
        </is>
      </c>
      <c r="AW144" t="inlineStr">
        <is>
          <t>991005254569702656</t>
        </is>
      </c>
      <c r="AX144" t="inlineStr">
        <is>
          <t>991005254569702656</t>
        </is>
      </c>
      <c r="AY144" t="inlineStr">
        <is>
          <t>2259249100002656</t>
        </is>
      </c>
      <c r="AZ144" t="inlineStr">
        <is>
          <t>BOOK</t>
        </is>
      </c>
      <c r="BC144" t="inlineStr">
        <is>
          <t>32285003015590</t>
        </is>
      </c>
      <c r="BD144" t="inlineStr">
        <is>
          <t>893613400</t>
        </is>
      </c>
    </row>
    <row r="145">
      <c r="A145" t="inlineStr">
        <is>
          <t>No</t>
        </is>
      </c>
      <c r="B145" t="inlineStr">
        <is>
          <t>HM131 .M335</t>
        </is>
      </c>
      <c r="C145" t="inlineStr">
        <is>
          <t>0                      HM 0131000M  335</t>
        </is>
      </c>
      <c r="D145" t="inlineStr">
        <is>
          <t>Handbook of organizations. Edited by James G. March.</t>
        </is>
      </c>
      <c r="F145" t="inlineStr">
        <is>
          <t>No</t>
        </is>
      </c>
      <c r="G145" t="inlineStr">
        <is>
          <t>1</t>
        </is>
      </c>
      <c r="H145" t="inlineStr">
        <is>
          <t>No</t>
        </is>
      </c>
      <c r="I145" t="inlineStr">
        <is>
          <t>No</t>
        </is>
      </c>
      <c r="J145" t="inlineStr">
        <is>
          <t>0</t>
        </is>
      </c>
      <c r="K145" t="inlineStr">
        <is>
          <t>March, James G. editor.</t>
        </is>
      </c>
      <c r="L145" t="inlineStr">
        <is>
          <t>Chicago, Rand McNally [1965]</t>
        </is>
      </c>
      <c r="M145" t="inlineStr">
        <is>
          <t>1965</t>
        </is>
      </c>
      <c r="O145" t="inlineStr">
        <is>
          <t>eng</t>
        </is>
      </c>
      <c r="P145" t="inlineStr">
        <is>
          <t>ilu</t>
        </is>
      </c>
      <c r="Q145" t="inlineStr">
        <is>
          <t>Rand McNally sociology series</t>
        </is>
      </c>
      <c r="R145" t="inlineStr">
        <is>
          <t xml:space="preserve">HM </t>
        </is>
      </c>
      <c r="S145" t="n">
        <v>4</v>
      </c>
      <c r="T145" t="n">
        <v>4</v>
      </c>
      <c r="U145" t="inlineStr">
        <is>
          <t>1998-02-10</t>
        </is>
      </c>
      <c r="V145" t="inlineStr">
        <is>
          <t>1998-02-10</t>
        </is>
      </c>
      <c r="W145" t="inlineStr">
        <is>
          <t>1997-07-29</t>
        </is>
      </c>
      <c r="X145" t="inlineStr">
        <is>
          <t>1997-07-29</t>
        </is>
      </c>
      <c r="Y145" t="n">
        <v>1040</v>
      </c>
      <c r="Z145" t="n">
        <v>795</v>
      </c>
      <c r="AA145" t="n">
        <v>833</v>
      </c>
      <c r="AB145" t="n">
        <v>7</v>
      </c>
      <c r="AC145" t="n">
        <v>7</v>
      </c>
      <c r="AD145" t="n">
        <v>34</v>
      </c>
      <c r="AE145" t="n">
        <v>35</v>
      </c>
      <c r="AF145" t="n">
        <v>12</v>
      </c>
      <c r="AG145" t="n">
        <v>12</v>
      </c>
      <c r="AH145" t="n">
        <v>6</v>
      </c>
      <c r="AI145" t="n">
        <v>7</v>
      </c>
      <c r="AJ145" t="n">
        <v>19</v>
      </c>
      <c r="AK145" t="n">
        <v>19</v>
      </c>
      <c r="AL145" t="n">
        <v>6</v>
      </c>
      <c r="AM145" t="n">
        <v>6</v>
      </c>
      <c r="AN145" t="n">
        <v>0</v>
      </c>
      <c r="AO145" t="n">
        <v>0</v>
      </c>
      <c r="AP145" t="inlineStr">
        <is>
          <t>No</t>
        </is>
      </c>
      <c r="AQ145" t="inlineStr">
        <is>
          <t>Yes</t>
        </is>
      </c>
      <c r="AR145">
        <f>HYPERLINK("http://catalog.hathitrust.org/Record/001326316","HathiTrust Record")</f>
        <v/>
      </c>
      <c r="AS145">
        <f>HYPERLINK("https://creighton-primo.hosted.exlibrisgroup.com/primo-explore/search?tab=default_tab&amp;search_scope=EVERYTHING&amp;vid=01CRU&amp;lang=en_US&amp;offset=0&amp;query=any,contains,991001366709702656","Catalog Record")</f>
        <v/>
      </c>
      <c r="AT145">
        <f>HYPERLINK("http://www.worldcat.org/oclc/222693","WorldCat Record")</f>
        <v/>
      </c>
      <c r="AU145" t="inlineStr">
        <is>
          <t>54868180:eng</t>
        </is>
      </c>
      <c r="AV145" t="inlineStr">
        <is>
          <t>222693</t>
        </is>
      </c>
      <c r="AW145" t="inlineStr">
        <is>
          <t>991001366709702656</t>
        </is>
      </c>
      <c r="AX145" t="inlineStr">
        <is>
          <t>991001366709702656</t>
        </is>
      </c>
      <c r="AY145" t="inlineStr">
        <is>
          <t>2262281620002656</t>
        </is>
      </c>
      <c r="AZ145" t="inlineStr">
        <is>
          <t>BOOK</t>
        </is>
      </c>
      <c r="BC145" t="inlineStr">
        <is>
          <t>32285003015616</t>
        </is>
      </c>
      <c r="BD145" t="inlineStr">
        <is>
          <t>893334283</t>
        </is>
      </c>
    </row>
    <row r="146">
      <c r="A146" t="inlineStr">
        <is>
          <t>No</t>
        </is>
      </c>
      <c r="B146" t="inlineStr">
        <is>
          <t>HM131 .M33625 1990</t>
        </is>
      </c>
      <c r="C146" t="inlineStr">
        <is>
          <t>0                      HM 0131000M  33625       1990</t>
        </is>
      </c>
      <c r="D146" t="inlineStr">
        <is>
          <t>Perspectives on the small community : humanistic views for practitioners / Emilia E. Martinez-Brawley.</t>
        </is>
      </c>
      <c r="F146" t="inlineStr">
        <is>
          <t>No</t>
        </is>
      </c>
      <c r="G146" t="inlineStr">
        <is>
          <t>1</t>
        </is>
      </c>
      <c r="H146" t="inlineStr">
        <is>
          <t>No</t>
        </is>
      </c>
      <c r="I146" t="inlineStr">
        <is>
          <t>No</t>
        </is>
      </c>
      <c r="J146" t="inlineStr">
        <is>
          <t>0</t>
        </is>
      </c>
      <c r="K146" t="inlineStr">
        <is>
          <t>Martinez-Brawley, Emilia E., 1939-</t>
        </is>
      </c>
      <c r="L146" t="inlineStr">
        <is>
          <t>Silver Spring, MD : National Association of Social Workers, c1990.</t>
        </is>
      </c>
      <c r="M146" t="inlineStr">
        <is>
          <t>1990</t>
        </is>
      </c>
      <c r="O146" t="inlineStr">
        <is>
          <t>eng</t>
        </is>
      </c>
      <c r="P146" t="inlineStr">
        <is>
          <t>mdu</t>
        </is>
      </c>
      <c r="R146" t="inlineStr">
        <is>
          <t xml:space="preserve">HM </t>
        </is>
      </c>
      <c r="S146" t="n">
        <v>1</v>
      </c>
      <c r="T146" t="n">
        <v>1</v>
      </c>
      <c r="U146" t="inlineStr">
        <is>
          <t>2001-09-18</t>
        </is>
      </c>
      <c r="V146" t="inlineStr">
        <is>
          <t>2001-09-18</t>
        </is>
      </c>
      <c r="W146" t="inlineStr">
        <is>
          <t>1991-02-01</t>
        </is>
      </c>
      <c r="X146" t="inlineStr">
        <is>
          <t>1991-02-01</t>
        </is>
      </c>
      <c r="Y146" t="n">
        <v>476</v>
      </c>
      <c r="Z146" t="n">
        <v>419</v>
      </c>
      <c r="AA146" t="n">
        <v>433</v>
      </c>
      <c r="AB146" t="n">
        <v>5</v>
      </c>
      <c r="AC146" t="n">
        <v>5</v>
      </c>
      <c r="AD146" t="n">
        <v>21</v>
      </c>
      <c r="AE146" t="n">
        <v>21</v>
      </c>
      <c r="AF146" t="n">
        <v>7</v>
      </c>
      <c r="AG146" t="n">
        <v>7</v>
      </c>
      <c r="AH146" t="n">
        <v>7</v>
      </c>
      <c r="AI146" t="n">
        <v>7</v>
      </c>
      <c r="AJ146" t="n">
        <v>9</v>
      </c>
      <c r="AK146" t="n">
        <v>9</v>
      </c>
      <c r="AL146" t="n">
        <v>4</v>
      </c>
      <c r="AM146" t="n">
        <v>4</v>
      </c>
      <c r="AN146" t="n">
        <v>0</v>
      </c>
      <c r="AO146" t="n">
        <v>0</v>
      </c>
      <c r="AP146" t="inlineStr">
        <is>
          <t>No</t>
        </is>
      </c>
      <c r="AQ146" t="inlineStr">
        <is>
          <t>Yes</t>
        </is>
      </c>
      <c r="AR146">
        <f>HYPERLINK("http://catalog.hathitrust.org/Record/002494777","HathiTrust Record")</f>
        <v/>
      </c>
      <c r="AS146">
        <f>HYPERLINK("https://creighton-primo.hosted.exlibrisgroup.com/primo-explore/search?tab=default_tab&amp;search_scope=EVERYTHING&amp;vid=01CRU&amp;lang=en_US&amp;offset=0&amp;query=any,contains,991001711559702656","Catalog Record")</f>
        <v/>
      </c>
      <c r="AT146">
        <f>HYPERLINK("http://www.worldcat.org/oclc/21600355","WorldCat Record")</f>
        <v/>
      </c>
      <c r="AU146" t="inlineStr">
        <is>
          <t>20834961:eng</t>
        </is>
      </c>
      <c r="AV146" t="inlineStr">
        <is>
          <t>21600355</t>
        </is>
      </c>
      <c r="AW146" t="inlineStr">
        <is>
          <t>991001711559702656</t>
        </is>
      </c>
      <c r="AX146" t="inlineStr">
        <is>
          <t>991001711559702656</t>
        </is>
      </c>
      <c r="AY146" t="inlineStr">
        <is>
          <t>2260031760002656</t>
        </is>
      </c>
      <c r="AZ146" t="inlineStr">
        <is>
          <t>BOOK</t>
        </is>
      </c>
      <c r="BB146" t="inlineStr">
        <is>
          <t>9780871011831</t>
        </is>
      </c>
      <c r="BC146" t="inlineStr">
        <is>
          <t>32285000463041</t>
        </is>
      </c>
      <c r="BD146" t="inlineStr">
        <is>
          <t>893256435</t>
        </is>
      </c>
    </row>
    <row r="147">
      <c r="A147" t="inlineStr">
        <is>
          <t>No</t>
        </is>
      </c>
      <c r="B147" t="inlineStr">
        <is>
          <t>HM131 .M567 1992</t>
        </is>
      </c>
      <c r="C147" t="inlineStr">
        <is>
          <t>0                      HM 0131000M  567         1992</t>
        </is>
      </c>
      <c r="D147" t="inlineStr">
        <is>
          <t>Modernity and identity / edited by Scott Lash and Jonathan Friedman.</t>
        </is>
      </c>
      <c r="F147" t="inlineStr">
        <is>
          <t>No</t>
        </is>
      </c>
      <c r="G147" t="inlineStr">
        <is>
          <t>1</t>
        </is>
      </c>
      <c r="H147" t="inlineStr">
        <is>
          <t>No</t>
        </is>
      </c>
      <c r="I147" t="inlineStr">
        <is>
          <t>No</t>
        </is>
      </c>
      <c r="J147" t="inlineStr">
        <is>
          <t>0</t>
        </is>
      </c>
      <c r="L147" t="inlineStr">
        <is>
          <t>Oxford ; Cambridge, Mass. : Blackwell, 1992.</t>
        </is>
      </c>
      <c r="M147" t="inlineStr">
        <is>
          <t>1992</t>
        </is>
      </c>
      <c r="O147" t="inlineStr">
        <is>
          <t>eng</t>
        </is>
      </c>
      <c r="P147" t="inlineStr">
        <is>
          <t>enk</t>
        </is>
      </c>
      <c r="R147" t="inlineStr">
        <is>
          <t xml:space="preserve">HM </t>
        </is>
      </c>
      <c r="S147" t="n">
        <v>4</v>
      </c>
      <c r="T147" t="n">
        <v>4</v>
      </c>
      <c r="U147" t="inlineStr">
        <is>
          <t>2007-11-13</t>
        </is>
      </c>
      <c r="V147" t="inlineStr">
        <is>
          <t>2007-11-13</t>
        </is>
      </c>
      <c r="W147" t="inlineStr">
        <is>
          <t>1992-04-09</t>
        </is>
      </c>
      <c r="X147" t="inlineStr">
        <is>
          <t>1992-04-09</t>
        </is>
      </c>
      <c r="Y147" t="n">
        <v>475</v>
      </c>
      <c r="Z147" t="n">
        <v>241</v>
      </c>
      <c r="AA147" t="n">
        <v>250</v>
      </c>
      <c r="AB147" t="n">
        <v>3</v>
      </c>
      <c r="AC147" t="n">
        <v>3</v>
      </c>
      <c r="AD147" t="n">
        <v>19</v>
      </c>
      <c r="AE147" t="n">
        <v>19</v>
      </c>
      <c r="AF147" t="n">
        <v>5</v>
      </c>
      <c r="AG147" t="n">
        <v>5</v>
      </c>
      <c r="AH147" t="n">
        <v>7</v>
      </c>
      <c r="AI147" t="n">
        <v>7</v>
      </c>
      <c r="AJ147" t="n">
        <v>9</v>
      </c>
      <c r="AK147" t="n">
        <v>9</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HYPERLINK("https://creighton-primo.hosted.exlibrisgroup.com/primo-explore/search?tab=default_tab&amp;search_scope=EVERYTHING&amp;vid=01CRU&amp;lang=en_US&amp;offset=0&amp;query=any,contains,991001833169702656","Catalog Record")</f>
        <v/>
      </c>
      <c r="AT147">
        <f>HYPERLINK("http://www.worldcat.org/oclc/23017927","WorldCat Record")</f>
        <v/>
      </c>
      <c r="AU147" t="inlineStr">
        <is>
          <t>349950209:eng</t>
        </is>
      </c>
      <c r="AV147" t="inlineStr">
        <is>
          <t>23017927</t>
        </is>
      </c>
      <c r="AW147" t="inlineStr">
        <is>
          <t>991001833169702656</t>
        </is>
      </c>
      <c r="AX147" t="inlineStr">
        <is>
          <t>991001833169702656</t>
        </is>
      </c>
      <c r="AY147" t="inlineStr">
        <is>
          <t>2266276420002656</t>
        </is>
      </c>
      <c r="AZ147" t="inlineStr">
        <is>
          <t>BOOK</t>
        </is>
      </c>
      <c r="BB147" t="inlineStr">
        <is>
          <t>9780631175865</t>
        </is>
      </c>
      <c r="BC147" t="inlineStr">
        <is>
          <t>32285001009124</t>
        </is>
      </c>
      <c r="BD147" t="inlineStr">
        <is>
          <t>893803942</t>
        </is>
      </c>
    </row>
    <row r="148">
      <c r="A148" t="inlineStr">
        <is>
          <t>No</t>
        </is>
      </c>
      <c r="B148" t="inlineStr">
        <is>
          <t>HM131 .P57</t>
        </is>
      </c>
      <c r="C148" t="inlineStr">
        <is>
          <t>0                      HM 0131000P  57</t>
        </is>
      </c>
      <c r="D148" t="inlineStr">
        <is>
          <t>Community and ideology; an essay in applied social philosophy.</t>
        </is>
      </c>
      <c r="F148" t="inlineStr">
        <is>
          <t>No</t>
        </is>
      </c>
      <c r="G148" t="inlineStr">
        <is>
          <t>1</t>
        </is>
      </c>
      <c r="H148" t="inlineStr">
        <is>
          <t>No</t>
        </is>
      </c>
      <c r="I148" t="inlineStr">
        <is>
          <t>No</t>
        </is>
      </c>
      <c r="J148" t="inlineStr">
        <is>
          <t>0</t>
        </is>
      </c>
      <c r="K148" t="inlineStr">
        <is>
          <t>Plant, Raymond.</t>
        </is>
      </c>
      <c r="L148" t="inlineStr">
        <is>
          <t>London, Boston, Routledge &amp; K. Paul, 1974.</t>
        </is>
      </c>
      <c r="M148" t="inlineStr">
        <is>
          <t>1974</t>
        </is>
      </c>
      <c r="O148" t="inlineStr">
        <is>
          <t>eng</t>
        </is>
      </c>
      <c r="P148" t="inlineStr">
        <is>
          <t>enk</t>
        </is>
      </c>
      <c r="Q148" t="inlineStr">
        <is>
          <t>The International library of welfare and philosophy</t>
        </is>
      </c>
      <c r="R148" t="inlineStr">
        <is>
          <t xml:space="preserve">HM </t>
        </is>
      </c>
      <c r="S148" t="n">
        <v>1</v>
      </c>
      <c r="T148" t="n">
        <v>1</v>
      </c>
      <c r="U148" t="inlineStr">
        <is>
          <t>2004-10-18</t>
        </is>
      </c>
      <c r="V148" t="inlineStr">
        <is>
          <t>2004-10-18</t>
        </is>
      </c>
      <c r="W148" t="inlineStr">
        <is>
          <t>1997-07-29</t>
        </is>
      </c>
      <c r="X148" t="inlineStr">
        <is>
          <t>1997-07-29</t>
        </is>
      </c>
      <c r="Y148" t="n">
        <v>488</v>
      </c>
      <c r="Z148" t="n">
        <v>302</v>
      </c>
      <c r="AA148" t="n">
        <v>648</v>
      </c>
      <c r="AB148" t="n">
        <v>5</v>
      </c>
      <c r="AC148" t="n">
        <v>7</v>
      </c>
      <c r="AD148" t="n">
        <v>17</v>
      </c>
      <c r="AE148" t="n">
        <v>30</v>
      </c>
      <c r="AF148" t="n">
        <v>4</v>
      </c>
      <c r="AG148" t="n">
        <v>10</v>
      </c>
      <c r="AH148" t="n">
        <v>4</v>
      </c>
      <c r="AI148" t="n">
        <v>7</v>
      </c>
      <c r="AJ148" t="n">
        <v>9</v>
      </c>
      <c r="AK148" t="n">
        <v>12</v>
      </c>
      <c r="AL148" t="n">
        <v>4</v>
      </c>
      <c r="AM148" t="n">
        <v>6</v>
      </c>
      <c r="AN148" t="n">
        <v>0</v>
      </c>
      <c r="AO148" t="n">
        <v>1</v>
      </c>
      <c r="AP148" t="inlineStr">
        <is>
          <t>No</t>
        </is>
      </c>
      <c r="AQ148" t="inlineStr">
        <is>
          <t>No</t>
        </is>
      </c>
      <c r="AS148">
        <f>HYPERLINK("https://creighton-primo.hosted.exlibrisgroup.com/primo-explore/search?tab=default_tab&amp;search_scope=EVERYTHING&amp;vid=01CRU&amp;lang=en_US&amp;offset=0&amp;query=any,contains,991003491749702656","Catalog Record")</f>
        <v/>
      </c>
      <c r="AT148">
        <f>HYPERLINK("http://www.worldcat.org/oclc/1040987","WorldCat Record")</f>
        <v/>
      </c>
      <c r="AU148" t="inlineStr">
        <is>
          <t>803321269:eng</t>
        </is>
      </c>
      <c r="AV148" t="inlineStr">
        <is>
          <t>1040987</t>
        </is>
      </c>
      <c r="AW148" t="inlineStr">
        <is>
          <t>991003491749702656</t>
        </is>
      </c>
      <c r="AX148" t="inlineStr">
        <is>
          <t>991003491749702656</t>
        </is>
      </c>
      <c r="AY148" t="inlineStr">
        <is>
          <t>2272323120002656</t>
        </is>
      </c>
      <c r="AZ148" t="inlineStr">
        <is>
          <t>BOOK</t>
        </is>
      </c>
      <c r="BB148" t="inlineStr">
        <is>
          <t>9780710078568</t>
        </is>
      </c>
      <c r="BC148" t="inlineStr">
        <is>
          <t>32285003015699</t>
        </is>
      </c>
      <c r="BD148" t="inlineStr">
        <is>
          <t>893342609</t>
        </is>
      </c>
    </row>
    <row r="149">
      <c r="A149" t="inlineStr">
        <is>
          <t>No</t>
        </is>
      </c>
      <c r="B149" t="inlineStr">
        <is>
          <t>HM131 .P728</t>
        </is>
      </c>
      <c r="C149" t="inlineStr">
        <is>
          <t>0                      HM 0131000P  728</t>
        </is>
      </c>
      <c r="D149" t="inlineStr">
        <is>
          <t>Handbook of organizational measurement / [by] James L. Price.</t>
        </is>
      </c>
      <c r="F149" t="inlineStr">
        <is>
          <t>No</t>
        </is>
      </c>
      <c r="G149" t="inlineStr">
        <is>
          <t>1</t>
        </is>
      </c>
      <c r="H149" t="inlineStr">
        <is>
          <t>No</t>
        </is>
      </c>
      <c r="I149" t="inlineStr">
        <is>
          <t>Yes</t>
        </is>
      </c>
      <c r="J149" t="inlineStr">
        <is>
          <t>0</t>
        </is>
      </c>
      <c r="K149" t="inlineStr">
        <is>
          <t>Price, James L.</t>
        </is>
      </c>
      <c r="L149" t="inlineStr">
        <is>
          <t>Lexington, Mass. : Heath, [1972]</t>
        </is>
      </c>
      <c r="M149" t="inlineStr">
        <is>
          <t>1972</t>
        </is>
      </c>
      <c r="O149" t="inlineStr">
        <is>
          <t>eng</t>
        </is>
      </c>
      <c r="P149" t="inlineStr">
        <is>
          <t>mau</t>
        </is>
      </c>
      <c r="R149" t="inlineStr">
        <is>
          <t xml:space="preserve">HM </t>
        </is>
      </c>
      <c r="S149" t="n">
        <v>6</v>
      </c>
      <c r="T149" t="n">
        <v>6</v>
      </c>
      <c r="U149" t="inlineStr">
        <is>
          <t>1997-04-09</t>
        </is>
      </c>
      <c r="V149" t="inlineStr">
        <is>
          <t>1997-04-09</t>
        </is>
      </c>
      <c r="W149" t="inlineStr">
        <is>
          <t>1992-05-12</t>
        </is>
      </c>
      <c r="X149" t="inlineStr">
        <is>
          <t>1992-05-12</t>
        </is>
      </c>
      <c r="Y149" t="n">
        <v>386</v>
      </c>
      <c r="Z149" t="n">
        <v>290</v>
      </c>
      <c r="AA149" t="n">
        <v>581</v>
      </c>
      <c r="AB149" t="n">
        <v>3</v>
      </c>
      <c r="AC149" t="n">
        <v>5</v>
      </c>
      <c r="AD149" t="n">
        <v>10</v>
      </c>
      <c r="AE149" t="n">
        <v>30</v>
      </c>
      <c r="AF149" t="n">
        <v>2</v>
      </c>
      <c r="AG149" t="n">
        <v>13</v>
      </c>
      <c r="AH149" t="n">
        <v>3</v>
      </c>
      <c r="AI149" t="n">
        <v>7</v>
      </c>
      <c r="AJ149" t="n">
        <v>7</v>
      </c>
      <c r="AK149" t="n">
        <v>17</v>
      </c>
      <c r="AL149" t="n">
        <v>1</v>
      </c>
      <c r="AM149" t="n">
        <v>3</v>
      </c>
      <c r="AN149" t="n">
        <v>0</v>
      </c>
      <c r="AO149" t="n">
        <v>0</v>
      </c>
      <c r="AP149" t="inlineStr">
        <is>
          <t>No</t>
        </is>
      </c>
      <c r="AQ149" t="inlineStr">
        <is>
          <t>Yes</t>
        </is>
      </c>
      <c r="AR149">
        <f>HYPERLINK("http://catalog.hathitrust.org/Record/000006462","HathiTrust Record")</f>
        <v/>
      </c>
      <c r="AS149">
        <f>HYPERLINK("https://creighton-primo.hosted.exlibrisgroup.com/primo-explore/search?tab=default_tab&amp;search_scope=EVERYTHING&amp;vid=01CRU&amp;lang=en_US&amp;offset=0&amp;query=any,contains,991002843639702656","Catalog Record")</f>
        <v/>
      </c>
      <c r="AT149">
        <f>HYPERLINK("http://www.worldcat.org/oclc/483604","WorldCat Record")</f>
        <v/>
      </c>
      <c r="AU149" t="inlineStr">
        <is>
          <t>1565917:eng</t>
        </is>
      </c>
      <c r="AV149" t="inlineStr">
        <is>
          <t>483604</t>
        </is>
      </c>
      <c r="AW149" t="inlineStr">
        <is>
          <t>991002843639702656</t>
        </is>
      </c>
      <c r="AX149" t="inlineStr">
        <is>
          <t>991002843639702656</t>
        </is>
      </c>
      <c r="AY149" t="inlineStr">
        <is>
          <t>2256318540002656</t>
        </is>
      </c>
      <c r="AZ149" t="inlineStr">
        <is>
          <t>BOOK</t>
        </is>
      </c>
      <c r="BB149" t="inlineStr">
        <is>
          <t>9780669752007</t>
        </is>
      </c>
      <c r="BC149" t="inlineStr">
        <is>
          <t>32285001108066</t>
        </is>
      </c>
      <c r="BD149" t="inlineStr">
        <is>
          <t>893530552</t>
        </is>
      </c>
    </row>
    <row r="150">
      <c r="A150" t="inlineStr">
        <is>
          <t>No</t>
        </is>
      </c>
      <c r="B150" t="inlineStr">
        <is>
          <t>HM131 .P728 1986</t>
        </is>
      </c>
      <c r="C150" t="inlineStr">
        <is>
          <t>0                      HM 0131000P  728         1986</t>
        </is>
      </c>
      <c r="D150" t="inlineStr">
        <is>
          <t>Handbook of organizational measurement / James L. Price and Charles W. Mueller.</t>
        </is>
      </c>
      <c r="F150" t="inlineStr">
        <is>
          <t>No</t>
        </is>
      </c>
      <c r="G150" t="inlineStr">
        <is>
          <t>1</t>
        </is>
      </c>
      <c r="H150" t="inlineStr">
        <is>
          <t>No</t>
        </is>
      </c>
      <c r="I150" t="inlineStr">
        <is>
          <t>Yes</t>
        </is>
      </c>
      <c r="J150" t="inlineStr">
        <is>
          <t>0</t>
        </is>
      </c>
      <c r="K150" t="inlineStr">
        <is>
          <t>Price, James L.</t>
        </is>
      </c>
      <c r="L150" t="inlineStr">
        <is>
          <t>Marshfield, Mass. : Pitman, c1986.</t>
        </is>
      </c>
      <c r="M150" t="inlineStr">
        <is>
          <t>1986</t>
        </is>
      </c>
      <c r="O150" t="inlineStr">
        <is>
          <t>eng</t>
        </is>
      </c>
      <c r="P150" t="inlineStr">
        <is>
          <t>mau</t>
        </is>
      </c>
      <c r="R150" t="inlineStr">
        <is>
          <t xml:space="preserve">HM </t>
        </is>
      </c>
      <c r="S150" t="n">
        <v>12</v>
      </c>
      <c r="T150" t="n">
        <v>12</v>
      </c>
      <c r="U150" t="inlineStr">
        <is>
          <t>1997-10-15</t>
        </is>
      </c>
      <c r="V150" t="inlineStr">
        <is>
          <t>1997-10-15</t>
        </is>
      </c>
      <c r="W150" t="inlineStr">
        <is>
          <t>1992-05-11</t>
        </is>
      </c>
      <c r="X150" t="inlineStr">
        <is>
          <t>1992-05-11</t>
        </is>
      </c>
      <c r="Y150" t="n">
        <v>480</v>
      </c>
      <c r="Z150" t="n">
        <v>442</v>
      </c>
      <c r="AA150" t="n">
        <v>581</v>
      </c>
      <c r="AB150" t="n">
        <v>4</v>
      </c>
      <c r="AC150" t="n">
        <v>5</v>
      </c>
      <c r="AD150" t="n">
        <v>27</v>
      </c>
      <c r="AE150" t="n">
        <v>30</v>
      </c>
      <c r="AF150" t="n">
        <v>12</v>
      </c>
      <c r="AG150" t="n">
        <v>13</v>
      </c>
      <c r="AH150" t="n">
        <v>6</v>
      </c>
      <c r="AI150" t="n">
        <v>7</v>
      </c>
      <c r="AJ150" t="n">
        <v>14</v>
      </c>
      <c r="AK150" t="n">
        <v>17</v>
      </c>
      <c r="AL150" t="n">
        <v>3</v>
      </c>
      <c r="AM150" t="n">
        <v>3</v>
      </c>
      <c r="AN150" t="n">
        <v>0</v>
      </c>
      <c r="AO150" t="n">
        <v>0</v>
      </c>
      <c r="AP150" t="inlineStr">
        <is>
          <t>No</t>
        </is>
      </c>
      <c r="AQ150" t="inlineStr">
        <is>
          <t>Yes</t>
        </is>
      </c>
      <c r="AR150">
        <f>HYPERLINK("http://catalog.hathitrust.org/Record/000387157","HathiTrust Record")</f>
        <v/>
      </c>
      <c r="AS150">
        <f>HYPERLINK("https://creighton-primo.hosted.exlibrisgroup.com/primo-explore/search?tab=default_tab&amp;search_scope=EVERYTHING&amp;vid=01CRU&amp;lang=en_US&amp;offset=0&amp;query=any,contains,991000758129702656","Catalog Record")</f>
        <v/>
      </c>
      <c r="AT150">
        <f>HYPERLINK("http://www.worldcat.org/oclc/12962105","WorldCat Record")</f>
        <v/>
      </c>
      <c r="AU150" t="inlineStr">
        <is>
          <t>1565917:eng</t>
        </is>
      </c>
      <c r="AV150" t="inlineStr">
        <is>
          <t>12962105</t>
        </is>
      </c>
      <c r="AW150" t="inlineStr">
        <is>
          <t>991000758129702656</t>
        </is>
      </c>
      <c r="AX150" t="inlineStr">
        <is>
          <t>991000758129702656</t>
        </is>
      </c>
      <c r="AY150" t="inlineStr">
        <is>
          <t>2261044920002656</t>
        </is>
      </c>
      <c r="AZ150" t="inlineStr">
        <is>
          <t>BOOK</t>
        </is>
      </c>
      <c r="BC150" t="inlineStr">
        <is>
          <t>32285001108058</t>
        </is>
      </c>
      <c r="BD150" t="inlineStr">
        <is>
          <t>893345953</t>
        </is>
      </c>
    </row>
    <row r="151">
      <c r="A151" t="inlineStr">
        <is>
          <t>No</t>
        </is>
      </c>
      <c r="B151" t="inlineStr">
        <is>
          <t>HM131 .P74 1985</t>
        </is>
      </c>
      <c r="C151" t="inlineStr">
        <is>
          <t>0                      HM 0131000P  74          1985</t>
        </is>
      </c>
      <c r="D151" t="inlineStr">
        <is>
          <t>Writers on organizations / D.S. Pugh, D.J. Hickson, C.R. Hinings.</t>
        </is>
      </c>
      <c r="F151" t="inlineStr">
        <is>
          <t>No</t>
        </is>
      </c>
      <c r="G151" t="inlineStr">
        <is>
          <t>1</t>
        </is>
      </c>
      <c r="H151" t="inlineStr">
        <is>
          <t>No</t>
        </is>
      </c>
      <c r="I151" t="inlineStr">
        <is>
          <t>No</t>
        </is>
      </c>
      <c r="J151" t="inlineStr">
        <is>
          <t>0</t>
        </is>
      </c>
      <c r="K151" t="inlineStr">
        <is>
          <t>Pugh, Derek Salman.</t>
        </is>
      </c>
      <c r="L151" t="inlineStr">
        <is>
          <t>Beverley Hills, Calif. : Sage Publications, c1985.</t>
        </is>
      </c>
      <c r="M151" t="inlineStr">
        <is>
          <t>1985</t>
        </is>
      </c>
      <c r="O151" t="inlineStr">
        <is>
          <t>eng</t>
        </is>
      </c>
      <c r="P151" t="inlineStr">
        <is>
          <t>cau</t>
        </is>
      </c>
      <c r="R151" t="inlineStr">
        <is>
          <t xml:space="preserve">HM </t>
        </is>
      </c>
      <c r="S151" t="n">
        <v>2</v>
      </c>
      <c r="T151" t="n">
        <v>2</v>
      </c>
      <c r="U151" t="inlineStr">
        <is>
          <t>1997-02-02</t>
        </is>
      </c>
      <c r="V151" t="inlineStr">
        <is>
          <t>1997-02-02</t>
        </is>
      </c>
      <c r="W151" t="inlineStr">
        <is>
          <t>1992-03-24</t>
        </is>
      </c>
      <c r="X151" t="inlineStr">
        <is>
          <t>1992-03-24</t>
        </is>
      </c>
      <c r="Y151" t="n">
        <v>273</v>
      </c>
      <c r="Z151" t="n">
        <v>243</v>
      </c>
      <c r="AA151" t="n">
        <v>697</v>
      </c>
      <c r="AB151" t="n">
        <v>2</v>
      </c>
      <c r="AC151" t="n">
        <v>6</v>
      </c>
      <c r="AD151" t="n">
        <v>14</v>
      </c>
      <c r="AE151" t="n">
        <v>36</v>
      </c>
      <c r="AF151" t="n">
        <v>4</v>
      </c>
      <c r="AG151" t="n">
        <v>17</v>
      </c>
      <c r="AH151" t="n">
        <v>5</v>
      </c>
      <c r="AI151" t="n">
        <v>8</v>
      </c>
      <c r="AJ151" t="n">
        <v>7</v>
      </c>
      <c r="AK151" t="n">
        <v>16</v>
      </c>
      <c r="AL151" t="n">
        <v>1</v>
      </c>
      <c r="AM151" t="n">
        <v>5</v>
      </c>
      <c r="AN151" t="n">
        <v>0</v>
      </c>
      <c r="AO151" t="n">
        <v>0</v>
      </c>
      <c r="AP151" t="inlineStr">
        <is>
          <t>No</t>
        </is>
      </c>
      <c r="AQ151" t="inlineStr">
        <is>
          <t>Yes</t>
        </is>
      </c>
      <c r="AR151">
        <f>HYPERLINK("http://catalog.hathitrust.org/Record/000627497","HathiTrust Record")</f>
        <v/>
      </c>
      <c r="AS151">
        <f>HYPERLINK("https://creighton-primo.hosted.exlibrisgroup.com/primo-explore/search?tab=default_tab&amp;search_scope=EVERYTHING&amp;vid=01CRU&amp;lang=en_US&amp;offset=0&amp;query=any,contains,991000558449702656","Catalog Record")</f>
        <v/>
      </c>
      <c r="AT151">
        <f>HYPERLINK("http://www.worldcat.org/oclc/11573815","WorldCat Record")</f>
        <v/>
      </c>
      <c r="AU151" t="inlineStr">
        <is>
          <t>1327922:eng</t>
        </is>
      </c>
      <c r="AV151" t="inlineStr">
        <is>
          <t>11573815</t>
        </is>
      </c>
      <c r="AW151" t="inlineStr">
        <is>
          <t>991000558449702656</t>
        </is>
      </c>
      <c r="AX151" t="inlineStr">
        <is>
          <t>991000558449702656</t>
        </is>
      </c>
      <c r="AY151" t="inlineStr">
        <is>
          <t>2265607400002656</t>
        </is>
      </c>
      <c r="AZ151" t="inlineStr">
        <is>
          <t>BOOK</t>
        </is>
      </c>
      <c r="BB151" t="inlineStr">
        <is>
          <t>9780803924444</t>
        </is>
      </c>
      <c r="BC151" t="inlineStr">
        <is>
          <t>32285001003945</t>
        </is>
      </c>
      <c r="BD151" t="inlineStr">
        <is>
          <t>893339659</t>
        </is>
      </c>
    </row>
    <row r="152">
      <c r="A152" t="inlineStr">
        <is>
          <t>No</t>
        </is>
      </c>
      <c r="B152" t="inlineStr">
        <is>
          <t>HM131 .R37</t>
        </is>
      </c>
      <c r="C152" t="inlineStr">
        <is>
          <t>0                      HM 0131000R  37</t>
        </is>
      </c>
      <c r="D152" t="inlineStr">
        <is>
          <t>The little community, and Peasant society and culture.</t>
        </is>
      </c>
      <c r="F152" t="inlineStr">
        <is>
          <t>No</t>
        </is>
      </c>
      <c r="G152" t="inlineStr">
        <is>
          <t>1</t>
        </is>
      </c>
      <c r="H152" t="inlineStr">
        <is>
          <t>No</t>
        </is>
      </c>
      <c r="I152" t="inlineStr">
        <is>
          <t>No</t>
        </is>
      </c>
      <c r="J152" t="inlineStr">
        <is>
          <t>0</t>
        </is>
      </c>
      <c r="K152" t="inlineStr">
        <is>
          <t>Redfield, Robert, 1897-1958.</t>
        </is>
      </c>
      <c r="L152" t="inlineStr">
        <is>
          <t>[Chicago] University of Chicago Press [1962]</t>
        </is>
      </c>
      <c r="M152" t="inlineStr">
        <is>
          <t>1962</t>
        </is>
      </c>
      <c r="O152" t="inlineStr">
        <is>
          <t>eng</t>
        </is>
      </c>
      <c r="P152" t="inlineStr">
        <is>
          <t xml:space="preserve">xx </t>
        </is>
      </c>
      <c r="Q152" t="inlineStr">
        <is>
          <t>Phoenix books ; P53</t>
        </is>
      </c>
      <c r="R152" t="inlineStr">
        <is>
          <t xml:space="preserve">HM </t>
        </is>
      </c>
      <c r="S152" t="n">
        <v>1</v>
      </c>
      <c r="T152" t="n">
        <v>1</v>
      </c>
      <c r="U152" t="inlineStr">
        <is>
          <t>2002-11-17</t>
        </is>
      </c>
      <c r="V152" t="inlineStr">
        <is>
          <t>2002-11-17</t>
        </is>
      </c>
      <c r="W152" t="inlineStr">
        <is>
          <t>1997-07-29</t>
        </is>
      </c>
      <c r="X152" t="inlineStr">
        <is>
          <t>1997-07-29</t>
        </is>
      </c>
      <c r="Y152" t="n">
        <v>215</v>
      </c>
      <c r="Z152" t="n">
        <v>199</v>
      </c>
      <c r="AA152" t="n">
        <v>669</v>
      </c>
      <c r="AB152" t="n">
        <v>2</v>
      </c>
      <c r="AC152" t="n">
        <v>6</v>
      </c>
      <c r="AD152" t="n">
        <v>7</v>
      </c>
      <c r="AE152" t="n">
        <v>30</v>
      </c>
      <c r="AF152" t="n">
        <v>4</v>
      </c>
      <c r="AG152" t="n">
        <v>9</v>
      </c>
      <c r="AH152" t="n">
        <v>1</v>
      </c>
      <c r="AI152" t="n">
        <v>8</v>
      </c>
      <c r="AJ152" t="n">
        <v>5</v>
      </c>
      <c r="AK152" t="n">
        <v>17</v>
      </c>
      <c r="AL152" t="n">
        <v>1</v>
      </c>
      <c r="AM152" t="n">
        <v>5</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HYPERLINK("https://creighton-primo.hosted.exlibrisgroup.com/primo-explore/search?tab=default_tab&amp;search_scope=EVERYTHING&amp;vid=01CRU&amp;lang=en_US&amp;offset=0&amp;query=any,contains,991001933029702656","Catalog Record")</f>
        <v/>
      </c>
      <c r="AT152">
        <f>HYPERLINK("http://www.worldcat.org/oclc/249616","WorldCat Record")</f>
        <v/>
      </c>
      <c r="AU152" t="inlineStr">
        <is>
          <t>9523484:eng</t>
        </is>
      </c>
      <c r="AV152" t="inlineStr">
        <is>
          <t>249616</t>
        </is>
      </c>
      <c r="AW152" t="inlineStr">
        <is>
          <t>991001933029702656</t>
        </is>
      </c>
      <c r="AX152" t="inlineStr">
        <is>
          <t>991001933029702656</t>
        </is>
      </c>
      <c r="AY152" t="inlineStr">
        <is>
          <t>2256391660002656</t>
        </is>
      </c>
      <c r="AZ152" t="inlineStr">
        <is>
          <t>BOOK</t>
        </is>
      </c>
      <c r="BC152" t="inlineStr">
        <is>
          <t>32285003015715</t>
        </is>
      </c>
      <c r="BD152" t="inlineStr">
        <is>
          <t>893226245</t>
        </is>
      </c>
    </row>
    <row r="153">
      <c r="A153" t="inlineStr">
        <is>
          <t>No</t>
        </is>
      </c>
      <c r="B153" t="inlineStr">
        <is>
          <t>HM131 .R62 1984</t>
        </is>
      </c>
      <c r="C153" t="inlineStr">
        <is>
          <t>0                      HM 0131000R  62          1984</t>
        </is>
      </c>
      <c r="D153" t="inlineStr">
        <is>
          <t>Groups / by Mike Robinson.</t>
        </is>
      </c>
      <c r="F153" t="inlineStr">
        <is>
          <t>No</t>
        </is>
      </c>
      <c r="G153" t="inlineStr">
        <is>
          <t>1</t>
        </is>
      </c>
      <c r="H153" t="inlineStr">
        <is>
          <t>No</t>
        </is>
      </c>
      <c r="I153" t="inlineStr">
        <is>
          <t>No</t>
        </is>
      </c>
      <c r="J153" t="inlineStr">
        <is>
          <t>0</t>
        </is>
      </c>
      <c r="K153" t="inlineStr">
        <is>
          <t>Robinson, Mike.</t>
        </is>
      </c>
      <c r="L153" t="inlineStr">
        <is>
          <t>Chichester [West Sussex] ; New York : Wiley, c1984.</t>
        </is>
      </c>
      <c r="M153" t="inlineStr">
        <is>
          <t>1984</t>
        </is>
      </c>
      <c r="O153" t="inlineStr">
        <is>
          <t>eng</t>
        </is>
      </c>
      <c r="P153" t="inlineStr">
        <is>
          <t>enk</t>
        </is>
      </c>
      <c r="R153" t="inlineStr">
        <is>
          <t xml:space="preserve">HM </t>
        </is>
      </c>
      <c r="S153" t="n">
        <v>5</v>
      </c>
      <c r="T153" t="n">
        <v>5</v>
      </c>
      <c r="U153" t="inlineStr">
        <is>
          <t>1999-04-25</t>
        </is>
      </c>
      <c r="V153" t="inlineStr">
        <is>
          <t>1999-04-25</t>
        </is>
      </c>
      <c r="W153" t="inlineStr">
        <is>
          <t>1992-08-25</t>
        </is>
      </c>
      <c r="X153" t="inlineStr">
        <is>
          <t>1992-08-25</t>
        </is>
      </c>
      <c r="Y153" t="n">
        <v>390</v>
      </c>
      <c r="Z153" t="n">
        <v>262</v>
      </c>
      <c r="AA153" t="n">
        <v>264</v>
      </c>
      <c r="AB153" t="n">
        <v>4</v>
      </c>
      <c r="AC153" t="n">
        <v>4</v>
      </c>
      <c r="AD153" t="n">
        <v>11</v>
      </c>
      <c r="AE153" t="n">
        <v>11</v>
      </c>
      <c r="AF153" t="n">
        <v>1</v>
      </c>
      <c r="AG153" t="n">
        <v>1</v>
      </c>
      <c r="AH153" t="n">
        <v>3</v>
      </c>
      <c r="AI153" t="n">
        <v>3</v>
      </c>
      <c r="AJ153" t="n">
        <v>6</v>
      </c>
      <c r="AK153" t="n">
        <v>6</v>
      </c>
      <c r="AL153" t="n">
        <v>3</v>
      </c>
      <c r="AM153" t="n">
        <v>3</v>
      </c>
      <c r="AN153" t="n">
        <v>0</v>
      </c>
      <c r="AO153" t="n">
        <v>0</v>
      </c>
      <c r="AP153" t="inlineStr">
        <is>
          <t>No</t>
        </is>
      </c>
      <c r="AQ153" t="inlineStr">
        <is>
          <t>Yes</t>
        </is>
      </c>
      <c r="AR153">
        <f>HYPERLINK("http://catalog.hathitrust.org/Record/000280349","HathiTrust Record")</f>
        <v/>
      </c>
      <c r="AS153">
        <f>HYPERLINK("https://creighton-primo.hosted.exlibrisgroup.com/primo-explore/search?tab=default_tab&amp;search_scope=EVERYTHING&amp;vid=01CRU&amp;lang=en_US&amp;offset=0&amp;query=any,contains,991000231949702656","Catalog Record")</f>
        <v/>
      </c>
      <c r="AT153">
        <f>HYPERLINK("http://www.worldcat.org/oclc/9644333","WorldCat Record")</f>
        <v/>
      </c>
      <c r="AU153" t="inlineStr">
        <is>
          <t>43703696:eng</t>
        </is>
      </c>
      <c r="AV153" t="inlineStr">
        <is>
          <t>9644333</t>
        </is>
      </c>
      <c r="AW153" t="inlineStr">
        <is>
          <t>991000231949702656</t>
        </is>
      </c>
      <c r="AX153" t="inlineStr">
        <is>
          <t>991000231949702656</t>
        </is>
      </c>
      <c r="AY153" t="inlineStr">
        <is>
          <t>2267561650002656</t>
        </is>
      </c>
      <c r="AZ153" t="inlineStr">
        <is>
          <t>BOOK</t>
        </is>
      </c>
      <c r="BB153" t="inlineStr">
        <is>
          <t>9780471904069</t>
        </is>
      </c>
      <c r="BC153" t="inlineStr">
        <is>
          <t>32285001266047</t>
        </is>
      </c>
      <c r="BD153" t="inlineStr">
        <is>
          <t>893314790</t>
        </is>
      </c>
    </row>
    <row r="154">
      <c r="A154" t="inlineStr">
        <is>
          <t>No</t>
        </is>
      </c>
      <c r="B154" t="inlineStr">
        <is>
          <t>HM131 .S39 1989</t>
        </is>
      </c>
      <c r="C154" t="inlineStr">
        <is>
          <t>0                      HM 0131000S  39          1989</t>
        </is>
      </c>
      <c r="D154" t="inlineStr">
        <is>
          <t>Organizational values in America / William G. Scott, David K. Hart.</t>
        </is>
      </c>
      <c r="F154" t="inlineStr">
        <is>
          <t>No</t>
        </is>
      </c>
      <c r="G154" t="inlineStr">
        <is>
          <t>1</t>
        </is>
      </c>
      <c r="H154" t="inlineStr">
        <is>
          <t>No</t>
        </is>
      </c>
      <c r="I154" t="inlineStr">
        <is>
          <t>No</t>
        </is>
      </c>
      <c r="J154" t="inlineStr">
        <is>
          <t>0</t>
        </is>
      </c>
      <c r="K154" t="inlineStr">
        <is>
          <t>Scott, William G.</t>
        </is>
      </c>
      <c r="L154" t="inlineStr">
        <is>
          <t>New Brunswick, U.S.A. : Transaction Publishers, c1989.</t>
        </is>
      </c>
      <c r="M154" t="inlineStr">
        <is>
          <t>1989</t>
        </is>
      </c>
      <c r="O154" t="inlineStr">
        <is>
          <t>eng</t>
        </is>
      </c>
      <c r="P154" t="inlineStr">
        <is>
          <t>nju</t>
        </is>
      </c>
      <c r="R154" t="inlineStr">
        <is>
          <t xml:space="preserve">HM </t>
        </is>
      </c>
      <c r="S154" t="n">
        <v>1</v>
      </c>
      <c r="T154" t="n">
        <v>1</v>
      </c>
      <c r="U154" t="inlineStr">
        <is>
          <t>1998-11-28</t>
        </is>
      </c>
      <c r="V154" t="inlineStr">
        <is>
          <t>1998-11-28</t>
        </is>
      </c>
      <c r="W154" t="inlineStr">
        <is>
          <t>1990-04-23</t>
        </is>
      </c>
      <c r="X154" t="inlineStr">
        <is>
          <t>1990-04-23</t>
        </is>
      </c>
      <c r="Y154" t="n">
        <v>350</v>
      </c>
      <c r="Z154" t="n">
        <v>295</v>
      </c>
      <c r="AA154" t="n">
        <v>311</v>
      </c>
      <c r="AB154" t="n">
        <v>3</v>
      </c>
      <c r="AC154" t="n">
        <v>3</v>
      </c>
      <c r="AD154" t="n">
        <v>15</v>
      </c>
      <c r="AE154" t="n">
        <v>17</v>
      </c>
      <c r="AF154" t="n">
        <v>5</v>
      </c>
      <c r="AG154" t="n">
        <v>6</v>
      </c>
      <c r="AH154" t="n">
        <v>4</v>
      </c>
      <c r="AI154" t="n">
        <v>5</v>
      </c>
      <c r="AJ154" t="n">
        <v>9</v>
      </c>
      <c r="AK154" t="n">
        <v>9</v>
      </c>
      <c r="AL154" t="n">
        <v>2</v>
      </c>
      <c r="AM154" t="n">
        <v>2</v>
      </c>
      <c r="AN154" t="n">
        <v>0</v>
      </c>
      <c r="AO154" t="n">
        <v>0</v>
      </c>
      <c r="AP154" t="inlineStr">
        <is>
          <t>No</t>
        </is>
      </c>
      <c r="AQ154" t="inlineStr">
        <is>
          <t>Yes</t>
        </is>
      </c>
      <c r="AR154">
        <f>HYPERLINK("http://catalog.hathitrust.org/Record/001815202","HathiTrust Record")</f>
        <v/>
      </c>
      <c r="AS154">
        <f>HYPERLINK("https://creighton-primo.hosted.exlibrisgroup.com/primo-explore/search?tab=default_tab&amp;search_scope=EVERYTHING&amp;vid=01CRU&amp;lang=en_US&amp;offset=0&amp;query=any,contains,991001403089702656","Catalog Record")</f>
        <v/>
      </c>
      <c r="AT154">
        <f>HYPERLINK("http://www.worldcat.org/oclc/18833773","WorldCat Record")</f>
        <v/>
      </c>
      <c r="AU154" t="inlineStr">
        <is>
          <t>18945204:eng</t>
        </is>
      </c>
      <c r="AV154" t="inlineStr">
        <is>
          <t>18833773</t>
        </is>
      </c>
      <c r="AW154" t="inlineStr">
        <is>
          <t>991001403089702656</t>
        </is>
      </c>
      <c r="AX154" t="inlineStr">
        <is>
          <t>991001403089702656</t>
        </is>
      </c>
      <c r="AY154" t="inlineStr">
        <is>
          <t>2258590550002656</t>
        </is>
      </c>
      <c r="AZ154" t="inlineStr">
        <is>
          <t>BOOK</t>
        </is>
      </c>
      <c r="BB154" t="inlineStr">
        <is>
          <t>9780887387951</t>
        </is>
      </c>
      <c r="BC154" t="inlineStr">
        <is>
          <t>32285000104983</t>
        </is>
      </c>
      <c r="BD154" t="inlineStr">
        <is>
          <t>893426580</t>
        </is>
      </c>
    </row>
    <row r="155">
      <c r="A155" t="inlineStr">
        <is>
          <t>No</t>
        </is>
      </c>
      <c r="B155" t="inlineStr">
        <is>
          <t>HM131 .S46</t>
        </is>
      </c>
      <c r="C155" t="inlineStr">
        <is>
          <t>0                      HM 0131000S  46</t>
        </is>
      </c>
      <c r="D155" t="inlineStr">
        <is>
          <t>In common predicament; social psychology of intergroup conflict and cooperation.</t>
        </is>
      </c>
      <c r="F155" t="inlineStr">
        <is>
          <t>No</t>
        </is>
      </c>
      <c r="G155" t="inlineStr">
        <is>
          <t>1</t>
        </is>
      </c>
      <c r="H155" t="inlineStr">
        <is>
          <t>No</t>
        </is>
      </c>
      <c r="I155" t="inlineStr">
        <is>
          <t>No</t>
        </is>
      </c>
      <c r="J155" t="inlineStr">
        <is>
          <t>0</t>
        </is>
      </c>
      <c r="K155" t="inlineStr">
        <is>
          <t>Sherif, Muzafer, 1906-1988.</t>
        </is>
      </c>
      <c r="L155" t="inlineStr">
        <is>
          <t>Boston, Houghton Mifflin [1966]</t>
        </is>
      </c>
      <c r="M155" t="inlineStr">
        <is>
          <t>1966</t>
        </is>
      </c>
      <c r="O155" t="inlineStr">
        <is>
          <t>eng</t>
        </is>
      </c>
      <c r="P155" t="inlineStr">
        <is>
          <t>mau</t>
        </is>
      </c>
      <c r="Q155" t="inlineStr">
        <is>
          <t>The International series in the behavioral sciences</t>
        </is>
      </c>
      <c r="R155" t="inlineStr">
        <is>
          <t xml:space="preserve">HM </t>
        </is>
      </c>
      <c r="S155" t="n">
        <v>2</v>
      </c>
      <c r="T155" t="n">
        <v>2</v>
      </c>
      <c r="U155" t="inlineStr">
        <is>
          <t>1998-11-15</t>
        </is>
      </c>
      <c r="V155" t="inlineStr">
        <is>
          <t>1998-11-15</t>
        </is>
      </c>
      <c r="W155" t="inlineStr">
        <is>
          <t>1997-07-29</t>
        </is>
      </c>
      <c r="X155" t="inlineStr">
        <is>
          <t>1997-07-29</t>
        </is>
      </c>
      <c r="Y155" t="n">
        <v>551</v>
      </c>
      <c r="Z155" t="n">
        <v>481</v>
      </c>
      <c r="AA155" t="n">
        <v>496</v>
      </c>
      <c r="AB155" t="n">
        <v>4</v>
      </c>
      <c r="AC155" t="n">
        <v>4</v>
      </c>
      <c r="AD155" t="n">
        <v>22</v>
      </c>
      <c r="AE155" t="n">
        <v>22</v>
      </c>
      <c r="AF155" t="n">
        <v>5</v>
      </c>
      <c r="AG155" t="n">
        <v>5</v>
      </c>
      <c r="AH155" t="n">
        <v>4</v>
      </c>
      <c r="AI155" t="n">
        <v>4</v>
      </c>
      <c r="AJ155" t="n">
        <v>14</v>
      </c>
      <c r="AK155" t="n">
        <v>14</v>
      </c>
      <c r="AL155" t="n">
        <v>3</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HYPERLINK("https://creighton-primo.hosted.exlibrisgroup.com/primo-explore/search?tab=default_tab&amp;search_scope=EVERYTHING&amp;vid=01CRU&amp;lang=en_US&amp;offset=0&amp;query=any,contains,991003595009702656","Catalog Record")</f>
        <v/>
      </c>
      <c r="AT155">
        <f>HYPERLINK("http://www.worldcat.org/oclc/1175567","WorldCat Record")</f>
        <v/>
      </c>
      <c r="AU155" t="inlineStr">
        <is>
          <t>180467417:eng</t>
        </is>
      </c>
      <c r="AV155" t="inlineStr">
        <is>
          <t>1175567</t>
        </is>
      </c>
      <c r="AW155" t="inlineStr">
        <is>
          <t>991003595009702656</t>
        </is>
      </c>
      <c r="AX155" t="inlineStr">
        <is>
          <t>991003595009702656</t>
        </is>
      </c>
      <c r="AY155" t="inlineStr">
        <is>
          <t>2271899350002656</t>
        </is>
      </c>
      <c r="AZ155" t="inlineStr">
        <is>
          <t>BOOK</t>
        </is>
      </c>
      <c r="BC155" t="inlineStr">
        <is>
          <t>32285003015731</t>
        </is>
      </c>
      <c r="BD155" t="inlineStr">
        <is>
          <t>893711529</t>
        </is>
      </c>
    </row>
    <row r="156">
      <c r="A156" t="inlineStr">
        <is>
          <t>No</t>
        </is>
      </c>
      <c r="B156" t="inlineStr">
        <is>
          <t>HM131 .S569 1987</t>
        </is>
      </c>
      <c r="C156" t="inlineStr">
        <is>
          <t>0                      HM 0131000S  569         1987</t>
        </is>
      </c>
      <c r="D156" t="inlineStr">
        <is>
          <t>Paradoxes of group life : understanding conflict, paralysis, and movement in group dynamics / Kenwyn K. Smith, David N. Berg, in full collaboration.</t>
        </is>
      </c>
      <c r="F156" t="inlineStr">
        <is>
          <t>No</t>
        </is>
      </c>
      <c r="G156" t="inlineStr">
        <is>
          <t>1</t>
        </is>
      </c>
      <c r="H156" t="inlineStr">
        <is>
          <t>No</t>
        </is>
      </c>
      <c r="I156" t="inlineStr">
        <is>
          <t>No</t>
        </is>
      </c>
      <c r="J156" t="inlineStr">
        <is>
          <t>0</t>
        </is>
      </c>
      <c r="K156" t="inlineStr">
        <is>
          <t>Smith, Kenwyn K.</t>
        </is>
      </c>
      <c r="L156" t="inlineStr">
        <is>
          <t>San Francisco : Jossey-Bass, 1987.</t>
        </is>
      </c>
      <c r="M156" t="inlineStr">
        <is>
          <t>1987</t>
        </is>
      </c>
      <c r="N156" t="inlineStr">
        <is>
          <t>1st ed.</t>
        </is>
      </c>
      <c r="O156" t="inlineStr">
        <is>
          <t>eng</t>
        </is>
      </c>
      <c r="P156" t="inlineStr">
        <is>
          <t>cau</t>
        </is>
      </c>
      <c r="Q156" t="inlineStr">
        <is>
          <t>Jossey-Bass management series</t>
        </is>
      </c>
      <c r="R156" t="inlineStr">
        <is>
          <t xml:space="preserve">HM </t>
        </is>
      </c>
      <c r="S156" t="n">
        <v>3</v>
      </c>
      <c r="T156" t="n">
        <v>3</v>
      </c>
      <c r="U156" t="inlineStr">
        <is>
          <t>2001-07-16</t>
        </is>
      </c>
      <c r="V156" t="inlineStr">
        <is>
          <t>2001-07-16</t>
        </is>
      </c>
      <c r="W156" t="inlineStr">
        <is>
          <t>1992-08-25</t>
        </is>
      </c>
      <c r="X156" t="inlineStr">
        <is>
          <t>1992-08-25</t>
        </is>
      </c>
      <c r="Y156" t="n">
        <v>588</v>
      </c>
      <c r="Z156" t="n">
        <v>474</v>
      </c>
      <c r="AA156" t="n">
        <v>604</v>
      </c>
      <c r="AB156" t="n">
        <v>3</v>
      </c>
      <c r="AC156" t="n">
        <v>3</v>
      </c>
      <c r="AD156" t="n">
        <v>29</v>
      </c>
      <c r="AE156" t="n">
        <v>35</v>
      </c>
      <c r="AF156" t="n">
        <v>13</v>
      </c>
      <c r="AG156" t="n">
        <v>16</v>
      </c>
      <c r="AH156" t="n">
        <v>9</v>
      </c>
      <c r="AI156" t="n">
        <v>10</v>
      </c>
      <c r="AJ156" t="n">
        <v>13</v>
      </c>
      <c r="AK156" t="n">
        <v>17</v>
      </c>
      <c r="AL156" t="n">
        <v>2</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HYPERLINK("https://creighton-primo.hosted.exlibrisgroup.com/primo-explore/search?tab=default_tab&amp;search_scope=EVERYTHING&amp;vid=01CRU&amp;lang=en_US&amp;offset=0&amp;query=any,contains,991000988339702656","Catalog Record")</f>
        <v/>
      </c>
      <c r="AT156">
        <f>HYPERLINK("http://www.worldcat.org/oclc/15084176","WorldCat Record")</f>
        <v/>
      </c>
      <c r="AU156" t="inlineStr">
        <is>
          <t>795425246:eng</t>
        </is>
      </c>
      <c r="AV156" t="inlineStr">
        <is>
          <t>15084176</t>
        </is>
      </c>
      <c r="AW156" t="inlineStr">
        <is>
          <t>991000988339702656</t>
        </is>
      </c>
      <c r="AX156" t="inlineStr">
        <is>
          <t>991000988339702656</t>
        </is>
      </c>
      <c r="AY156" t="inlineStr">
        <is>
          <t>2255348260002656</t>
        </is>
      </c>
      <c r="AZ156" t="inlineStr">
        <is>
          <t>BOOK</t>
        </is>
      </c>
      <c r="BB156" t="inlineStr">
        <is>
          <t>9781555420468</t>
        </is>
      </c>
      <c r="BC156" t="inlineStr">
        <is>
          <t>32285001266088</t>
        </is>
      </c>
      <c r="BD156" t="inlineStr">
        <is>
          <t>893608448</t>
        </is>
      </c>
    </row>
    <row r="157">
      <c r="A157" t="inlineStr">
        <is>
          <t>No</t>
        </is>
      </c>
      <c r="B157" t="inlineStr">
        <is>
          <t>HM131 .S57</t>
        </is>
      </c>
      <c r="C157" t="inlineStr">
        <is>
          <t>0                      HM 0131000S  57</t>
        </is>
      </c>
      <c r="D157" t="inlineStr">
        <is>
          <t>Groups within organizations: applications of social psychology to organizational behaviour [by] Peter B. Smith.</t>
        </is>
      </c>
      <c r="F157" t="inlineStr">
        <is>
          <t>No</t>
        </is>
      </c>
      <c r="G157" t="inlineStr">
        <is>
          <t>1</t>
        </is>
      </c>
      <c r="H157" t="inlineStr">
        <is>
          <t>No</t>
        </is>
      </c>
      <c r="I157" t="inlineStr">
        <is>
          <t>No</t>
        </is>
      </c>
      <c r="J157" t="inlineStr">
        <is>
          <t>0</t>
        </is>
      </c>
      <c r="K157" t="inlineStr">
        <is>
          <t>Smith, Peter Bevington.</t>
        </is>
      </c>
      <c r="L157" t="inlineStr">
        <is>
          <t>London, New York, Harper &amp; Row [1973]</t>
        </is>
      </c>
      <c r="M157" t="inlineStr">
        <is>
          <t>1973</t>
        </is>
      </c>
      <c r="O157" t="inlineStr">
        <is>
          <t>eng</t>
        </is>
      </c>
      <c r="P157" t="inlineStr">
        <is>
          <t>enk</t>
        </is>
      </c>
      <c r="R157" t="inlineStr">
        <is>
          <t xml:space="preserve">HM </t>
        </is>
      </c>
      <c r="S157" t="n">
        <v>4</v>
      </c>
      <c r="T157" t="n">
        <v>4</v>
      </c>
      <c r="U157" t="inlineStr">
        <is>
          <t>1999-04-25</t>
        </is>
      </c>
      <c r="V157" t="inlineStr">
        <is>
          <t>1999-04-25</t>
        </is>
      </c>
      <c r="W157" t="inlineStr">
        <is>
          <t>1992-03-18</t>
        </is>
      </c>
      <c r="X157" t="inlineStr">
        <is>
          <t>1992-03-18</t>
        </is>
      </c>
      <c r="Y157" t="n">
        <v>466</v>
      </c>
      <c r="Z157" t="n">
        <v>309</v>
      </c>
      <c r="AA157" t="n">
        <v>311</v>
      </c>
      <c r="AB157" t="n">
        <v>3</v>
      </c>
      <c r="AC157" t="n">
        <v>3</v>
      </c>
      <c r="AD157" t="n">
        <v>14</v>
      </c>
      <c r="AE157" t="n">
        <v>14</v>
      </c>
      <c r="AF157" t="n">
        <v>5</v>
      </c>
      <c r="AG157" t="n">
        <v>5</v>
      </c>
      <c r="AH157" t="n">
        <v>3</v>
      </c>
      <c r="AI157" t="n">
        <v>3</v>
      </c>
      <c r="AJ157" t="n">
        <v>6</v>
      </c>
      <c r="AK157" t="n">
        <v>6</v>
      </c>
      <c r="AL157" t="n">
        <v>1</v>
      </c>
      <c r="AM157" t="n">
        <v>1</v>
      </c>
      <c r="AN157" t="n">
        <v>0</v>
      </c>
      <c r="AO157" t="n">
        <v>0</v>
      </c>
      <c r="AP157" t="inlineStr">
        <is>
          <t>No</t>
        </is>
      </c>
      <c r="AQ157" t="inlineStr">
        <is>
          <t>Yes</t>
        </is>
      </c>
      <c r="AR157">
        <f>HYPERLINK("http://catalog.hathitrust.org/Record/000973324","HathiTrust Record")</f>
        <v/>
      </c>
      <c r="AS157">
        <f>HYPERLINK("https://creighton-primo.hosted.exlibrisgroup.com/primo-explore/search?tab=default_tab&amp;search_scope=EVERYTHING&amp;vid=01CRU&amp;lang=en_US&amp;offset=0&amp;query=any,contains,991003420169702656","Catalog Record")</f>
        <v/>
      </c>
      <c r="AT157">
        <f>HYPERLINK("http://www.worldcat.org/oclc/960786","WorldCat Record")</f>
        <v/>
      </c>
      <c r="AU157" t="inlineStr">
        <is>
          <t>1911906:eng</t>
        </is>
      </c>
      <c r="AV157" t="inlineStr">
        <is>
          <t>960786</t>
        </is>
      </c>
      <c r="AW157" t="inlineStr">
        <is>
          <t>991003420169702656</t>
        </is>
      </c>
      <c r="AX157" t="inlineStr">
        <is>
          <t>991003420169702656</t>
        </is>
      </c>
      <c r="AY157" t="inlineStr">
        <is>
          <t>2258992530002656</t>
        </is>
      </c>
      <c r="AZ157" t="inlineStr">
        <is>
          <t>BOOK</t>
        </is>
      </c>
      <c r="BC157" t="inlineStr">
        <is>
          <t>32285000529403</t>
        </is>
      </c>
      <c r="BD157" t="inlineStr">
        <is>
          <t>893434980</t>
        </is>
      </c>
    </row>
    <row r="158">
      <c r="A158" t="inlineStr">
        <is>
          <t>No</t>
        </is>
      </c>
      <c r="B158" t="inlineStr">
        <is>
          <t>HM131 .S584 1982</t>
        </is>
      </c>
      <c r="C158" t="inlineStr">
        <is>
          <t>0                      HM 0131000S  584         1982</t>
        </is>
      </c>
      <c r="D158" t="inlineStr">
        <is>
          <t>Social identity and intergroup relations / edited by Henri Tajfel.</t>
        </is>
      </c>
      <c r="F158" t="inlineStr">
        <is>
          <t>No</t>
        </is>
      </c>
      <c r="G158" t="inlineStr">
        <is>
          <t>1</t>
        </is>
      </c>
      <c r="H158" t="inlineStr">
        <is>
          <t>No</t>
        </is>
      </c>
      <c r="I158" t="inlineStr">
        <is>
          <t>No</t>
        </is>
      </c>
      <c r="J158" t="inlineStr">
        <is>
          <t>0</t>
        </is>
      </c>
      <c r="L158" t="inlineStr">
        <is>
          <t>Cambridge [Cambridgeshire] ; New York : Cambridge University Press ; Paris : Editions de la Maison des sciences de l'homme, 1982.</t>
        </is>
      </c>
      <c r="M158" t="inlineStr">
        <is>
          <t>1982</t>
        </is>
      </c>
      <c r="O158" t="inlineStr">
        <is>
          <t>eng</t>
        </is>
      </c>
      <c r="P158" t="inlineStr">
        <is>
          <t>enk</t>
        </is>
      </c>
      <c r="Q158" t="inlineStr">
        <is>
          <t>European studies in social psychology</t>
        </is>
      </c>
      <c r="R158" t="inlineStr">
        <is>
          <t xml:space="preserve">HM </t>
        </is>
      </c>
      <c r="S158" t="n">
        <v>17</v>
      </c>
      <c r="T158" t="n">
        <v>17</v>
      </c>
      <c r="U158" t="inlineStr">
        <is>
          <t>2009-02-10</t>
        </is>
      </c>
      <c r="V158" t="inlineStr">
        <is>
          <t>2009-02-10</t>
        </is>
      </c>
      <c r="W158" t="inlineStr">
        <is>
          <t>1992-08-25</t>
        </is>
      </c>
      <c r="X158" t="inlineStr">
        <is>
          <t>1992-08-25</t>
        </is>
      </c>
      <c r="Y158" t="n">
        <v>414</v>
      </c>
      <c r="Z158" t="n">
        <v>267</v>
      </c>
      <c r="AA158" t="n">
        <v>285</v>
      </c>
      <c r="AB158" t="n">
        <v>2</v>
      </c>
      <c r="AC158" t="n">
        <v>2</v>
      </c>
      <c r="AD158" t="n">
        <v>11</v>
      </c>
      <c r="AE158" t="n">
        <v>11</v>
      </c>
      <c r="AF158" t="n">
        <v>3</v>
      </c>
      <c r="AG158" t="n">
        <v>3</v>
      </c>
      <c r="AH158" t="n">
        <v>2</v>
      </c>
      <c r="AI158" t="n">
        <v>2</v>
      </c>
      <c r="AJ158" t="n">
        <v>7</v>
      </c>
      <c r="AK158" t="n">
        <v>7</v>
      </c>
      <c r="AL158" t="n">
        <v>1</v>
      </c>
      <c r="AM158" t="n">
        <v>1</v>
      </c>
      <c r="AN158" t="n">
        <v>0</v>
      </c>
      <c r="AO158" t="n">
        <v>0</v>
      </c>
      <c r="AP158" t="inlineStr">
        <is>
          <t>No</t>
        </is>
      </c>
      <c r="AQ158" t="inlineStr">
        <is>
          <t>Yes</t>
        </is>
      </c>
      <c r="AR158">
        <f>HYPERLINK("http://catalog.hathitrust.org/Record/000232425","HathiTrust Record")</f>
        <v/>
      </c>
      <c r="AS158">
        <f>HYPERLINK("https://creighton-primo.hosted.exlibrisgroup.com/primo-explore/search?tab=default_tab&amp;search_scope=EVERYTHING&amp;vid=01CRU&amp;lang=en_US&amp;offset=0&amp;query=any,contains,991005204729702656","Catalog Record")</f>
        <v/>
      </c>
      <c r="AT158">
        <f>HYPERLINK("http://www.worldcat.org/oclc/8112345","WorldCat Record")</f>
        <v/>
      </c>
      <c r="AU158" t="inlineStr">
        <is>
          <t>30836738:eng</t>
        </is>
      </c>
      <c r="AV158" t="inlineStr">
        <is>
          <t>8112345</t>
        </is>
      </c>
      <c r="AW158" t="inlineStr">
        <is>
          <t>991005204729702656</t>
        </is>
      </c>
      <c r="AX158" t="inlineStr">
        <is>
          <t>991005204729702656</t>
        </is>
      </c>
      <c r="AY158" t="inlineStr">
        <is>
          <t>2255454900002656</t>
        </is>
      </c>
      <c r="AZ158" t="inlineStr">
        <is>
          <t>BOOK</t>
        </is>
      </c>
      <c r="BB158" t="inlineStr">
        <is>
          <t>9780521246163</t>
        </is>
      </c>
      <c r="BC158" t="inlineStr">
        <is>
          <t>32285001266096</t>
        </is>
      </c>
      <c r="BD158" t="inlineStr">
        <is>
          <t>893719975</t>
        </is>
      </c>
    </row>
    <row r="159">
      <c r="A159" t="inlineStr">
        <is>
          <t>No</t>
        </is>
      </c>
      <c r="B159" t="inlineStr">
        <is>
          <t>HM131 .S62</t>
        </is>
      </c>
      <c r="C159" t="inlineStr">
        <is>
          <t>0                      HM 0131000S  62</t>
        </is>
      </c>
      <c r="D159" t="inlineStr">
        <is>
          <t>Social control in a free society, by Loren C. Eiseley [and others] Edited with a pref.</t>
        </is>
      </c>
      <c r="F159" t="inlineStr">
        <is>
          <t>No</t>
        </is>
      </c>
      <c r="G159" t="inlineStr">
        <is>
          <t>1</t>
        </is>
      </c>
      <c r="H159" t="inlineStr">
        <is>
          <t>No</t>
        </is>
      </c>
      <c r="I159" t="inlineStr">
        <is>
          <t>No</t>
        </is>
      </c>
      <c r="J159" t="inlineStr">
        <is>
          <t>0</t>
        </is>
      </c>
      <c r="K159" t="inlineStr">
        <is>
          <t>Spiller, Robert Ernest, 1896-1988 editor.</t>
        </is>
      </c>
      <c r="L159" t="inlineStr">
        <is>
          <t>Philadelphia, University of Pennsylvania Press [1960]</t>
        </is>
      </c>
      <c r="M159" t="inlineStr">
        <is>
          <t>1960</t>
        </is>
      </c>
      <c r="O159" t="inlineStr">
        <is>
          <t>eng</t>
        </is>
      </c>
      <c r="P159" t="inlineStr">
        <is>
          <t>pau</t>
        </is>
      </c>
      <c r="Q159" t="inlineStr">
        <is>
          <t>The Benjamin Franklin lectures of the University of Pennsylvania, 6th ser., 1958</t>
        </is>
      </c>
      <c r="R159" t="inlineStr">
        <is>
          <t xml:space="preserve">HM </t>
        </is>
      </c>
      <c r="S159" t="n">
        <v>2</v>
      </c>
      <c r="T159" t="n">
        <v>2</v>
      </c>
      <c r="U159" t="inlineStr">
        <is>
          <t>2003-06-24</t>
        </is>
      </c>
      <c r="V159" t="inlineStr">
        <is>
          <t>2003-06-24</t>
        </is>
      </c>
      <c r="W159" t="inlineStr">
        <is>
          <t>1997-07-29</t>
        </is>
      </c>
      <c r="X159" t="inlineStr">
        <is>
          <t>1997-07-29</t>
        </is>
      </c>
      <c r="Y159" t="n">
        <v>332</v>
      </c>
      <c r="Z159" t="n">
        <v>297</v>
      </c>
      <c r="AA159" t="n">
        <v>522</v>
      </c>
      <c r="AB159" t="n">
        <v>3</v>
      </c>
      <c r="AC159" t="n">
        <v>4</v>
      </c>
      <c r="AD159" t="n">
        <v>14</v>
      </c>
      <c r="AE159" t="n">
        <v>25</v>
      </c>
      <c r="AF159" t="n">
        <v>3</v>
      </c>
      <c r="AG159" t="n">
        <v>10</v>
      </c>
      <c r="AH159" t="n">
        <v>6</v>
      </c>
      <c r="AI159" t="n">
        <v>8</v>
      </c>
      <c r="AJ159" t="n">
        <v>8</v>
      </c>
      <c r="AK159" t="n">
        <v>13</v>
      </c>
      <c r="AL159" t="n">
        <v>1</v>
      </c>
      <c r="AM159" t="n">
        <v>2</v>
      </c>
      <c r="AN159" t="n">
        <v>1</v>
      </c>
      <c r="AO159" t="n">
        <v>1</v>
      </c>
      <c r="AP159" t="inlineStr">
        <is>
          <t>No</t>
        </is>
      </c>
      <c r="AQ159" t="inlineStr">
        <is>
          <t>No</t>
        </is>
      </c>
      <c r="AR159">
        <f>HYPERLINK("http://catalog.hathitrust.org/Record/001109275","HathiTrust Record")</f>
        <v/>
      </c>
      <c r="AS159">
        <f>HYPERLINK("https://creighton-primo.hosted.exlibrisgroup.com/primo-explore/search?tab=default_tab&amp;search_scope=EVERYTHING&amp;vid=01CRU&amp;lang=en_US&amp;offset=0&amp;query=any,contains,991002069879702656","Catalog Record")</f>
        <v/>
      </c>
      <c r="AT159">
        <f>HYPERLINK("http://www.worldcat.org/oclc/263412","WorldCat Record")</f>
        <v/>
      </c>
      <c r="AU159" t="inlineStr">
        <is>
          <t>135928814:eng</t>
        </is>
      </c>
      <c r="AV159" t="inlineStr">
        <is>
          <t>263412</t>
        </is>
      </c>
      <c r="AW159" t="inlineStr">
        <is>
          <t>991002069879702656</t>
        </is>
      </c>
      <c r="AX159" t="inlineStr">
        <is>
          <t>991002069879702656</t>
        </is>
      </c>
      <c r="AY159" t="inlineStr">
        <is>
          <t>2268681150002656</t>
        </is>
      </c>
      <c r="AZ159" t="inlineStr">
        <is>
          <t>BOOK</t>
        </is>
      </c>
      <c r="BC159" t="inlineStr">
        <is>
          <t>32285003015772</t>
        </is>
      </c>
      <c r="BD159" t="inlineStr">
        <is>
          <t>893603169</t>
        </is>
      </c>
    </row>
    <row r="160">
      <c r="A160" t="inlineStr">
        <is>
          <t>No</t>
        </is>
      </c>
      <c r="B160" t="inlineStr">
        <is>
          <t>HM131 .S833 1991</t>
        </is>
      </c>
      <c r="C160" t="inlineStr">
        <is>
          <t>0                      HM 0131000S  833         1991</t>
        </is>
      </c>
      <c r="D160" t="inlineStr">
        <is>
          <t>Studying interpersonal interaction / edited by Barbara M. Montgomery, Steve Duck.</t>
        </is>
      </c>
      <c r="F160" t="inlineStr">
        <is>
          <t>No</t>
        </is>
      </c>
      <c r="G160" t="inlineStr">
        <is>
          <t>1</t>
        </is>
      </c>
      <c r="H160" t="inlineStr">
        <is>
          <t>No</t>
        </is>
      </c>
      <c r="I160" t="inlineStr">
        <is>
          <t>No</t>
        </is>
      </c>
      <c r="J160" t="inlineStr">
        <is>
          <t>0</t>
        </is>
      </c>
      <c r="L160" t="inlineStr">
        <is>
          <t>New York : Guilford Press, c1991.</t>
        </is>
      </c>
      <c r="M160" t="inlineStr">
        <is>
          <t>1991</t>
        </is>
      </c>
      <c r="O160" t="inlineStr">
        <is>
          <t>eng</t>
        </is>
      </c>
      <c r="P160" t="inlineStr">
        <is>
          <t>nyu</t>
        </is>
      </c>
      <c r="Q160" t="inlineStr">
        <is>
          <t>The Guilford communication series</t>
        </is>
      </c>
      <c r="R160" t="inlineStr">
        <is>
          <t xml:space="preserve">HM </t>
        </is>
      </c>
      <c r="S160" t="n">
        <v>8</v>
      </c>
      <c r="T160" t="n">
        <v>8</v>
      </c>
      <c r="U160" t="inlineStr">
        <is>
          <t>2008-01-15</t>
        </is>
      </c>
      <c r="V160" t="inlineStr">
        <is>
          <t>2008-01-15</t>
        </is>
      </c>
      <c r="W160" t="inlineStr">
        <is>
          <t>1992-06-01</t>
        </is>
      </c>
      <c r="X160" t="inlineStr">
        <is>
          <t>1992-06-01</t>
        </is>
      </c>
      <c r="Y160" t="n">
        <v>519</v>
      </c>
      <c r="Z160" t="n">
        <v>413</v>
      </c>
      <c r="AA160" t="n">
        <v>414</v>
      </c>
      <c r="AB160" t="n">
        <v>7</v>
      </c>
      <c r="AC160" t="n">
        <v>7</v>
      </c>
      <c r="AD160" t="n">
        <v>25</v>
      </c>
      <c r="AE160" t="n">
        <v>25</v>
      </c>
      <c r="AF160" t="n">
        <v>7</v>
      </c>
      <c r="AG160" t="n">
        <v>7</v>
      </c>
      <c r="AH160" t="n">
        <v>5</v>
      </c>
      <c r="AI160" t="n">
        <v>5</v>
      </c>
      <c r="AJ160" t="n">
        <v>11</v>
      </c>
      <c r="AK160" t="n">
        <v>11</v>
      </c>
      <c r="AL160" t="n">
        <v>6</v>
      </c>
      <c r="AM160" t="n">
        <v>6</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HYPERLINK("https://creighton-primo.hosted.exlibrisgroup.com/primo-explore/search?tab=default_tab&amp;search_scope=EVERYTHING&amp;vid=01CRU&amp;lang=en_US&amp;offset=0&amp;query=any,contains,991001806009702656","Catalog Record")</f>
        <v/>
      </c>
      <c r="AT160">
        <f>HYPERLINK("http://www.worldcat.org/oclc/22706980","WorldCat Record")</f>
        <v/>
      </c>
      <c r="AU160" t="inlineStr">
        <is>
          <t>355064254:eng</t>
        </is>
      </c>
      <c r="AV160" t="inlineStr">
        <is>
          <t>22706980</t>
        </is>
      </c>
      <c r="AW160" t="inlineStr">
        <is>
          <t>991001806009702656</t>
        </is>
      </c>
      <c r="AX160" t="inlineStr">
        <is>
          <t>991001806009702656</t>
        </is>
      </c>
      <c r="AY160" t="inlineStr">
        <is>
          <t>2259395820002656</t>
        </is>
      </c>
      <c r="AZ160" t="inlineStr">
        <is>
          <t>BOOK</t>
        </is>
      </c>
      <c r="BB160" t="inlineStr">
        <is>
          <t>9780898623123</t>
        </is>
      </c>
      <c r="BC160" t="inlineStr">
        <is>
          <t>32285001125524</t>
        </is>
      </c>
      <c r="BD160" t="inlineStr">
        <is>
          <t>893866500</t>
        </is>
      </c>
    </row>
    <row r="161">
      <c r="A161" t="inlineStr">
        <is>
          <t>No</t>
        </is>
      </c>
      <c r="B161" t="inlineStr">
        <is>
          <t>HM131 .V7</t>
        </is>
      </c>
      <c r="C161" t="inlineStr">
        <is>
          <t>0                      HM 0131000V  7</t>
        </is>
      </c>
      <c r="D161" t="inlineStr">
        <is>
          <t>Methods of organizational research [by] Karl E. Weick [and others] Edited by Victor H. Vroom.</t>
        </is>
      </c>
      <c r="F161" t="inlineStr">
        <is>
          <t>No</t>
        </is>
      </c>
      <c r="G161" t="inlineStr">
        <is>
          <t>1</t>
        </is>
      </c>
      <c r="H161" t="inlineStr">
        <is>
          <t>No</t>
        </is>
      </c>
      <c r="I161" t="inlineStr">
        <is>
          <t>No</t>
        </is>
      </c>
      <c r="J161" t="inlineStr">
        <is>
          <t>0</t>
        </is>
      </c>
      <c r="K161" t="inlineStr">
        <is>
          <t>Vroom, Victor H. (Victor Harold), 1932- editor.</t>
        </is>
      </c>
      <c r="L161" t="inlineStr">
        <is>
          <t>[Pittsburgh] University of Pittsburgh Press [1967]</t>
        </is>
      </c>
      <c r="M161" t="inlineStr">
        <is>
          <t>1967</t>
        </is>
      </c>
      <c r="O161" t="inlineStr">
        <is>
          <t>eng</t>
        </is>
      </c>
      <c r="P161" t="inlineStr">
        <is>
          <t>pau</t>
        </is>
      </c>
      <c r="R161" t="inlineStr">
        <is>
          <t xml:space="preserve">HM </t>
        </is>
      </c>
      <c r="S161" t="n">
        <v>3</v>
      </c>
      <c r="T161" t="n">
        <v>3</v>
      </c>
      <c r="U161" t="inlineStr">
        <is>
          <t>2006-09-25</t>
        </is>
      </c>
      <c r="V161" t="inlineStr">
        <is>
          <t>2006-09-25</t>
        </is>
      </c>
      <c r="W161" t="inlineStr">
        <is>
          <t>1997-07-29</t>
        </is>
      </c>
      <c r="X161" t="inlineStr">
        <is>
          <t>1997-07-29</t>
        </is>
      </c>
      <c r="Y161" t="n">
        <v>440</v>
      </c>
      <c r="Z161" t="n">
        <v>346</v>
      </c>
      <c r="AA161" t="n">
        <v>348</v>
      </c>
      <c r="AB161" t="n">
        <v>4</v>
      </c>
      <c r="AC161" t="n">
        <v>4</v>
      </c>
      <c r="AD161" t="n">
        <v>21</v>
      </c>
      <c r="AE161" t="n">
        <v>21</v>
      </c>
      <c r="AF161" t="n">
        <v>7</v>
      </c>
      <c r="AG161" t="n">
        <v>7</v>
      </c>
      <c r="AH161" t="n">
        <v>4</v>
      </c>
      <c r="AI161" t="n">
        <v>4</v>
      </c>
      <c r="AJ161" t="n">
        <v>12</v>
      </c>
      <c r="AK161" t="n">
        <v>12</v>
      </c>
      <c r="AL161" t="n">
        <v>3</v>
      </c>
      <c r="AM161" t="n">
        <v>3</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HYPERLINK("https://creighton-primo.hosted.exlibrisgroup.com/primo-explore/search?tab=default_tab&amp;search_scope=EVERYTHING&amp;vid=01CRU&amp;lang=en_US&amp;offset=0&amp;query=any,contains,991001986099702656","Catalog Record")</f>
        <v/>
      </c>
      <c r="AT161">
        <f>HYPERLINK("http://www.worldcat.org/oclc/254777","WorldCat Record")</f>
        <v/>
      </c>
      <c r="AU161" t="inlineStr">
        <is>
          <t>3856003682:eng</t>
        </is>
      </c>
      <c r="AV161" t="inlineStr">
        <is>
          <t>254777</t>
        </is>
      </c>
      <c r="AW161" t="inlineStr">
        <is>
          <t>991001986099702656</t>
        </is>
      </c>
      <c r="AX161" t="inlineStr">
        <is>
          <t>991001986099702656</t>
        </is>
      </c>
      <c r="AY161" t="inlineStr">
        <is>
          <t>2269220610002656</t>
        </is>
      </c>
      <c r="AZ161" t="inlineStr">
        <is>
          <t>BOOK</t>
        </is>
      </c>
      <c r="BC161" t="inlineStr">
        <is>
          <t>32285003015780</t>
        </is>
      </c>
      <c r="BD161" t="inlineStr">
        <is>
          <t>893703536</t>
        </is>
      </c>
    </row>
    <row r="162">
      <c r="A162" t="inlineStr">
        <is>
          <t>No</t>
        </is>
      </c>
      <c r="B162" t="inlineStr">
        <is>
          <t>HM131 .W38</t>
        </is>
      </c>
      <c r="C162" t="inlineStr">
        <is>
          <t>0                      HM 0131000W  38</t>
        </is>
      </c>
      <c r="D162" t="inlineStr">
        <is>
          <t>Max Weber on charisma and institution building : selected papers / edited and with an introduction by S. N. Eisenstadt.</t>
        </is>
      </c>
      <c r="F162" t="inlineStr">
        <is>
          <t>No</t>
        </is>
      </c>
      <c r="G162" t="inlineStr">
        <is>
          <t>1</t>
        </is>
      </c>
      <c r="H162" t="inlineStr">
        <is>
          <t>Yes</t>
        </is>
      </c>
      <c r="I162" t="inlineStr">
        <is>
          <t>No</t>
        </is>
      </c>
      <c r="J162" t="inlineStr">
        <is>
          <t>0</t>
        </is>
      </c>
      <c r="K162" t="inlineStr">
        <is>
          <t>Weber, Max, 1864-1920.</t>
        </is>
      </c>
      <c r="L162" t="inlineStr">
        <is>
          <t>Chicago : University of Chicago Press, [1968]</t>
        </is>
      </c>
      <c r="M162" t="inlineStr">
        <is>
          <t>1968</t>
        </is>
      </c>
      <c r="O162" t="inlineStr">
        <is>
          <t>eng</t>
        </is>
      </c>
      <c r="P162" t="inlineStr">
        <is>
          <t>ilu</t>
        </is>
      </c>
      <c r="Q162" t="inlineStr">
        <is>
          <t>The heritage of sociology</t>
        </is>
      </c>
      <c r="R162" t="inlineStr">
        <is>
          <t xml:space="preserve">HM </t>
        </is>
      </c>
      <c r="S162" t="n">
        <v>5</v>
      </c>
      <c r="T162" t="n">
        <v>5</v>
      </c>
      <c r="U162" t="inlineStr">
        <is>
          <t>2000-11-20</t>
        </is>
      </c>
      <c r="V162" t="inlineStr">
        <is>
          <t>2000-11-20</t>
        </is>
      </c>
      <c r="W162" t="inlineStr">
        <is>
          <t>1992-12-22</t>
        </is>
      </c>
      <c r="X162" t="inlineStr">
        <is>
          <t>1992-12-22</t>
        </is>
      </c>
      <c r="Y162" t="n">
        <v>1087</v>
      </c>
      <c r="Z162" t="n">
        <v>904</v>
      </c>
      <c r="AA162" t="n">
        <v>922</v>
      </c>
      <c r="AB162" t="n">
        <v>6</v>
      </c>
      <c r="AC162" t="n">
        <v>6</v>
      </c>
      <c r="AD162" t="n">
        <v>46</v>
      </c>
      <c r="AE162" t="n">
        <v>46</v>
      </c>
      <c r="AF162" t="n">
        <v>23</v>
      </c>
      <c r="AG162" t="n">
        <v>23</v>
      </c>
      <c r="AH162" t="n">
        <v>10</v>
      </c>
      <c r="AI162" t="n">
        <v>10</v>
      </c>
      <c r="AJ162" t="n">
        <v>21</v>
      </c>
      <c r="AK162" t="n">
        <v>21</v>
      </c>
      <c r="AL162" t="n">
        <v>4</v>
      </c>
      <c r="AM162" t="n">
        <v>4</v>
      </c>
      <c r="AN162" t="n">
        <v>0</v>
      </c>
      <c r="AO162" t="n">
        <v>0</v>
      </c>
      <c r="AP162" t="inlineStr">
        <is>
          <t>No</t>
        </is>
      </c>
      <c r="AQ162" t="inlineStr">
        <is>
          <t>Yes</t>
        </is>
      </c>
      <c r="AR162">
        <f>HYPERLINK("http://catalog.hathitrust.org/Record/007125549","HathiTrust Record")</f>
        <v/>
      </c>
      <c r="AS162">
        <f>HYPERLINK("https://creighton-primo.hosted.exlibrisgroup.com/primo-explore/search?tab=default_tab&amp;search_scope=EVERYTHING&amp;vid=01CRU&amp;lang=en_US&amp;offset=0&amp;query=any,contains,991001626009702656","Catalog Record")</f>
        <v/>
      </c>
      <c r="AT162">
        <f>HYPERLINK("http://www.worldcat.org/oclc/2239","WorldCat Record")</f>
        <v/>
      </c>
      <c r="AU162" t="inlineStr">
        <is>
          <t>3856563291:eng</t>
        </is>
      </c>
      <c r="AV162" t="inlineStr">
        <is>
          <t>2239</t>
        </is>
      </c>
      <c r="AW162" t="inlineStr">
        <is>
          <t>991001626009702656</t>
        </is>
      </c>
      <c r="AX162" t="inlineStr">
        <is>
          <t>991001626009702656</t>
        </is>
      </c>
      <c r="AY162" t="inlineStr">
        <is>
          <t>2262791280002656</t>
        </is>
      </c>
      <c r="AZ162" t="inlineStr">
        <is>
          <t>BOOK</t>
        </is>
      </c>
      <c r="BC162" t="inlineStr">
        <is>
          <t>32285001469310</t>
        </is>
      </c>
      <c r="BD162" t="inlineStr">
        <is>
          <t>893322091</t>
        </is>
      </c>
    </row>
    <row r="163">
      <c r="A163" t="inlineStr">
        <is>
          <t>No</t>
        </is>
      </c>
      <c r="B163" t="inlineStr">
        <is>
          <t>HM131 .Y64 1998</t>
        </is>
      </c>
      <c r="C163" t="inlineStr">
        <is>
          <t>0                      HM 0131000Y  64          1998</t>
        </is>
      </c>
      <c r="D163" t="inlineStr">
        <is>
          <t>Individual strategy and social structure : an evolutionary theory of institutions / H. Peyton Young.</t>
        </is>
      </c>
      <c r="F163" t="inlineStr">
        <is>
          <t>No</t>
        </is>
      </c>
      <c r="G163" t="inlineStr">
        <is>
          <t>1</t>
        </is>
      </c>
      <c r="H163" t="inlineStr">
        <is>
          <t>No</t>
        </is>
      </c>
      <c r="I163" t="inlineStr">
        <is>
          <t>No</t>
        </is>
      </c>
      <c r="J163" t="inlineStr">
        <is>
          <t>0</t>
        </is>
      </c>
      <c r="K163" t="inlineStr">
        <is>
          <t>Young, H. Peyton, 1945-</t>
        </is>
      </c>
      <c r="L163" t="inlineStr">
        <is>
          <t>Princeton, N.J. : Princeton University Press, c1998.</t>
        </is>
      </c>
      <c r="M163" t="inlineStr">
        <is>
          <t>1998</t>
        </is>
      </c>
      <c r="O163" t="inlineStr">
        <is>
          <t>eng</t>
        </is>
      </c>
      <c r="P163" t="inlineStr">
        <is>
          <t>nju</t>
        </is>
      </c>
      <c r="R163" t="inlineStr">
        <is>
          <t xml:space="preserve">HM </t>
        </is>
      </c>
      <c r="S163" t="n">
        <v>4</v>
      </c>
      <c r="T163" t="n">
        <v>4</v>
      </c>
      <c r="U163" t="inlineStr">
        <is>
          <t>2005-11-30</t>
        </is>
      </c>
      <c r="V163" t="inlineStr">
        <is>
          <t>2005-11-30</t>
        </is>
      </c>
      <c r="W163" t="inlineStr">
        <is>
          <t>1999-08-17</t>
        </is>
      </c>
      <c r="X163" t="inlineStr">
        <is>
          <t>1999-08-17</t>
        </is>
      </c>
      <c r="Y163" t="n">
        <v>431</v>
      </c>
      <c r="Z163" t="n">
        <v>315</v>
      </c>
      <c r="AA163" t="n">
        <v>501</v>
      </c>
      <c r="AB163" t="n">
        <v>4</v>
      </c>
      <c r="AC163" t="n">
        <v>5</v>
      </c>
      <c r="AD163" t="n">
        <v>20</v>
      </c>
      <c r="AE163" t="n">
        <v>31</v>
      </c>
      <c r="AF163" t="n">
        <v>5</v>
      </c>
      <c r="AG163" t="n">
        <v>12</v>
      </c>
      <c r="AH163" t="n">
        <v>7</v>
      </c>
      <c r="AI163" t="n">
        <v>9</v>
      </c>
      <c r="AJ163" t="n">
        <v>11</v>
      </c>
      <c r="AK163" t="n">
        <v>16</v>
      </c>
      <c r="AL163" t="n">
        <v>3</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HYPERLINK("https://creighton-primo.hosted.exlibrisgroup.com/primo-explore/search?tab=default_tab&amp;search_scope=EVERYTHING&amp;vid=01CRU&amp;lang=en_US&amp;offset=0&amp;query=any,contains,991002856619702656","Catalog Record")</f>
        <v/>
      </c>
      <c r="AT163">
        <f>HYPERLINK("http://www.worldcat.org/oclc/37640628","WorldCat Record")</f>
        <v/>
      </c>
      <c r="AU163" t="inlineStr">
        <is>
          <t>576266:eng</t>
        </is>
      </c>
      <c r="AV163" t="inlineStr">
        <is>
          <t>37640628</t>
        </is>
      </c>
      <c r="AW163" t="inlineStr">
        <is>
          <t>991002856619702656</t>
        </is>
      </c>
      <c r="AX163" t="inlineStr">
        <is>
          <t>991002856619702656</t>
        </is>
      </c>
      <c r="AY163" t="inlineStr">
        <is>
          <t>2269098420002656</t>
        </is>
      </c>
      <c r="AZ163" t="inlineStr">
        <is>
          <t>BOOK</t>
        </is>
      </c>
      <c r="BB163" t="inlineStr">
        <is>
          <t>9780691026848</t>
        </is>
      </c>
      <c r="BC163" t="inlineStr">
        <is>
          <t>32285003581971</t>
        </is>
      </c>
      <c r="BD163" t="inlineStr">
        <is>
          <t>893874087</t>
        </is>
      </c>
    </row>
    <row r="164">
      <c r="A164" t="inlineStr">
        <is>
          <t>No</t>
        </is>
      </c>
      <c r="B164" t="inlineStr">
        <is>
          <t>HM131 .Z3</t>
        </is>
      </c>
      <c r="C164" t="inlineStr">
        <is>
          <t>0                      HM 0131000Z  3</t>
        </is>
      </c>
      <c r="D164" t="inlineStr">
        <is>
          <t>The dynamics of interpersonal behavior / [by] Abraham Zaleznik [and] David Moment.</t>
        </is>
      </c>
      <c r="F164" t="inlineStr">
        <is>
          <t>No</t>
        </is>
      </c>
      <c r="G164" t="inlineStr">
        <is>
          <t>1</t>
        </is>
      </c>
      <c r="H164" t="inlineStr">
        <is>
          <t>No</t>
        </is>
      </c>
      <c r="I164" t="inlineStr">
        <is>
          <t>No</t>
        </is>
      </c>
      <c r="J164" t="inlineStr">
        <is>
          <t>0</t>
        </is>
      </c>
      <c r="K164" t="inlineStr">
        <is>
          <t>Zaleznik, Abraham, 1924-</t>
        </is>
      </c>
      <c r="L164" t="inlineStr">
        <is>
          <t>New York : Wiley, [1964]</t>
        </is>
      </c>
      <c r="M164" t="inlineStr">
        <is>
          <t>1964</t>
        </is>
      </c>
      <c r="O164" t="inlineStr">
        <is>
          <t>eng</t>
        </is>
      </c>
      <c r="P164" t="inlineStr">
        <is>
          <t>nyu</t>
        </is>
      </c>
      <c r="R164" t="inlineStr">
        <is>
          <t xml:space="preserve">HM </t>
        </is>
      </c>
      <c r="S164" t="n">
        <v>4</v>
      </c>
      <c r="T164" t="n">
        <v>4</v>
      </c>
      <c r="U164" t="inlineStr">
        <is>
          <t>1999-08-17</t>
        </is>
      </c>
      <c r="V164" t="inlineStr">
        <is>
          <t>1999-08-17</t>
        </is>
      </c>
      <c r="W164" t="inlineStr">
        <is>
          <t>1992-12-02</t>
        </is>
      </c>
      <c r="X164" t="inlineStr">
        <is>
          <t>1992-12-02</t>
        </is>
      </c>
      <c r="Y164" t="n">
        <v>703</v>
      </c>
      <c r="Z164" t="n">
        <v>558</v>
      </c>
      <c r="AA164" t="n">
        <v>569</v>
      </c>
      <c r="AB164" t="n">
        <v>5</v>
      </c>
      <c r="AC164" t="n">
        <v>5</v>
      </c>
      <c r="AD164" t="n">
        <v>28</v>
      </c>
      <c r="AE164" t="n">
        <v>28</v>
      </c>
      <c r="AF164" t="n">
        <v>8</v>
      </c>
      <c r="AG164" t="n">
        <v>8</v>
      </c>
      <c r="AH164" t="n">
        <v>6</v>
      </c>
      <c r="AI164" t="n">
        <v>6</v>
      </c>
      <c r="AJ164" t="n">
        <v>19</v>
      </c>
      <c r="AK164" t="n">
        <v>19</v>
      </c>
      <c r="AL164" t="n">
        <v>3</v>
      </c>
      <c r="AM164" t="n">
        <v>3</v>
      </c>
      <c r="AN164" t="n">
        <v>0</v>
      </c>
      <c r="AO164" t="n">
        <v>0</v>
      </c>
      <c r="AP164" t="inlineStr">
        <is>
          <t>No</t>
        </is>
      </c>
      <c r="AQ164" t="inlineStr">
        <is>
          <t>Yes</t>
        </is>
      </c>
      <c r="AR164">
        <f>HYPERLINK("http://catalog.hathitrust.org/Record/001108063","HathiTrust Record")</f>
        <v/>
      </c>
      <c r="AS164">
        <f>HYPERLINK("https://creighton-primo.hosted.exlibrisgroup.com/primo-explore/search?tab=default_tab&amp;search_scope=EVERYTHING&amp;vid=01CRU&amp;lang=en_US&amp;offset=0&amp;query=any,contains,991003876789702656","Catalog Record")</f>
        <v/>
      </c>
      <c r="AT164">
        <f>HYPERLINK("http://www.worldcat.org/oclc/1708525","WorldCat Record")</f>
        <v/>
      </c>
      <c r="AU164" t="inlineStr">
        <is>
          <t>2554014:eng</t>
        </is>
      </c>
      <c r="AV164" t="inlineStr">
        <is>
          <t>1708525</t>
        </is>
      </c>
      <c r="AW164" t="inlineStr">
        <is>
          <t>991003876789702656</t>
        </is>
      </c>
      <c r="AX164" t="inlineStr">
        <is>
          <t>991003876789702656</t>
        </is>
      </c>
      <c r="AY164" t="inlineStr">
        <is>
          <t>2268259040002656</t>
        </is>
      </c>
      <c r="AZ164" t="inlineStr">
        <is>
          <t>BOOK</t>
        </is>
      </c>
      <c r="BC164" t="inlineStr">
        <is>
          <t>32285001411742</t>
        </is>
      </c>
      <c r="BD164" t="inlineStr">
        <is>
          <t>893343147</t>
        </is>
      </c>
    </row>
    <row r="165">
      <c r="A165" t="inlineStr">
        <is>
          <t>No</t>
        </is>
      </c>
      <c r="B165" t="inlineStr">
        <is>
          <t>HM131 .Z36</t>
        </is>
      </c>
      <c r="C165" t="inlineStr">
        <is>
          <t>0                      HM 0131000Z  36</t>
        </is>
      </c>
      <c r="D165" t="inlineStr">
        <is>
          <t>Making groups effective / Alvin Zander.</t>
        </is>
      </c>
      <c r="F165" t="inlineStr">
        <is>
          <t>No</t>
        </is>
      </c>
      <c r="G165" t="inlineStr">
        <is>
          <t>1</t>
        </is>
      </c>
      <c r="H165" t="inlineStr">
        <is>
          <t>No</t>
        </is>
      </c>
      <c r="I165" t="inlineStr">
        <is>
          <t>Yes</t>
        </is>
      </c>
      <c r="J165" t="inlineStr">
        <is>
          <t>0</t>
        </is>
      </c>
      <c r="K165" t="inlineStr">
        <is>
          <t>Zander, Alvin, 1913-1998.</t>
        </is>
      </c>
      <c r="L165" t="inlineStr">
        <is>
          <t>San Francisco : Jossey-Bass, 1982.</t>
        </is>
      </c>
      <c r="M165" t="inlineStr">
        <is>
          <t>1982</t>
        </is>
      </c>
      <c r="N165" t="inlineStr">
        <is>
          <t>1st ed.</t>
        </is>
      </c>
      <c r="O165" t="inlineStr">
        <is>
          <t>eng</t>
        </is>
      </c>
      <c r="P165" t="inlineStr">
        <is>
          <t>cau</t>
        </is>
      </c>
      <c r="R165" t="inlineStr">
        <is>
          <t xml:space="preserve">HM </t>
        </is>
      </c>
      <c r="S165" t="n">
        <v>6</v>
      </c>
      <c r="T165" t="n">
        <v>6</v>
      </c>
      <c r="U165" t="inlineStr">
        <is>
          <t>1999-04-25</t>
        </is>
      </c>
      <c r="V165" t="inlineStr">
        <is>
          <t>1999-04-25</t>
        </is>
      </c>
      <c r="W165" t="inlineStr">
        <is>
          <t>1990-04-03</t>
        </is>
      </c>
      <c r="X165" t="inlineStr">
        <is>
          <t>1990-04-03</t>
        </is>
      </c>
      <c r="Y165" t="n">
        <v>978</v>
      </c>
      <c r="Z165" t="n">
        <v>784</v>
      </c>
      <c r="AA165" t="n">
        <v>951</v>
      </c>
      <c r="AB165" t="n">
        <v>5</v>
      </c>
      <c r="AC165" t="n">
        <v>6</v>
      </c>
      <c r="AD165" t="n">
        <v>27</v>
      </c>
      <c r="AE165" t="n">
        <v>36</v>
      </c>
      <c r="AF165" t="n">
        <v>9</v>
      </c>
      <c r="AG165" t="n">
        <v>14</v>
      </c>
      <c r="AH165" t="n">
        <v>5</v>
      </c>
      <c r="AI165" t="n">
        <v>6</v>
      </c>
      <c r="AJ165" t="n">
        <v>17</v>
      </c>
      <c r="AK165" t="n">
        <v>20</v>
      </c>
      <c r="AL165" t="n">
        <v>4</v>
      </c>
      <c r="AM165" t="n">
        <v>5</v>
      </c>
      <c r="AN165" t="n">
        <v>0</v>
      </c>
      <c r="AO165" t="n">
        <v>0</v>
      </c>
      <c r="AP165" t="inlineStr">
        <is>
          <t>No</t>
        </is>
      </c>
      <c r="AQ165" t="inlineStr">
        <is>
          <t>Yes</t>
        </is>
      </c>
      <c r="AR165">
        <f>HYPERLINK("http://catalog.hathitrust.org/Record/000100782","HathiTrust Record")</f>
        <v/>
      </c>
      <c r="AS165">
        <f>HYPERLINK("https://creighton-primo.hosted.exlibrisgroup.com/primo-explore/search?tab=default_tab&amp;search_scope=EVERYTHING&amp;vid=01CRU&amp;lang=en_US&amp;offset=0&amp;query=any,contains,991005220349702656","Catalog Record")</f>
        <v/>
      </c>
      <c r="AT165">
        <f>HYPERLINK("http://www.worldcat.org/oclc/8221595","WorldCat Record")</f>
        <v/>
      </c>
      <c r="AU165" t="inlineStr">
        <is>
          <t>11909540:eng</t>
        </is>
      </c>
      <c r="AV165" t="inlineStr">
        <is>
          <t>8221595</t>
        </is>
      </c>
      <c r="AW165" t="inlineStr">
        <is>
          <t>991005220349702656</t>
        </is>
      </c>
      <c r="AX165" t="inlineStr">
        <is>
          <t>991005220349702656</t>
        </is>
      </c>
      <c r="AY165" t="inlineStr">
        <is>
          <t>2268671120002656</t>
        </is>
      </c>
      <c r="AZ165" t="inlineStr">
        <is>
          <t>BOOK</t>
        </is>
      </c>
      <c r="BB165" t="inlineStr">
        <is>
          <t>9780875895222</t>
        </is>
      </c>
      <c r="BC165" t="inlineStr">
        <is>
          <t>32285000108182</t>
        </is>
      </c>
      <c r="BD165" t="inlineStr">
        <is>
          <t>893412518</t>
        </is>
      </c>
    </row>
    <row r="166">
      <c r="A166" t="inlineStr">
        <is>
          <t>No</t>
        </is>
      </c>
      <c r="B166" t="inlineStr">
        <is>
          <t>HM131 .Z363 1985</t>
        </is>
      </c>
      <c r="C166" t="inlineStr">
        <is>
          <t>0                      HM 0131000Z  363         1985</t>
        </is>
      </c>
      <c r="D166" t="inlineStr">
        <is>
          <t>The purposes of groups and organizations / Alvin Zander.</t>
        </is>
      </c>
      <c r="F166" t="inlineStr">
        <is>
          <t>No</t>
        </is>
      </c>
      <c r="G166" t="inlineStr">
        <is>
          <t>1</t>
        </is>
      </c>
      <c r="H166" t="inlineStr">
        <is>
          <t>No</t>
        </is>
      </c>
      <c r="I166" t="inlineStr">
        <is>
          <t>No</t>
        </is>
      </c>
      <c r="J166" t="inlineStr">
        <is>
          <t>0</t>
        </is>
      </c>
      <c r="K166" t="inlineStr">
        <is>
          <t>Zander, Alvin, 1913-1998.</t>
        </is>
      </c>
      <c r="L166" t="inlineStr">
        <is>
          <t>San Francisco, Calif. : Jossey-Bass, c1985.</t>
        </is>
      </c>
      <c r="M166" t="inlineStr">
        <is>
          <t>1985</t>
        </is>
      </c>
      <c r="N166" t="inlineStr">
        <is>
          <t>1st ed.</t>
        </is>
      </c>
      <c r="O166" t="inlineStr">
        <is>
          <t>eng</t>
        </is>
      </c>
      <c r="P166" t="inlineStr">
        <is>
          <t>cau</t>
        </is>
      </c>
      <c r="Q166" t="inlineStr">
        <is>
          <t>The Jossey-Bass management series</t>
        </is>
      </c>
      <c r="R166" t="inlineStr">
        <is>
          <t xml:space="preserve">HM </t>
        </is>
      </c>
      <c r="S166" t="n">
        <v>9</v>
      </c>
      <c r="T166" t="n">
        <v>9</v>
      </c>
      <c r="U166" t="inlineStr">
        <is>
          <t>2000-10-04</t>
        </is>
      </c>
      <c r="V166" t="inlineStr">
        <is>
          <t>2000-10-04</t>
        </is>
      </c>
      <c r="W166" t="inlineStr">
        <is>
          <t>1990-04-03</t>
        </is>
      </c>
      <c r="X166" t="inlineStr">
        <is>
          <t>1990-04-03</t>
        </is>
      </c>
      <c r="Y166" t="n">
        <v>463</v>
      </c>
      <c r="Z166" t="n">
        <v>361</v>
      </c>
      <c r="AA166" t="n">
        <v>368</v>
      </c>
      <c r="AB166" t="n">
        <v>4</v>
      </c>
      <c r="AC166" t="n">
        <v>4</v>
      </c>
      <c r="AD166" t="n">
        <v>25</v>
      </c>
      <c r="AE166" t="n">
        <v>25</v>
      </c>
      <c r="AF166" t="n">
        <v>7</v>
      </c>
      <c r="AG166" t="n">
        <v>7</v>
      </c>
      <c r="AH166" t="n">
        <v>6</v>
      </c>
      <c r="AI166" t="n">
        <v>6</v>
      </c>
      <c r="AJ166" t="n">
        <v>16</v>
      </c>
      <c r="AK166" t="n">
        <v>16</v>
      </c>
      <c r="AL166" t="n">
        <v>3</v>
      </c>
      <c r="AM166" t="n">
        <v>3</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HYPERLINK("https://creighton-primo.hosted.exlibrisgroup.com/primo-explore/search?tab=default_tab&amp;search_scope=EVERYTHING&amp;vid=01CRU&amp;lang=en_US&amp;offset=0&amp;query=any,contains,991000677209702656","Catalog Record")</f>
        <v/>
      </c>
      <c r="AT166">
        <f>HYPERLINK("http://www.worldcat.org/oclc/12370069","WorldCat Record")</f>
        <v/>
      </c>
      <c r="AU166" t="inlineStr">
        <is>
          <t>5018088:eng</t>
        </is>
      </c>
      <c r="AV166" t="inlineStr">
        <is>
          <t>12370069</t>
        </is>
      </c>
      <c r="AW166" t="inlineStr">
        <is>
          <t>991000677209702656</t>
        </is>
      </c>
      <c r="AX166" t="inlineStr">
        <is>
          <t>991000677209702656</t>
        </is>
      </c>
      <c r="AY166" t="inlineStr">
        <is>
          <t>2261428450002656</t>
        </is>
      </c>
      <c r="AZ166" t="inlineStr">
        <is>
          <t>BOOK</t>
        </is>
      </c>
      <c r="BB166" t="inlineStr">
        <is>
          <t>9780875896519</t>
        </is>
      </c>
      <c r="BC166" t="inlineStr">
        <is>
          <t>32285000108190</t>
        </is>
      </c>
      <c r="BD166" t="inlineStr">
        <is>
          <t>893508998</t>
        </is>
      </c>
    </row>
    <row r="167">
      <c r="A167" t="inlineStr">
        <is>
          <t>No</t>
        </is>
      </c>
      <c r="B167" t="inlineStr">
        <is>
          <t>HM132 .A353 1987</t>
        </is>
      </c>
      <c r="C167" t="inlineStr">
        <is>
          <t>0                      HM 0132000A  353         1987</t>
        </is>
      </c>
      <c r="D167" t="inlineStr">
        <is>
          <t>Communicating social support / Terrance L. Albrecht, Mara B. Adelman, and associates.</t>
        </is>
      </c>
      <c r="F167" t="inlineStr">
        <is>
          <t>No</t>
        </is>
      </c>
      <c r="G167" t="inlineStr">
        <is>
          <t>1</t>
        </is>
      </c>
      <c r="H167" t="inlineStr">
        <is>
          <t>No</t>
        </is>
      </c>
      <c r="I167" t="inlineStr">
        <is>
          <t>No</t>
        </is>
      </c>
      <c r="J167" t="inlineStr">
        <is>
          <t>0</t>
        </is>
      </c>
      <c r="K167" t="inlineStr">
        <is>
          <t>Albrecht, Terrance L.</t>
        </is>
      </c>
      <c r="L167" t="inlineStr">
        <is>
          <t>Newbury Park, Calif. : Sage Publications, c1987.</t>
        </is>
      </c>
      <c r="M167" t="inlineStr">
        <is>
          <t>1987</t>
        </is>
      </c>
      <c r="O167" t="inlineStr">
        <is>
          <t>eng</t>
        </is>
      </c>
      <c r="P167" t="inlineStr">
        <is>
          <t>cau</t>
        </is>
      </c>
      <c r="R167" t="inlineStr">
        <is>
          <t xml:space="preserve">HM </t>
        </is>
      </c>
      <c r="S167" t="n">
        <v>5</v>
      </c>
      <c r="T167" t="n">
        <v>5</v>
      </c>
      <c r="U167" t="inlineStr">
        <is>
          <t>2008-02-13</t>
        </is>
      </c>
      <c r="V167" t="inlineStr">
        <is>
          <t>2008-02-13</t>
        </is>
      </c>
      <c r="W167" t="inlineStr">
        <is>
          <t>1992-08-25</t>
        </is>
      </c>
      <c r="X167" t="inlineStr">
        <is>
          <t>1992-08-25</t>
        </is>
      </c>
      <c r="Y167" t="n">
        <v>379</v>
      </c>
      <c r="Z167" t="n">
        <v>292</v>
      </c>
      <c r="AA167" t="n">
        <v>301</v>
      </c>
      <c r="AB167" t="n">
        <v>5</v>
      </c>
      <c r="AC167" t="n">
        <v>5</v>
      </c>
      <c r="AD167" t="n">
        <v>18</v>
      </c>
      <c r="AE167" t="n">
        <v>19</v>
      </c>
      <c r="AF167" t="n">
        <v>4</v>
      </c>
      <c r="AG167" t="n">
        <v>5</v>
      </c>
      <c r="AH167" t="n">
        <v>4</v>
      </c>
      <c r="AI167" t="n">
        <v>4</v>
      </c>
      <c r="AJ167" t="n">
        <v>9</v>
      </c>
      <c r="AK167" t="n">
        <v>10</v>
      </c>
      <c r="AL167" t="n">
        <v>4</v>
      </c>
      <c r="AM167" t="n">
        <v>4</v>
      </c>
      <c r="AN167" t="n">
        <v>0</v>
      </c>
      <c r="AO167" t="n">
        <v>0</v>
      </c>
      <c r="AP167" t="inlineStr">
        <is>
          <t>No</t>
        </is>
      </c>
      <c r="AQ167" t="inlineStr">
        <is>
          <t>Yes</t>
        </is>
      </c>
      <c r="AR167">
        <f>HYPERLINK("http://catalog.hathitrust.org/Record/000852085","HathiTrust Record")</f>
        <v/>
      </c>
      <c r="AS167">
        <f>HYPERLINK("https://creighton-primo.hosted.exlibrisgroup.com/primo-explore/search?tab=default_tab&amp;search_scope=EVERYTHING&amp;vid=01CRU&amp;lang=en_US&amp;offset=0&amp;query=any,contains,991001027929702656","Catalog Record")</f>
        <v/>
      </c>
      <c r="AT167">
        <f>HYPERLINK("http://www.worldcat.org/oclc/15488682","WorldCat Record")</f>
        <v/>
      </c>
      <c r="AU167" t="inlineStr">
        <is>
          <t>10533279:eng</t>
        </is>
      </c>
      <c r="AV167" t="inlineStr">
        <is>
          <t>15488682</t>
        </is>
      </c>
      <c r="AW167" t="inlineStr">
        <is>
          <t>991001027929702656</t>
        </is>
      </c>
      <c r="AX167" t="inlineStr">
        <is>
          <t>991001027929702656</t>
        </is>
      </c>
      <c r="AY167" t="inlineStr">
        <is>
          <t>2271116110002656</t>
        </is>
      </c>
      <c r="AZ167" t="inlineStr">
        <is>
          <t>BOOK</t>
        </is>
      </c>
      <c r="BB167" t="inlineStr">
        <is>
          <t>9780803926790</t>
        </is>
      </c>
      <c r="BC167" t="inlineStr">
        <is>
          <t>32285001266161</t>
        </is>
      </c>
      <c r="BD167" t="inlineStr">
        <is>
          <t>893903255</t>
        </is>
      </c>
    </row>
    <row r="168">
      <c r="A168" t="inlineStr">
        <is>
          <t>No</t>
        </is>
      </c>
      <c r="B168" t="inlineStr">
        <is>
          <t>HM132 .A865 1998</t>
        </is>
      </c>
      <c r="C168" t="inlineStr">
        <is>
          <t>0                      HM 0132000A  865         1998</t>
        </is>
      </c>
      <c r="D168" t="inlineStr">
        <is>
          <t>Attribution and social interaction : the legacy of Edward E. Jones / edited by John M. Darley, Joel Cooper.</t>
        </is>
      </c>
      <c r="F168" t="inlineStr">
        <is>
          <t>No</t>
        </is>
      </c>
      <c r="G168" t="inlineStr">
        <is>
          <t>1</t>
        </is>
      </c>
      <c r="H168" t="inlineStr">
        <is>
          <t>No</t>
        </is>
      </c>
      <c r="I168" t="inlineStr">
        <is>
          <t>No</t>
        </is>
      </c>
      <c r="J168" t="inlineStr">
        <is>
          <t>0</t>
        </is>
      </c>
      <c r="L168" t="inlineStr">
        <is>
          <t>Washington, D.C. : American Psychological Association, 1998.</t>
        </is>
      </c>
      <c r="M168" t="inlineStr">
        <is>
          <t>1998</t>
        </is>
      </c>
      <c r="O168" t="inlineStr">
        <is>
          <t>eng</t>
        </is>
      </c>
      <c r="P168" t="inlineStr">
        <is>
          <t>dcu</t>
        </is>
      </c>
      <c r="R168" t="inlineStr">
        <is>
          <t xml:space="preserve">HM </t>
        </is>
      </c>
      <c r="S168" t="n">
        <v>6</v>
      </c>
      <c r="T168" t="n">
        <v>6</v>
      </c>
      <c r="U168" t="inlineStr">
        <is>
          <t>2007-12-04</t>
        </is>
      </c>
      <c r="V168" t="inlineStr">
        <is>
          <t>2007-12-04</t>
        </is>
      </c>
      <c r="W168" t="inlineStr">
        <is>
          <t>1998-08-24</t>
        </is>
      </c>
      <c r="X168" t="inlineStr">
        <is>
          <t>1998-08-24</t>
        </is>
      </c>
      <c r="Y168" t="n">
        <v>392</v>
      </c>
      <c r="Z168" t="n">
        <v>296</v>
      </c>
      <c r="AA168" t="n">
        <v>368</v>
      </c>
      <c r="AB168" t="n">
        <v>2</v>
      </c>
      <c r="AC168" t="n">
        <v>3</v>
      </c>
      <c r="AD168" t="n">
        <v>18</v>
      </c>
      <c r="AE168" t="n">
        <v>23</v>
      </c>
      <c r="AF168" t="n">
        <v>5</v>
      </c>
      <c r="AG168" t="n">
        <v>7</v>
      </c>
      <c r="AH168" t="n">
        <v>6</v>
      </c>
      <c r="AI168" t="n">
        <v>6</v>
      </c>
      <c r="AJ168" t="n">
        <v>10</v>
      </c>
      <c r="AK168" t="n">
        <v>12</v>
      </c>
      <c r="AL168" t="n">
        <v>1</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HYPERLINK("https://creighton-primo.hosted.exlibrisgroup.com/primo-explore/search?tab=default_tab&amp;search_scope=EVERYTHING&amp;vid=01CRU&amp;lang=en_US&amp;offset=0&amp;query=any,contains,991002869289702656","Catalog Record")</f>
        <v/>
      </c>
      <c r="AT168">
        <f>HYPERLINK("http://www.worldcat.org/oclc/37820093","WorldCat Record")</f>
        <v/>
      </c>
      <c r="AU168" t="inlineStr">
        <is>
          <t>837014078:eng</t>
        </is>
      </c>
      <c r="AV168" t="inlineStr">
        <is>
          <t>37820093</t>
        </is>
      </c>
      <c r="AW168" t="inlineStr">
        <is>
          <t>991002869289702656</t>
        </is>
      </c>
      <c r="AX168" t="inlineStr">
        <is>
          <t>991002869289702656</t>
        </is>
      </c>
      <c r="AY168" t="inlineStr">
        <is>
          <t>2272267640002656</t>
        </is>
      </c>
      <c r="AZ168" t="inlineStr">
        <is>
          <t>BOOK</t>
        </is>
      </c>
      <c r="BB168" t="inlineStr">
        <is>
          <t>9781557984753</t>
        </is>
      </c>
      <c r="BC168" t="inlineStr">
        <is>
          <t>32285003461141</t>
        </is>
      </c>
      <c r="BD168" t="inlineStr">
        <is>
          <t>893874113</t>
        </is>
      </c>
    </row>
    <row r="169">
      <c r="A169" t="inlineStr">
        <is>
          <t>No</t>
        </is>
      </c>
      <c r="B169" t="inlineStr">
        <is>
          <t>HM132 .B3</t>
        </is>
      </c>
      <c r="C169" t="inlineStr">
        <is>
          <t>0                      HM 0132000B  3</t>
        </is>
      </c>
      <c r="D169" t="inlineStr">
        <is>
          <t>No trespassing! Explorations in human territoriality [by] Cornelis B. Bakker and Marianne K. Bakker-Rabdau.</t>
        </is>
      </c>
      <c r="F169" t="inlineStr">
        <is>
          <t>No</t>
        </is>
      </c>
      <c r="G169" t="inlineStr">
        <is>
          <t>1</t>
        </is>
      </c>
      <c r="H169" t="inlineStr">
        <is>
          <t>No</t>
        </is>
      </c>
      <c r="I169" t="inlineStr">
        <is>
          <t>No</t>
        </is>
      </c>
      <c r="J169" t="inlineStr">
        <is>
          <t>0</t>
        </is>
      </c>
      <c r="K169" t="inlineStr">
        <is>
          <t>Bakker, Cornelis B.</t>
        </is>
      </c>
      <c r="L169" t="inlineStr">
        <is>
          <t>San Francisco, Chandler &amp; Sharp Publishers [1973]</t>
        </is>
      </c>
      <c r="M169" t="inlineStr">
        <is>
          <t>1973</t>
        </is>
      </c>
      <c r="O169" t="inlineStr">
        <is>
          <t>eng</t>
        </is>
      </c>
      <c r="P169" t="inlineStr">
        <is>
          <t>cau</t>
        </is>
      </c>
      <c r="R169" t="inlineStr">
        <is>
          <t xml:space="preserve">HM </t>
        </is>
      </c>
      <c r="S169" t="n">
        <v>1</v>
      </c>
      <c r="T169" t="n">
        <v>1</v>
      </c>
      <c r="U169" t="inlineStr">
        <is>
          <t>2002-11-25</t>
        </is>
      </c>
      <c r="V169" t="inlineStr">
        <is>
          <t>2002-11-25</t>
        </is>
      </c>
      <c r="W169" t="inlineStr">
        <is>
          <t>1997-07-29</t>
        </is>
      </c>
      <c r="X169" t="inlineStr">
        <is>
          <t>1997-07-29</t>
        </is>
      </c>
      <c r="Y169" t="n">
        <v>456</v>
      </c>
      <c r="Z169" t="n">
        <v>402</v>
      </c>
      <c r="AA169" t="n">
        <v>426</v>
      </c>
      <c r="AB169" t="n">
        <v>4</v>
      </c>
      <c r="AC169" t="n">
        <v>4</v>
      </c>
      <c r="AD169" t="n">
        <v>13</v>
      </c>
      <c r="AE169" t="n">
        <v>13</v>
      </c>
      <c r="AF169" t="n">
        <v>4</v>
      </c>
      <c r="AG169" t="n">
        <v>4</v>
      </c>
      <c r="AH169" t="n">
        <v>4</v>
      </c>
      <c r="AI169" t="n">
        <v>4</v>
      </c>
      <c r="AJ169" t="n">
        <v>6</v>
      </c>
      <c r="AK169" t="n">
        <v>6</v>
      </c>
      <c r="AL169" t="n">
        <v>2</v>
      </c>
      <c r="AM169" t="n">
        <v>2</v>
      </c>
      <c r="AN169" t="n">
        <v>0</v>
      </c>
      <c r="AO169" t="n">
        <v>0</v>
      </c>
      <c r="AP169" t="inlineStr">
        <is>
          <t>No</t>
        </is>
      </c>
      <c r="AQ169" t="inlineStr">
        <is>
          <t>Yes</t>
        </is>
      </c>
      <c r="AR169">
        <f>HYPERLINK("http://catalog.hathitrust.org/Record/007112553","HathiTrust Record")</f>
        <v/>
      </c>
      <c r="AS169">
        <f>HYPERLINK("https://creighton-primo.hosted.exlibrisgroup.com/primo-explore/search?tab=default_tab&amp;search_scope=EVERYTHING&amp;vid=01CRU&amp;lang=en_US&amp;offset=0&amp;query=any,contains,991003167469702656","Catalog Record")</f>
        <v/>
      </c>
      <c r="AT169">
        <f>HYPERLINK("http://www.worldcat.org/oclc/704786","WorldCat Record")</f>
        <v/>
      </c>
      <c r="AU169" t="inlineStr">
        <is>
          <t>4495081217:eng</t>
        </is>
      </c>
      <c r="AV169" t="inlineStr">
        <is>
          <t>704786</t>
        </is>
      </c>
      <c r="AW169" t="inlineStr">
        <is>
          <t>991003167469702656</t>
        </is>
      </c>
      <c r="AX169" t="inlineStr">
        <is>
          <t>991003167469702656</t>
        </is>
      </c>
      <c r="AY169" t="inlineStr">
        <is>
          <t>2259215310002656</t>
        </is>
      </c>
      <c r="AZ169" t="inlineStr">
        <is>
          <t>BOOK</t>
        </is>
      </c>
      <c r="BB169" t="inlineStr">
        <is>
          <t>9780883165003</t>
        </is>
      </c>
      <c r="BC169" t="inlineStr">
        <is>
          <t>32285003015822</t>
        </is>
      </c>
      <c r="BD169" t="inlineStr">
        <is>
          <t>893428501</t>
        </is>
      </c>
    </row>
    <row r="170">
      <c r="A170" t="inlineStr">
        <is>
          <t>No</t>
        </is>
      </c>
      <c r="B170" t="inlineStr">
        <is>
          <t>HM132 .B335 1992</t>
        </is>
      </c>
      <c r="C170" t="inlineStr">
        <is>
          <t>0                      HM 0132000B  335         1992</t>
        </is>
      </c>
      <c r="D170" t="inlineStr">
        <is>
          <t>In full flower : aging women, power, and sexuality : a history / Lois W. Banner.</t>
        </is>
      </c>
      <c r="F170" t="inlineStr">
        <is>
          <t>No</t>
        </is>
      </c>
      <c r="G170" t="inlineStr">
        <is>
          <t>1</t>
        </is>
      </c>
      <c r="H170" t="inlineStr">
        <is>
          <t>No</t>
        </is>
      </c>
      <c r="I170" t="inlineStr">
        <is>
          <t>No</t>
        </is>
      </c>
      <c r="J170" t="inlineStr">
        <is>
          <t>0</t>
        </is>
      </c>
      <c r="K170" t="inlineStr">
        <is>
          <t>Banner, Lois W.</t>
        </is>
      </c>
      <c r="L170" t="inlineStr">
        <is>
          <t>New York : Knopf : Distributed by Random House, 1992.</t>
        </is>
      </c>
      <c r="M170" t="inlineStr">
        <is>
          <t>1992</t>
        </is>
      </c>
      <c r="N170" t="inlineStr">
        <is>
          <t>1st ed.</t>
        </is>
      </c>
      <c r="O170" t="inlineStr">
        <is>
          <t>eng</t>
        </is>
      </c>
      <c r="P170" t="inlineStr">
        <is>
          <t>nyu</t>
        </is>
      </c>
      <c r="R170" t="inlineStr">
        <is>
          <t xml:space="preserve">HM </t>
        </is>
      </c>
      <c r="S170" t="n">
        <v>0</v>
      </c>
      <c r="T170" t="n">
        <v>0</v>
      </c>
      <c r="U170" t="inlineStr">
        <is>
          <t>2008-04-11</t>
        </is>
      </c>
      <c r="V170" t="inlineStr">
        <is>
          <t>2008-04-11</t>
        </is>
      </c>
      <c r="W170" t="inlineStr">
        <is>
          <t>1993-02-03</t>
        </is>
      </c>
      <c r="X170" t="inlineStr">
        <is>
          <t>1993-02-03</t>
        </is>
      </c>
      <c r="Y170" t="n">
        <v>901</v>
      </c>
      <c r="Z170" t="n">
        <v>825</v>
      </c>
      <c r="AA170" t="n">
        <v>898</v>
      </c>
      <c r="AB170" t="n">
        <v>6</v>
      </c>
      <c r="AC170" t="n">
        <v>6</v>
      </c>
      <c r="AD170" t="n">
        <v>29</v>
      </c>
      <c r="AE170" t="n">
        <v>32</v>
      </c>
      <c r="AF170" t="n">
        <v>13</v>
      </c>
      <c r="AG170" t="n">
        <v>15</v>
      </c>
      <c r="AH170" t="n">
        <v>6</v>
      </c>
      <c r="AI170" t="n">
        <v>7</v>
      </c>
      <c r="AJ170" t="n">
        <v>14</v>
      </c>
      <c r="AK170" t="n">
        <v>15</v>
      </c>
      <c r="AL170" t="n">
        <v>5</v>
      </c>
      <c r="AM170" t="n">
        <v>5</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HYPERLINK("https://creighton-primo.hosted.exlibrisgroup.com/primo-explore/search?tab=default_tab&amp;search_scope=EVERYTHING&amp;vid=01CRU&amp;lang=en_US&amp;offset=0&amp;query=any,contains,991001890949702656","Catalog Record")</f>
        <v/>
      </c>
      <c r="AT170">
        <f>HYPERLINK("http://www.worldcat.org/oclc/23869168","WorldCat Record")</f>
        <v/>
      </c>
      <c r="AU170" t="inlineStr">
        <is>
          <t>346916:eng</t>
        </is>
      </c>
      <c r="AV170" t="inlineStr">
        <is>
          <t>23869168</t>
        </is>
      </c>
      <c r="AW170" t="inlineStr">
        <is>
          <t>991001890949702656</t>
        </is>
      </c>
      <c r="AX170" t="inlineStr">
        <is>
          <t>991001890949702656</t>
        </is>
      </c>
      <c r="AY170" t="inlineStr">
        <is>
          <t>2270637900002656</t>
        </is>
      </c>
      <c r="AZ170" t="inlineStr">
        <is>
          <t>BOOK</t>
        </is>
      </c>
      <c r="BB170" t="inlineStr">
        <is>
          <t>9780394579436</t>
        </is>
      </c>
      <c r="BC170" t="inlineStr">
        <is>
          <t>32285001449544</t>
        </is>
      </c>
      <c r="BD170" t="inlineStr">
        <is>
          <t>893697113</t>
        </is>
      </c>
    </row>
    <row r="171">
      <c r="A171" t="inlineStr">
        <is>
          <t>No</t>
        </is>
      </c>
      <c r="B171" t="inlineStr">
        <is>
          <t>HM132 .B456 1981</t>
        </is>
      </c>
      <c r="C171" t="inlineStr">
        <is>
          <t>0                      HM 0132000B  456         1981</t>
        </is>
      </c>
      <c r="D171" t="inlineStr">
        <is>
          <t>Understanding persons : personal and impersonal relationships / F.M. Berenson.</t>
        </is>
      </c>
      <c r="F171" t="inlineStr">
        <is>
          <t>No</t>
        </is>
      </c>
      <c r="G171" t="inlineStr">
        <is>
          <t>1</t>
        </is>
      </c>
      <c r="H171" t="inlineStr">
        <is>
          <t>No</t>
        </is>
      </c>
      <c r="I171" t="inlineStr">
        <is>
          <t>No</t>
        </is>
      </c>
      <c r="J171" t="inlineStr">
        <is>
          <t>0</t>
        </is>
      </c>
      <c r="K171" t="inlineStr">
        <is>
          <t>Berenson, F. M.</t>
        </is>
      </c>
      <c r="L171" t="inlineStr">
        <is>
          <t>New York : St. Martin's Press, c1981.</t>
        </is>
      </c>
      <c r="M171" t="inlineStr">
        <is>
          <t>1981</t>
        </is>
      </c>
      <c r="O171" t="inlineStr">
        <is>
          <t>eng</t>
        </is>
      </c>
      <c r="P171" t="inlineStr">
        <is>
          <t>nyu</t>
        </is>
      </c>
      <c r="R171" t="inlineStr">
        <is>
          <t xml:space="preserve">HM </t>
        </is>
      </c>
      <c r="S171" t="n">
        <v>8</v>
      </c>
      <c r="T171" t="n">
        <v>8</v>
      </c>
      <c r="U171" t="inlineStr">
        <is>
          <t>1997-02-18</t>
        </is>
      </c>
      <c r="V171" t="inlineStr">
        <is>
          <t>1997-02-18</t>
        </is>
      </c>
      <c r="W171" t="inlineStr">
        <is>
          <t>1992-08-25</t>
        </is>
      </c>
      <c r="X171" t="inlineStr">
        <is>
          <t>1992-08-25</t>
        </is>
      </c>
      <c r="Y171" t="n">
        <v>273</v>
      </c>
      <c r="Z171" t="n">
        <v>241</v>
      </c>
      <c r="AA171" t="n">
        <v>269</v>
      </c>
      <c r="AB171" t="n">
        <v>2</v>
      </c>
      <c r="AC171" t="n">
        <v>3</v>
      </c>
      <c r="AD171" t="n">
        <v>14</v>
      </c>
      <c r="AE171" t="n">
        <v>17</v>
      </c>
      <c r="AF171" t="n">
        <v>3</v>
      </c>
      <c r="AG171" t="n">
        <v>4</v>
      </c>
      <c r="AH171" t="n">
        <v>5</v>
      </c>
      <c r="AI171" t="n">
        <v>5</v>
      </c>
      <c r="AJ171" t="n">
        <v>10</v>
      </c>
      <c r="AK171" t="n">
        <v>11</v>
      </c>
      <c r="AL171" t="n">
        <v>1</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HYPERLINK("https://creighton-primo.hosted.exlibrisgroup.com/primo-explore/search?tab=default_tab&amp;search_scope=EVERYTHING&amp;vid=01CRU&amp;lang=en_US&amp;offset=0&amp;query=any,contains,991005002009702656","Catalog Record")</f>
        <v/>
      </c>
      <c r="AT171">
        <f>HYPERLINK("http://www.worldcat.org/oclc/6554254","WorldCat Record")</f>
        <v/>
      </c>
      <c r="AU171" t="inlineStr">
        <is>
          <t>444478:eng</t>
        </is>
      </c>
      <c r="AV171" t="inlineStr">
        <is>
          <t>6554254</t>
        </is>
      </c>
      <c r="AW171" t="inlineStr">
        <is>
          <t>991005002009702656</t>
        </is>
      </c>
      <c r="AX171" t="inlineStr">
        <is>
          <t>991005002009702656</t>
        </is>
      </c>
      <c r="AY171" t="inlineStr">
        <is>
          <t>2256491120002656</t>
        </is>
      </c>
      <c r="AZ171" t="inlineStr">
        <is>
          <t>BOOK</t>
        </is>
      </c>
      <c r="BB171" t="inlineStr">
        <is>
          <t>9780312831547</t>
        </is>
      </c>
      <c r="BC171" t="inlineStr">
        <is>
          <t>32285001266187</t>
        </is>
      </c>
      <c r="BD171" t="inlineStr">
        <is>
          <t>893236150</t>
        </is>
      </c>
    </row>
    <row r="172">
      <c r="A172" t="inlineStr">
        <is>
          <t>No</t>
        </is>
      </c>
      <c r="B172" t="inlineStr">
        <is>
          <t>HM132 .B47 1978</t>
        </is>
      </c>
      <c r="C172" t="inlineStr">
        <is>
          <t>0                      HM 0132000B  47          1978</t>
        </is>
      </c>
      <c r="D172" t="inlineStr">
        <is>
          <t>Interpersonal attraction / Ellen Berscheid, Elaine Hatfield Walster.</t>
        </is>
      </c>
      <c r="F172" t="inlineStr">
        <is>
          <t>No</t>
        </is>
      </c>
      <c r="G172" t="inlineStr">
        <is>
          <t>1</t>
        </is>
      </c>
      <c r="H172" t="inlineStr">
        <is>
          <t>No</t>
        </is>
      </c>
      <c r="I172" t="inlineStr">
        <is>
          <t>No</t>
        </is>
      </c>
      <c r="J172" t="inlineStr">
        <is>
          <t>0</t>
        </is>
      </c>
      <c r="K172" t="inlineStr">
        <is>
          <t>Berscheid, Ellen.</t>
        </is>
      </c>
      <c r="L172" t="inlineStr">
        <is>
          <t>Reading, Mass. : Addison-Wesley Pub. Co., c1978.</t>
        </is>
      </c>
      <c r="M172" t="inlineStr">
        <is>
          <t>1978</t>
        </is>
      </c>
      <c r="N172" t="inlineStr">
        <is>
          <t>2d ed.</t>
        </is>
      </c>
      <c r="O172" t="inlineStr">
        <is>
          <t>eng</t>
        </is>
      </c>
      <c r="P172" t="inlineStr">
        <is>
          <t>mau</t>
        </is>
      </c>
      <c r="Q172" t="inlineStr">
        <is>
          <t>Topics in social psychology</t>
        </is>
      </c>
      <c r="R172" t="inlineStr">
        <is>
          <t xml:space="preserve">HM </t>
        </is>
      </c>
      <c r="S172" t="n">
        <v>36</v>
      </c>
      <c r="T172" t="n">
        <v>36</v>
      </c>
      <c r="U172" t="inlineStr">
        <is>
          <t>2005-10-31</t>
        </is>
      </c>
      <c r="V172" t="inlineStr">
        <is>
          <t>2005-10-31</t>
        </is>
      </c>
      <c r="W172" t="inlineStr">
        <is>
          <t>1992-04-14</t>
        </is>
      </c>
      <c r="X172" t="inlineStr">
        <is>
          <t>1992-04-14</t>
        </is>
      </c>
      <c r="Y172" t="n">
        <v>371</v>
      </c>
      <c r="Z172" t="n">
        <v>260</v>
      </c>
      <c r="AA172" t="n">
        <v>687</v>
      </c>
      <c r="AB172" t="n">
        <v>4</v>
      </c>
      <c r="AC172" t="n">
        <v>10</v>
      </c>
      <c r="AD172" t="n">
        <v>15</v>
      </c>
      <c r="AE172" t="n">
        <v>34</v>
      </c>
      <c r="AF172" t="n">
        <v>3</v>
      </c>
      <c r="AG172" t="n">
        <v>10</v>
      </c>
      <c r="AH172" t="n">
        <v>2</v>
      </c>
      <c r="AI172" t="n">
        <v>5</v>
      </c>
      <c r="AJ172" t="n">
        <v>7</v>
      </c>
      <c r="AK172" t="n">
        <v>13</v>
      </c>
      <c r="AL172" t="n">
        <v>3</v>
      </c>
      <c r="AM172" t="n">
        <v>8</v>
      </c>
      <c r="AN172" t="n">
        <v>0</v>
      </c>
      <c r="AO172" t="n">
        <v>0</v>
      </c>
      <c r="AP172" t="inlineStr">
        <is>
          <t>No</t>
        </is>
      </c>
      <c r="AQ172" t="inlineStr">
        <is>
          <t>Yes</t>
        </is>
      </c>
      <c r="AR172">
        <f>HYPERLINK("http://catalog.hathitrust.org/Record/007116507","HathiTrust Record")</f>
        <v/>
      </c>
      <c r="AS172">
        <f>HYPERLINK("https://creighton-primo.hosted.exlibrisgroup.com/primo-explore/search?tab=default_tab&amp;search_scope=EVERYTHING&amp;vid=01CRU&amp;lang=en_US&amp;offset=0&amp;query=any,contains,991004509549702656","Catalog Record")</f>
        <v/>
      </c>
      <c r="AT172">
        <f>HYPERLINK("http://www.worldcat.org/oclc/3755327","WorldCat Record")</f>
        <v/>
      </c>
      <c r="AU172" t="inlineStr">
        <is>
          <t>155178121:eng</t>
        </is>
      </c>
      <c r="AV172" t="inlineStr">
        <is>
          <t>3755327</t>
        </is>
      </c>
      <c r="AW172" t="inlineStr">
        <is>
          <t>991004509549702656</t>
        </is>
      </c>
      <c r="AX172" t="inlineStr">
        <is>
          <t>991004509549702656</t>
        </is>
      </c>
      <c r="AY172" t="inlineStr">
        <is>
          <t>2269141780002656</t>
        </is>
      </c>
      <c r="AZ172" t="inlineStr">
        <is>
          <t>BOOK</t>
        </is>
      </c>
      <c r="BB172" t="inlineStr">
        <is>
          <t>9780201005691</t>
        </is>
      </c>
      <c r="BC172" t="inlineStr">
        <is>
          <t>32285001068088</t>
        </is>
      </c>
      <c r="BD172" t="inlineStr">
        <is>
          <t>893694018</t>
        </is>
      </c>
    </row>
    <row r="173">
      <c r="A173" t="inlineStr">
        <is>
          <t>No</t>
        </is>
      </c>
      <c r="B173" t="inlineStr">
        <is>
          <t>HM132 .C38 1977</t>
        </is>
      </c>
      <c r="C173" t="inlineStr">
        <is>
          <t>0                      HM 0132000C  38          1977</t>
        </is>
      </c>
      <c r="D173" t="inlineStr">
        <is>
          <t>Training exercises to improve interpersonal relations in health care organizations / by Cono Casella.</t>
        </is>
      </c>
      <c r="F173" t="inlineStr">
        <is>
          <t>No</t>
        </is>
      </c>
      <c r="G173" t="inlineStr">
        <is>
          <t>1</t>
        </is>
      </c>
      <c r="H173" t="inlineStr">
        <is>
          <t>No</t>
        </is>
      </c>
      <c r="I173" t="inlineStr">
        <is>
          <t>No</t>
        </is>
      </c>
      <c r="J173" t="inlineStr">
        <is>
          <t>0</t>
        </is>
      </c>
      <c r="K173" t="inlineStr">
        <is>
          <t>Casella, Cono, 1921-</t>
        </is>
      </c>
      <c r="L173" t="inlineStr">
        <is>
          <t>Greenvale, N.Y. : Panel, c1977.</t>
        </is>
      </c>
      <c r="M173" t="inlineStr">
        <is>
          <t>1977</t>
        </is>
      </c>
      <c r="O173" t="inlineStr">
        <is>
          <t>eng</t>
        </is>
      </c>
      <c r="P173" t="inlineStr">
        <is>
          <t>nyu</t>
        </is>
      </c>
      <c r="R173" t="inlineStr">
        <is>
          <t xml:space="preserve">HM </t>
        </is>
      </c>
      <c r="S173" t="n">
        <v>7</v>
      </c>
      <c r="T173" t="n">
        <v>7</v>
      </c>
      <c r="U173" t="inlineStr">
        <is>
          <t>1999-08-06</t>
        </is>
      </c>
      <c r="V173" t="inlineStr">
        <is>
          <t>1999-08-06</t>
        </is>
      </c>
      <c r="W173" t="inlineStr">
        <is>
          <t>1992-08-25</t>
        </is>
      </c>
      <c r="X173" t="inlineStr">
        <is>
          <t>1992-08-25</t>
        </is>
      </c>
      <c r="Y173" t="n">
        <v>46</v>
      </c>
      <c r="Z173" t="n">
        <v>42</v>
      </c>
      <c r="AA173" t="n">
        <v>55</v>
      </c>
      <c r="AB173" t="n">
        <v>2</v>
      </c>
      <c r="AC173" t="n">
        <v>2</v>
      </c>
      <c r="AD173" t="n">
        <v>2</v>
      </c>
      <c r="AE173" t="n">
        <v>2</v>
      </c>
      <c r="AF173" t="n">
        <v>0</v>
      </c>
      <c r="AG173" t="n">
        <v>0</v>
      </c>
      <c r="AH173" t="n">
        <v>0</v>
      </c>
      <c r="AI173" t="n">
        <v>0</v>
      </c>
      <c r="AJ173" t="n">
        <v>1</v>
      </c>
      <c r="AK173" t="n">
        <v>1</v>
      </c>
      <c r="AL173" t="n">
        <v>1</v>
      </c>
      <c r="AM173" t="n">
        <v>1</v>
      </c>
      <c r="AN173" t="n">
        <v>0</v>
      </c>
      <c r="AO173" t="n">
        <v>0</v>
      </c>
      <c r="AP173" t="inlineStr">
        <is>
          <t>No</t>
        </is>
      </c>
      <c r="AQ173" t="inlineStr">
        <is>
          <t>Yes</t>
        </is>
      </c>
      <c r="AR173">
        <f>HYPERLINK("http://catalog.hathitrust.org/Record/000143387","HathiTrust Record")</f>
        <v/>
      </c>
      <c r="AS173">
        <f>HYPERLINK("https://creighton-primo.hosted.exlibrisgroup.com/primo-explore/search?tab=default_tab&amp;search_scope=EVERYTHING&amp;vid=01CRU&amp;lang=en_US&amp;offset=0&amp;query=any,contains,991004467229702656","Catalog Record")</f>
        <v/>
      </c>
      <c r="AT173">
        <f>HYPERLINK("http://www.worldcat.org/oclc/3578895","WorldCat Record")</f>
        <v/>
      </c>
      <c r="AU173" t="inlineStr">
        <is>
          <t>11086192:eng</t>
        </is>
      </c>
      <c r="AV173" t="inlineStr">
        <is>
          <t>3578895</t>
        </is>
      </c>
      <c r="AW173" t="inlineStr">
        <is>
          <t>991004467229702656</t>
        </is>
      </c>
      <c r="AX173" t="inlineStr">
        <is>
          <t>991004467229702656</t>
        </is>
      </c>
      <c r="AY173" t="inlineStr">
        <is>
          <t>2268997550002656</t>
        </is>
      </c>
      <c r="AZ173" t="inlineStr">
        <is>
          <t>BOOK</t>
        </is>
      </c>
      <c r="BB173" t="inlineStr">
        <is>
          <t>9780916592172</t>
        </is>
      </c>
      <c r="BC173" t="inlineStr">
        <is>
          <t>32285001266229</t>
        </is>
      </c>
      <c r="BD173" t="inlineStr">
        <is>
          <t>893807103</t>
        </is>
      </c>
    </row>
    <row r="174">
      <c r="A174" t="inlineStr">
        <is>
          <t>No</t>
        </is>
      </c>
      <c r="B174" t="inlineStr">
        <is>
          <t>HM132 .C45</t>
        </is>
      </c>
      <c r="C174" t="inlineStr">
        <is>
          <t>0                      HM 0132000C  45</t>
        </is>
      </c>
      <c r="D174" t="inlineStr">
        <is>
          <t>Studies in Machiavellianism / [by] Richard Christie [and] Florence L. Geis ; in collaboration with David Berger [and others]</t>
        </is>
      </c>
      <c r="F174" t="inlineStr">
        <is>
          <t>No</t>
        </is>
      </c>
      <c r="G174" t="inlineStr">
        <is>
          <t>1</t>
        </is>
      </c>
      <c r="H174" t="inlineStr">
        <is>
          <t>No</t>
        </is>
      </c>
      <c r="I174" t="inlineStr">
        <is>
          <t>No</t>
        </is>
      </c>
      <c r="J174" t="inlineStr">
        <is>
          <t>0</t>
        </is>
      </c>
      <c r="K174" t="inlineStr">
        <is>
          <t>Christie, Richard.</t>
        </is>
      </c>
      <c r="L174" t="inlineStr">
        <is>
          <t>New York : Academic Press, 1970.</t>
        </is>
      </c>
      <c r="M174" t="inlineStr">
        <is>
          <t>1970</t>
        </is>
      </c>
      <c r="O174" t="inlineStr">
        <is>
          <t>eng</t>
        </is>
      </c>
      <c r="P174" t="inlineStr">
        <is>
          <t>nyu</t>
        </is>
      </c>
      <c r="Q174" t="inlineStr">
        <is>
          <t>Social psychology</t>
        </is>
      </c>
      <c r="R174" t="inlineStr">
        <is>
          <t xml:space="preserve">HM </t>
        </is>
      </c>
      <c r="S174" t="n">
        <v>7</v>
      </c>
      <c r="T174" t="n">
        <v>7</v>
      </c>
      <c r="U174" t="inlineStr">
        <is>
          <t>2009-11-12</t>
        </is>
      </c>
      <c r="V174" t="inlineStr">
        <is>
          <t>2009-11-12</t>
        </is>
      </c>
      <c r="W174" t="inlineStr">
        <is>
          <t>1992-02-17</t>
        </is>
      </c>
      <c r="X174" t="inlineStr">
        <is>
          <t>1992-02-17</t>
        </is>
      </c>
      <c r="Y174" t="n">
        <v>767</v>
      </c>
      <c r="Z174" t="n">
        <v>591</v>
      </c>
      <c r="AA174" t="n">
        <v>628</v>
      </c>
      <c r="AB174" t="n">
        <v>7</v>
      </c>
      <c r="AC174" t="n">
        <v>7</v>
      </c>
      <c r="AD174" t="n">
        <v>33</v>
      </c>
      <c r="AE174" t="n">
        <v>36</v>
      </c>
      <c r="AF174" t="n">
        <v>11</v>
      </c>
      <c r="AG174" t="n">
        <v>13</v>
      </c>
      <c r="AH174" t="n">
        <v>7</v>
      </c>
      <c r="AI174" t="n">
        <v>9</v>
      </c>
      <c r="AJ174" t="n">
        <v>18</v>
      </c>
      <c r="AK174" t="n">
        <v>18</v>
      </c>
      <c r="AL174" t="n">
        <v>5</v>
      </c>
      <c r="AM174" t="n">
        <v>5</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HYPERLINK("https://creighton-primo.hosted.exlibrisgroup.com/primo-explore/search?tab=default_tab&amp;search_scope=EVERYTHING&amp;vid=01CRU&amp;lang=en_US&amp;offset=0&amp;query=any,contains,991000569339702656","Catalog Record")</f>
        <v/>
      </c>
      <c r="AT174">
        <f>HYPERLINK("http://www.worldcat.org/oclc/94697","WorldCat Record")</f>
        <v/>
      </c>
      <c r="AU174" t="inlineStr">
        <is>
          <t>408706:eng</t>
        </is>
      </c>
      <c r="AV174" t="inlineStr">
        <is>
          <t>94697</t>
        </is>
      </c>
      <c r="AW174" t="inlineStr">
        <is>
          <t>991000569339702656</t>
        </is>
      </c>
      <c r="AX174" t="inlineStr">
        <is>
          <t>991000569339702656</t>
        </is>
      </c>
      <c r="AY174" t="inlineStr">
        <is>
          <t>2266053310002656</t>
        </is>
      </c>
      <c r="AZ174" t="inlineStr">
        <is>
          <t>BOOK</t>
        </is>
      </c>
      <c r="BC174" t="inlineStr">
        <is>
          <t>32285000959865</t>
        </is>
      </c>
      <c r="BD174" t="inlineStr">
        <is>
          <t>893225120</t>
        </is>
      </c>
    </row>
    <row r="175">
      <c r="A175" t="inlineStr">
        <is>
          <t>No</t>
        </is>
      </c>
      <c r="B175" t="inlineStr">
        <is>
          <t>HM132 .C535 1983</t>
        </is>
      </c>
      <c r="C175" t="inlineStr">
        <is>
          <t>0                      HM 0132000C  535         1983</t>
        </is>
      </c>
      <c r="D175" t="inlineStr">
        <is>
          <t>Close relationships / Harold H. Kelley ... [et al.].</t>
        </is>
      </c>
      <c r="F175" t="inlineStr">
        <is>
          <t>No</t>
        </is>
      </c>
      <c r="G175" t="inlineStr">
        <is>
          <t>1</t>
        </is>
      </c>
      <c r="H175" t="inlineStr">
        <is>
          <t>No</t>
        </is>
      </c>
      <c r="I175" t="inlineStr">
        <is>
          <t>No</t>
        </is>
      </c>
      <c r="J175" t="inlineStr">
        <is>
          <t>0</t>
        </is>
      </c>
      <c r="L175" t="inlineStr">
        <is>
          <t>New York : W.H. Freeman, c1983.</t>
        </is>
      </c>
      <c r="M175" t="inlineStr">
        <is>
          <t>1983</t>
        </is>
      </c>
      <c r="O175" t="inlineStr">
        <is>
          <t>eng</t>
        </is>
      </c>
      <c r="P175" t="inlineStr">
        <is>
          <t>nyu</t>
        </is>
      </c>
      <c r="R175" t="inlineStr">
        <is>
          <t xml:space="preserve">HM </t>
        </is>
      </c>
      <c r="S175" t="n">
        <v>25</v>
      </c>
      <c r="T175" t="n">
        <v>25</v>
      </c>
      <c r="U175" t="inlineStr">
        <is>
          <t>2002-12-02</t>
        </is>
      </c>
      <c r="V175" t="inlineStr">
        <is>
          <t>2002-12-02</t>
        </is>
      </c>
      <c r="W175" t="inlineStr">
        <is>
          <t>1990-02-02</t>
        </is>
      </c>
      <c r="X175" t="inlineStr">
        <is>
          <t>1990-02-02</t>
        </is>
      </c>
      <c r="Y175" t="n">
        <v>588</v>
      </c>
      <c r="Z175" t="n">
        <v>457</v>
      </c>
      <c r="AA175" t="n">
        <v>459</v>
      </c>
      <c r="AB175" t="n">
        <v>2</v>
      </c>
      <c r="AC175" t="n">
        <v>2</v>
      </c>
      <c r="AD175" t="n">
        <v>20</v>
      </c>
      <c r="AE175" t="n">
        <v>20</v>
      </c>
      <c r="AF175" t="n">
        <v>8</v>
      </c>
      <c r="AG175" t="n">
        <v>8</v>
      </c>
      <c r="AH175" t="n">
        <v>4</v>
      </c>
      <c r="AI175" t="n">
        <v>4</v>
      </c>
      <c r="AJ175" t="n">
        <v>10</v>
      </c>
      <c r="AK175" t="n">
        <v>10</v>
      </c>
      <c r="AL175" t="n">
        <v>1</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HYPERLINK("https://creighton-primo.hosted.exlibrisgroup.com/primo-explore/search?tab=default_tab&amp;search_scope=EVERYTHING&amp;vid=01CRU&amp;lang=en_US&amp;offset=0&amp;query=any,contains,991000134539702656","Catalog Record")</f>
        <v/>
      </c>
      <c r="AT175">
        <f>HYPERLINK("http://www.worldcat.org/oclc/9131639","WorldCat Record")</f>
        <v/>
      </c>
      <c r="AU175" t="inlineStr">
        <is>
          <t>54548400:eng</t>
        </is>
      </c>
      <c r="AV175" t="inlineStr">
        <is>
          <t>9131639</t>
        </is>
      </c>
      <c r="AW175" t="inlineStr">
        <is>
          <t>991000134539702656</t>
        </is>
      </c>
      <c r="AX175" t="inlineStr">
        <is>
          <t>991000134539702656</t>
        </is>
      </c>
      <c r="AY175" t="inlineStr">
        <is>
          <t>2269483030002656</t>
        </is>
      </c>
      <c r="AZ175" t="inlineStr">
        <is>
          <t>BOOK</t>
        </is>
      </c>
      <c r="BB175" t="inlineStr">
        <is>
          <t>9780716714439</t>
        </is>
      </c>
      <c r="BC175" t="inlineStr">
        <is>
          <t>32285000038397</t>
        </is>
      </c>
      <c r="BD175" t="inlineStr">
        <is>
          <t>893413109</t>
        </is>
      </c>
    </row>
    <row r="176">
      <c r="A176" t="inlineStr">
        <is>
          <t>No</t>
        </is>
      </c>
      <c r="B176" t="inlineStr">
        <is>
          <t>HM132 .C6249 1996</t>
        </is>
      </c>
      <c r="C176" t="inlineStr">
        <is>
          <t>0                      HM 0132000C  6249        1996</t>
        </is>
      </c>
      <c r="D176" t="inlineStr">
        <is>
          <t>Communication in personal relationships across cultures / edited by William B. Gudykunst, Stella Ting-Toomey, Tsukasa Nishida.</t>
        </is>
      </c>
      <c r="F176" t="inlineStr">
        <is>
          <t>No</t>
        </is>
      </c>
      <c r="G176" t="inlineStr">
        <is>
          <t>1</t>
        </is>
      </c>
      <c r="H176" t="inlineStr">
        <is>
          <t>No</t>
        </is>
      </c>
      <c r="I176" t="inlineStr">
        <is>
          <t>No</t>
        </is>
      </c>
      <c r="J176" t="inlineStr">
        <is>
          <t>0</t>
        </is>
      </c>
      <c r="L176" t="inlineStr">
        <is>
          <t>Thousand Oaks, Calif. : Sage Publications, c1996.</t>
        </is>
      </c>
      <c r="M176" t="inlineStr">
        <is>
          <t>1996</t>
        </is>
      </c>
      <c r="O176" t="inlineStr">
        <is>
          <t>eng</t>
        </is>
      </c>
      <c r="P176" t="inlineStr">
        <is>
          <t>cau</t>
        </is>
      </c>
      <c r="R176" t="inlineStr">
        <is>
          <t xml:space="preserve">HM </t>
        </is>
      </c>
      <c r="S176" t="n">
        <v>11</v>
      </c>
      <c r="T176" t="n">
        <v>11</v>
      </c>
      <c r="U176" t="inlineStr">
        <is>
          <t>2003-03-24</t>
        </is>
      </c>
      <c r="V176" t="inlineStr">
        <is>
          <t>2003-03-24</t>
        </is>
      </c>
      <c r="W176" t="inlineStr">
        <is>
          <t>1996-10-11</t>
        </is>
      </c>
      <c r="X176" t="inlineStr">
        <is>
          <t>1996-10-11</t>
        </is>
      </c>
      <c r="Y176" t="n">
        <v>514</v>
      </c>
      <c r="Z176" t="n">
        <v>371</v>
      </c>
      <c r="AA176" t="n">
        <v>373</v>
      </c>
      <c r="AB176" t="n">
        <v>4</v>
      </c>
      <c r="AC176" t="n">
        <v>4</v>
      </c>
      <c r="AD176" t="n">
        <v>23</v>
      </c>
      <c r="AE176" t="n">
        <v>23</v>
      </c>
      <c r="AF176" t="n">
        <v>7</v>
      </c>
      <c r="AG176" t="n">
        <v>7</v>
      </c>
      <c r="AH176" t="n">
        <v>7</v>
      </c>
      <c r="AI176" t="n">
        <v>7</v>
      </c>
      <c r="AJ176" t="n">
        <v>12</v>
      </c>
      <c r="AK176" t="n">
        <v>12</v>
      </c>
      <c r="AL176" t="n">
        <v>3</v>
      </c>
      <c r="AM176" t="n">
        <v>3</v>
      </c>
      <c r="AN176" t="n">
        <v>0</v>
      </c>
      <c r="AO176" t="n">
        <v>0</v>
      </c>
      <c r="AP176" t="inlineStr">
        <is>
          <t>No</t>
        </is>
      </c>
      <c r="AQ176" t="inlineStr">
        <is>
          <t>Yes</t>
        </is>
      </c>
      <c r="AR176">
        <f>HYPERLINK("http://catalog.hathitrust.org/Record/003093007","HathiTrust Record")</f>
        <v/>
      </c>
      <c r="AS176">
        <f>HYPERLINK("https://creighton-primo.hosted.exlibrisgroup.com/primo-explore/search?tab=default_tab&amp;search_scope=EVERYTHING&amp;vid=01CRU&amp;lang=en_US&amp;offset=0&amp;query=any,contains,991002626599702656","Catalog Record")</f>
        <v/>
      </c>
      <c r="AT176">
        <f>HYPERLINK("http://www.worldcat.org/oclc/34413500","WorldCat Record")</f>
        <v/>
      </c>
      <c r="AU176" t="inlineStr">
        <is>
          <t>3819544550:eng</t>
        </is>
      </c>
      <c r="AV176" t="inlineStr">
        <is>
          <t>34413500</t>
        </is>
      </c>
      <c r="AW176" t="inlineStr">
        <is>
          <t>991002626599702656</t>
        </is>
      </c>
      <c r="AX176" t="inlineStr">
        <is>
          <t>991002626599702656</t>
        </is>
      </c>
      <c r="AY176" t="inlineStr">
        <is>
          <t>2260118100002656</t>
        </is>
      </c>
      <c r="AZ176" t="inlineStr">
        <is>
          <t>BOOK</t>
        </is>
      </c>
      <c r="BB176" t="inlineStr">
        <is>
          <t>9780803946712</t>
        </is>
      </c>
      <c r="BC176" t="inlineStr">
        <is>
          <t>32285002365566</t>
        </is>
      </c>
      <c r="BD176" t="inlineStr">
        <is>
          <t>893341643</t>
        </is>
      </c>
    </row>
    <row r="177">
      <c r="A177" t="inlineStr">
        <is>
          <t>No</t>
        </is>
      </c>
      <c r="B177" t="inlineStr">
        <is>
          <t>HM132 .C626 1979</t>
        </is>
      </c>
      <c r="C177" t="inlineStr">
        <is>
          <t>0                      HM 0132000C  626         1979</t>
        </is>
      </c>
      <c r="D177" t="inlineStr">
        <is>
          <t>How to get people to do things / Robert Conklin.</t>
        </is>
      </c>
      <c r="F177" t="inlineStr">
        <is>
          <t>No</t>
        </is>
      </c>
      <c r="G177" t="inlineStr">
        <is>
          <t>1</t>
        </is>
      </c>
      <c r="H177" t="inlineStr">
        <is>
          <t>No</t>
        </is>
      </c>
      <c r="I177" t="inlineStr">
        <is>
          <t>No</t>
        </is>
      </c>
      <c r="J177" t="inlineStr">
        <is>
          <t>0</t>
        </is>
      </c>
      <c r="K177" t="inlineStr">
        <is>
          <t>Conklin, Robert.</t>
        </is>
      </c>
      <c r="L177" t="inlineStr">
        <is>
          <t>Chicago : Contemporary Books, c1979.</t>
        </is>
      </c>
      <c r="M177" t="inlineStr">
        <is>
          <t>1979</t>
        </is>
      </c>
      <c r="O177" t="inlineStr">
        <is>
          <t>eng</t>
        </is>
      </c>
      <c r="P177" t="inlineStr">
        <is>
          <t>ilu</t>
        </is>
      </c>
      <c r="R177" t="inlineStr">
        <is>
          <t xml:space="preserve">HM </t>
        </is>
      </c>
      <c r="S177" t="n">
        <v>16</v>
      </c>
      <c r="T177" t="n">
        <v>16</v>
      </c>
      <c r="U177" t="inlineStr">
        <is>
          <t>1996-11-03</t>
        </is>
      </c>
      <c r="V177" t="inlineStr">
        <is>
          <t>1996-11-03</t>
        </is>
      </c>
      <c r="W177" t="inlineStr">
        <is>
          <t>1990-02-13</t>
        </is>
      </c>
      <c r="X177" t="inlineStr">
        <is>
          <t>1990-02-13</t>
        </is>
      </c>
      <c r="Y177" t="n">
        <v>297</v>
      </c>
      <c r="Z177" t="n">
        <v>285</v>
      </c>
      <c r="AA177" t="n">
        <v>329</v>
      </c>
      <c r="AB177" t="n">
        <v>5</v>
      </c>
      <c r="AC177" t="n">
        <v>5</v>
      </c>
      <c r="AD177" t="n">
        <v>6</v>
      </c>
      <c r="AE177" t="n">
        <v>6</v>
      </c>
      <c r="AF177" t="n">
        <v>1</v>
      </c>
      <c r="AG177" t="n">
        <v>1</v>
      </c>
      <c r="AH177" t="n">
        <v>2</v>
      </c>
      <c r="AI177" t="n">
        <v>2</v>
      </c>
      <c r="AJ177" t="n">
        <v>3</v>
      </c>
      <c r="AK177" t="n">
        <v>3</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HYPERLINK("https://creighton-primo.hosted.exlibrisgroup.com/primo-explore/search?tab=default_tab&amp;search_scope=EVERYTHING&amp;vid=01CRU&amp;lang=en_US&amp;offset=0&amp;query=any,contains,991004645779702656","Catalog Record")</f>
        <v/>
      </c>
      <c r="AT177">
        <f>HYPERLINK("http://www.worldcat.org/oclc/4491763","WorldCat Record")</f>
        <v/>
      </c>
      <c r="AU177" t="inlineStr">
        <is>
          <t>8912502942:eng</t>
        </is>
      </c>
      <c r="AV177" t="inlineStr">
        <is>
          <t>4491763</t>
        </is>
      </c>
      <c r="AW177" t="inlineStr">
        <is>
          <t>991004645779702656</t>
        </is>
      </c>
      <c r="AX177" t="inlineStr">
        <is>
          <t>991004645779702656</t>
        </is>
      </c>
      <c r="AY177" t="inlineStr">
        <is>
          <t>2264057680002656</t>
        </is>
      </c>
      <c r="AZ177" t="inlineStr">
        <is>
          <t>BOOK</t>
        </is>
      </c>
      <c r="BB177" t="inlineStr">
        <is>
          <t>9780809273584</t>
        </is>
      </c>
      <c r="BC177" t="inlineStr">
        <is>
          <t>32285000050863</t>
        </is>
      </c>
      <c r="BD177" t="inlineStr">
        <is>
          <t>893344080</t>
        </is>
      </c>
    </row>
    <row r="178">
      <c r="A178" t="inlineStr">
        <is>
          <t>No</t>
        </is>
      </c>
      <c r="B178" t="inlineStr">
        <is>
          <t>HM132 .C63</t>
        </is>
      </c>
      <c r="C178" t="inlineStr">
        <is>
          <t>0                      HM 0132000C  63</t>
        </is>
      </c>
      <c r="D178" t="inlineStr">
        <is>
          <t>Perceiving others : the psychology of interpersonal perception / Mark Cook.</t>
        </is>
      </c>
      <c r="F178" t="inlineStr">
        <is>
          <t>No</t>
        </is>
      </c>
      <c r="G178" t="inlineStr">
        <is>
          <t>1</t>
        </is>
      </c>
      <c r="H178" t="inlineStr">
        <is>
          <t>No</t>
        </is>
      </c>
      <c r="I178" t="inlineStr">
        <is>
          <t>No</t>
        </is>
      </c>
      <c r="J178" t="inlineStr">
        <is>
          <t>0</t>
        </is>
      </c>
      <c r="K178" t="inlineStr">
        <is>
          <t>Cook, Mark.</t>
        </is>
      </c>
      <c r="L178" t="inlineStr">
        <is>
          <t>London ; New York : Methuen, 1979.</t>
        </is>
      </c>
      <c r="M178" t="inlineStr">
        <is>
          <t>1979</t>
        </is>
      </c>
      <c r="O178" t="inlineStr">
        <is>
          <t>eng</t>
        </is>
      </c>
      <c r="P178" t="inlineStr">
        <is>
          <t>enk</t>
        </is>
      </c>
      <c r="R178" t="inlineStr">
        <is>
          <t xml:space="preserve">HM </t>
        </is>
      </c>
      <c r="S178" t="n">
        <v>13</v>
      </c>
      <c r="T178" t="n">
        <v>13</v>
      </c>
      <c r="U178" t="inlineStr">
        <is>
          <t>2005-03-09</t>
        </is>
      </c>
      <c r="V178" t="inlineStr">
        <is>
          <t>2005-03-09</t>
        </is>
      </c>
      <c r="W178" t="inlineStr">
        <is>
          <t>1991-11-21</t>
        </is>
      </c>
      <c r="X178" t="inlineStr">
        <is>
          <t>1991-11-21</t>
        </is>
      </c>
      <c r="Y178" t="n">
        <v>407</v>
      </c>
      <c r="Z178" t="n">
        <v>208</v>
      </c>
      <c r="AA178" t="n">
        <v>209</v>
      </c>
      <c r="AB178" t="n">
        <v>4</v>
      </c>
      <c r="AC178" t="n">
        <v>4</v>
      </c>
      <c r="AD178" t="n">
        <v>12</v>
      </c>
      <c r="AE178" t="n">
        <v>12</v>
      </c>
      <c r="AF178" t="n">
        <v>4</v>
      </c>
      <c r="AG178" t="n">
        <v>4</v>
      </c>
      <c r="AH178" t="n">
        <v>2</v>
      </c>
      <c r="AI178" t="n">
        <v>2</v>
      </c>
      <c r="AJ178" t="n">
        <v>7</v>
      </c>
      <c r="AK178" t="n">
        <v>7</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HYPERLINK("https://creighton-primo.hosted.exlibrisgroup.com/primo-explore/search?tab=default_tab&amp;search_scope=EVERYTHING&amp;vid=01CRU&amp;lang=en_US&amp;offset=0&amp;query=any,contains,991004923549702656","Catalog Record")</f>
        <v/>
      </c>
      <c r="AT178">
        <f>HYPERLINK("http://www.worldcat.org/oclc/6065438","WorldCat Record")</f>
        <v/>
      </c>
      <c r="AU178" t="inlineStr">
        <is>
          <t>889880138:eng</t>
        </is>
      </c>
      <c r="AV178" t="inlineStr">
        <is>
          <t>6065438</t>
        </is>
      </c>
      <c r="AW178" t="inlineStr">
        <is>
          <t>991004923549702656</t>
        </is>
      </c>
      <c r="AX178" t="inlineStr">
        <is>
          <t>991004923549702656</t>
        </is>
      </c>
      <c r="AY178" t="inlineStr">
        <is>
          <t>2272505280002656</t>
        </is>
      </c>
      <c r="AZ178" t="inlineStr">
        <is>
          <t>BOOK</t>
        </is>
      </c>
      <c r="BB178" t="inlineStr">
        <is>
          <t>9780416715507</t>
        </is>
      </c>
      <c r="BC178" t="inlineStr">
        <is>
          <t>32285000843754</t>
        </is>
      </c>
      <c r="BD178" t="inlineStr">
        <is>
          <t>893719560</t>
        </is>
      </c>
    </row>
    <row r="179">
      <c r="A179" t="inlineStr">
        <is>
          <t>No</t>
        </is>
      </c>
      <c r="B179" t="inlineStr">
        <is>
          <t>HM132 .D38 1973</t>
        </is>
      </c>
      <c r="C179" t="inlineStr">
        <is>
          <t>0                      HM 0132000D  38          1973</t>
        </is>
      </c>
      <c r="D179" t="inlineStr">
        <is>
          <t>Intimate relations / [by] Murray S. Davis.</t>
        </is>
      </c>
      <c r="F179" t="inlineStr">
        <is>
          <t>No</t>
        </is>
      </c>
      <c r="G179" t="inlineStr">
        <is>
          <t>1</t>
        </is>
      </c>
      <c r="H179" t="inlineStr">
        <is>
          <t>No</t>
        </is>
      </c>
      <c r="I179" t="inlineStr">
        <is>
          <t>No</t>
        </is>
      </c>
      <c r="J179" t="inlineStr">
        <is>
          <t>0</t>
        </is>
      </c>
      <c r="K179" t="inlineStr">
        <is>
          <t>Davis, Murray S., 1940-</t>
        </is>
      </c>
      <c r="L179" t="inlineStr">
        <is>
          <t>New York : Free Press, [1973]</t>
        </is>
      </c>
      <c r="M179" t="inlineStr">
        <is>
          <t>1973</t>
        </is>
      </c>
      <c r="O179" t="inlineStr">
        <is>
          <t>eng</t>
        </is>
      </c>
      <c r="P179" t="inlineStr">
        <is>
          <t>nyu</t>
        </is>
      </c>
      <c r="R179" t="inlineStr">
        <is>
          <t xml:space="preserve">HM </t>
        </is>
      </c>
      <c r="S179" t="n">
        <v>6</v>
      </c>
      <c r="T179" t="n">
        <v>6</v>
      </c>
      <c r="U179" t="inlineStr">
        <is>
          <t>1996-10-20</t>
        </is>
      </c>
      <c r="V179" t="inlineStr">
        <is>
          <t>1996-10-20</t>
        </is>
      </c>
      <c r="W179" t="inlineStr">
        <is>
          <t>1992-11-25</t>
        </is>
      </c>
      <c r="X179" t="inlineStr">
        <is>
          <t>1992-11-25</t>
        </is>
      </c>
      <c r="Y179" t="n">
        <v>572</v>
      </c>
      <c r="Z179" t="n">
        <v>480</v>
      </c>
      <c r="AA179" t="n">
        <v>495</v>
      </c>
      <c r="AB179" t="n">
        <v>4</v>
      </c>
      <c r="AC179" t="n">
        <v>4</v>
      </c>
      <c r="AD179" t="n">
        <v>22</v>
      </c>
      <c r="AE179" t="n">
        <v>22</v>
      </c>
      <c r="AF179" t="n">
        <v>8</v>
      </c>
      <c r="AG179" t="n">
        <v>8</v>
      </c>
      <c r="AH179" t="n">
        <v>5</v>
      </c>
      <c r="AI179" t="n">
        <v>5</v>
      </c>
      <c r="AJ179" t="n">
        <v>12</v>
      </c>
      <c r="AK179" t="n">
        <v>12</v>
      </c>
      <c r="AL179" t="n">
        <v>3</v>
      </c>
      <c r="AM179" t="n">
        <v>3</v>
      </c>
      <c r="AN179" t="n">
        <v>0</v>
      </c>
      <c r="AO179" t="n">
        <v>0</v>
      </c>
      <c r="AP179" t="inlineStr">
        <is>
          <t>No</t>
        </is>
      </c>
      <c r="AQ179" t="inlineStr">
        <is>
          <t>Yes</t>
        </is>
      </c>
      <c r="AR179">
        <f>HYPERLINK("http://catalog.hathitrust.org/Record/000009202","HathiTrust Record")</f>
        <v/>
      </c>
      <c r="AS179">
        <f>HYPERLINK("https://creighton-primo.hosted.exlibrisgroup.com/primo-explore/search?tab=default_tab&amp;search_scope=EVERYTHING&amp;vid=01CRU&amp;lang=en_US&amp;offset=0&amp;query=any,contains,991003113629702656","Catalog Record")</f>
        <v/>
      </c>
      <c r="AT179">
        <f>HYPERLINK("http://www.worldcat.org/oclc/658904","WorldCat Record")</f>
        <v/>
      </c>
      <c r="AU179" t="inlineStr">
        <is>
          <t>1633696:eng</t>
        </is>
      </c>
      <c r="AV179" t="inlineStr">
        <is>
          <t>658904</t>
        </is>
      </c>
      <c r="AW179" t="inlineStr">
        <is>
          <t>991003113629702656</t>
        </is>
      </c>
      <c r="AX179" t="inlineStr">
        <is>
          <t>991003113629702656</t>
        </is>
      </c>
      <c r="AY179" t="inlineStr">
        <is>
          <t>2260418440002656</t>
        </is>
      </c>
      <c r="AZ179" t="inlineStr">
        <is>
          <t>BOOK</t>
        </is>
      </c>
      <c r="BB179" t="inlineStr">
        <is>
          <t>9780029070208</t>
        </is>
      </c>
      <c r="BC179" t="inlineStr">
        <is>
          <t>32285001409753</t>
        </is>
      </c>
      <c r="BD179" t="inlineStr">
        <is>
          <t>893717336</t>
        </is>
      </c>
    </row>
    <row r="180">
      <c r="A180" t="inlineStr">
        <is>
          <t>No</t>
        </is>
      </c>
      <c r="B180" t="inlineStr">
        <is>
          <t>HM132 .D47</t>
        </is>
      </c>
      <c r="C180" t="inlineStr">
        <is>
          <t>0                      HM 0132000D  47</t>
        </is>
      </c>
      <c r="D180" t="inlineStr">
        <is>
          <t>Sharing intimacy : what we reveal to others and why / Valerian J. Derlega, Alan L. Chaikin.</t>
        </is>
      </c>
      <c r="F180" t="inlineStr">
        <is>
          <t>No</t>
        </is>
      </c>
      <c r="G180" t="inlineStr">
        <is>
          <t>1</t>
        </is>
      </c>
      <c r="H180" t="inlineStr">
        <is>
          <t>No</t>
        </is>
      </c>
      <c r="I180" t="inlineStr">
        <is>
          <t>No</t>
        </is>
      </c>
      <c r="J180" t="inlineStr">
        <is>
          <t>0</t>
        </is>
      </c>
      <c r="K180" t="inlineStr">
        <is>
          <t>Derlega, Valerian J.</t>
        </is>
      </c>
      <c r="L180" t="inlineStr">
        <is>
          <t>Englewood Cliffs, N.J. : Prentice-Hall, [1975]</t>
        </is>
      </c>
      <c r="M180" t="inlineStr">
        <is>
          <t>1975</t>
        </is>
      </c>
      <c r="O180" t="inlineStr">
        <is>
          <t>eng</t>
        </is>
      </c>
      <c r="P180" t="inlineStr">
        <is>
          <t>nju</t>
        </is>
      </c>
      <c r="Q180" t="inlineStr">
        <is>
          <t>A Spectrum book</t>
        </is>
      </c>
      <c r="R180" t="inlineStr">
        <is>
          <t xml:space="preserve">HM </t>
        </is>
      </c>
      <c r="S180" t="n">
        <v>10</v>
      </c>
      <c r="T180" t="n">
        <v>10</v>
      </c>
      <c r="U180" t="inlineStr">
        <is>
          <t>2002-11-19</t>
        </is>
      </c>
      <c r="V180" t="inlineStr">
        <is>
          <t>2002-11-19</t>
        </is>
      </c>
      <c r="W180" t="inlineStr">
        <is>
          <t>1993-04-22</t>
        </is>
      </c>
      <c r="X180" t="inlineStr">
        <is>
          <t>1993-04-22</t>
        </is>
      </c>
      <c r="Y180" t="n">
        <v>392</v>
      </c>
      <c r="Z180" t="n">
        <v>313</v>
      </c>
      <c r="AA180" t="n">
        <v>320</v>
      </c>
      <c r="AB180" t="n">
        <v>4</v>
      </c>
      <c r="AC180" t="n">
        <v>4</v>
      </c>
      <c r="AD180" t="n">
        <v>20</v>
      </c>
      <c r="AE180" t="n">
        <v>20</v>
      </c>
      <c r="AF180" t="n">
        <v>5</v>
      </c>
      <c r="AG180" t="n">
        <v>5</v>
      </c>
      <c r="AH180" t="n">
        <v>6</v>
      </c>
      <c r="AI180" t="n">
        <v>6</v>
      </c>
      <c r="AJ180" t="n">
        <v>11</v>
      </c>
      <c r="AK180" t="n">
        <v>11</v>
      </c>
      <c r="AL180" t="n">
        <v>3</v>
      </c>
      <c r="AM180" t="n">
        <v>3</v>
      </c>
      <c r="AN180" t="n">
        <v>0</v>
      </c>
      <c r="AO180" t="n">
        <v>0</v>
      </c>
      <c r="AP180" t="inlineStr">
        <is>
          <t>No</t>
        </is>
      </c>
      <c r="AQ180" t="inlineStr">
        <is>
          <t>Yes</t>
        </is>
      </c>
      <c r="AR180">
        <f>HYPERLINK("http://catalog.hathitrust.org/Record/007477337","HathiTrust Record")</f>
        <v/>
      </c>
      <c r="AS180">
        <f>HYPERLINK("https://creighton-primo.hosted.exlibrisgroup.com/primo-explore/search?tab=default_tab&amp;search_scope=EVERYTHING&amp;vid=01CRU&amp;lang=en_US&amp;offset=0&amp;query=any,contains,991003671079702656","Catalog Record")</f>
        <v/>
      </c>
      <c r="AT180">
        <f>HYPERLINK("http://www.worldcat.org/oclc/1288451","WorldCat Record")</f>
        <v/>
      </c>
      <c r="AU180" t="inlineStr">
        <is>
          <t>902454575:eng</t>
        </is>
      </c>
      <c r="AV180" t="inlineStr">
        <is>
          <t>1288451</t>
        </is>
      </c>
      <c r="AW180" t="inlineStr">
        <is>
          <t>991003671079702656</t>
        </is>
      </c>
      <c r="AX180" t="inlineStr">
        <is>
          <t>991003671079702656</t>
        </is>
      </c>
      <c r="AY180" t="inlineStr">
        <is>
          <t>2266963370002656</t>
        </is>
      </c>
      <c r="AZ180" t="inlineStr">
        <is>
          <t>BOOK</t>
        </is>
      </c>
      <c r="BB180" t="inlineStr">
        <is>
          <t>9780138078676</t>
        </is>
      </c>
      <c r="BC180" t="inlineStr">
        <is>
          <t>32285001622611</t>
        </is>
      </c>
      <c r="BD180" t="inlineStr">
        <is>
          <t>893800012</t>
        </is>
      </c>
    </row>
    <row r="181">
      <c r="A181" t="inlineStr">
        <is>
          <t>No</t>
        </is>
      </c>
      <c r="B181" t="inlineStr">
        <is>
          <t>HM132 .D61 1982</t>
        </is>
      </c>
      <c r="C181" t="inlineStr">
        <is>
          <t>0                      HM 0132000D  61          1982</t>
        </is>
      </c>
      <c r="D181" t="inlineStr">
        <is>
          <t>Dissolving personal relationships / edited by Steve Duck.</t>
        </is>
      </c>
      <c r="F181" t="inlineStr">
        <is>
          <t>No</t>
        </is>
      </c>
      <c r="G181" t="inlineStr">
        <is>
          <t>1</t>
        </is>
      </c>
      <c r="H181" t="inlineStr">
        <is>
          <t>No</t>
        </is>
      </c>
      <c r="I181" t="inlineStr">
        <is>
          <t>No</t>
        </is>
      </c>
      <c r="J181" t="inlineStr">
        <is>
          <t>0</t>
        </is>
      </c>
      <c r="L181" t="inlineStr">
        <is>
          <t>London ; New York : Academic, 1982.</t>
        </is>
      </c>
      <c r="M181" t="inlineStr">
        <is>
          <t>1982</t>
        </is>
      </c>
      <c r="O181" t="inlineStr">
        <is>
          <t>eng</t>
        </is>
      </c>
      <c r="P181" t="inlineStr">
        <is>
          <t>enk</t>
        </is>
      </c>
      <c r="Q181" t="inlineStr">
        <is>
          <t>Personal relationships ; 4</t>
        </is>
      </c>
      <c r="R181" t="inlineStr">
        <is>
          <t xml:space="preserve">HM </t>
        </is>
      </c>
      <c r="S181" t="n">
        <v>8</v>
      </c>
      <c r="T181" t="n">
        <v>8</v>
      </c>
      <c r="U181" t="inlineStr">
        <is>
          <t>2006-11-14</t>
        </is>
      </c>
      <c r="V181" t="inlineStr">
        <is>
          <t>2006-11-14</t>
        </is>
      </c>
      <c r="W181" t="inlineStr">
        <is>
          <t>1992-12-22</t>
        </is>
      </c>
      <c r="X181" t="inlineStr">
        <is>
          <t>1992-12-22</t>
        </is>
      </c>
      <c r="Y181" t="n">
        <v>49</v>
      </c>
      <c r="Z181" t="n">
        <v>30</v>
      </c>
      <c r="AA181" t="n">
        <v>30</v>
      </c>
      <c r="AB181" t="n">
        <v>1</v>
      </c>
      <c r="AC181" t="n">
        <v>1</v>
      </c>
      <c r="AD181" t="n">
        <v>1</v>
      </c>
      <c r="AE181" t="n">
        <v>1</v>
      </c>
      <c r="AF181" t="n">
        <v>0</v>
      </c>
      <c r="AG181" t="n">
        <v>0</v>
      </c>
      <c r="AH181" t="n">
        <v>1</v>
      </c>
      <c r="AI181" t="n">
        <v>1</v>
      </c>
      <c r="AJ181" t="n">
        <v>0</v>
      </c>
      <c r="AK181" t="n">
        <v>0</v>
      </c>
      <c r="AL181" t="n">
        <v>0</v>
      </c>
      <c r="AM181" t="n">
        <v>0</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HYPERLINK("https://creighton-primo.hosted.exlibrisgroup.com/primo-explore/search?tab=default_tab&amp;search_scope=EVERYTHING&amp;vid=01CRU&amp;lang=en_US&amp;offset=0&amp;query=any,contains,991000092839702656","Catalog Record")</f>
        <v/>
      </c>
      <c r="AT181">
        <f>HYPERLINK("http://www.worldcat.org/oclc/8909923","WorldCat Record")</f>
        <v/>
      </c>
      <c r="AU181" t="inlineStr">
        <is>
          <t>3862385704:eng</t>
        </is>
      </c>
      <c r="AV181" t="inlineStr">
        <is>
          <t>8909923</t>
        </is>
      </c>
      <c r="AW181" t="inlineStr">
        <is>
          <t>991000092839702656</t>
        </is>
      </c>
      <c r="AX181" t="inlineStr">
        <is>
          <t>991000092839702656</t>
        </is>
      </c>
      <c r="AY181" t="inlineStr">
        <is>
          <t>2272586680002656</t>
        </is>
      </c>
      <c r="AZ181" t="inlineStr">
        <is>
          <t>BOOK</t>
        </is>
      </c>
      <c r="BB181" t="inlineStr">
        <is>
          <t>9780122228049</t>
        </is>
      </c>
      <c r="BC181" t="inlineStr">
        <is>
          <t>32285001470615</t>
        </is>
      </c>
      <c r="BD181" t="inlineStr">
        <is>
          <t>893589118</t>
        </is>
      </c>
    </row>
    <row r="182">
      <c r="A182" t="inlineStr">
        <is>
          <t>No</t>
        </is>
      </c>
      <c r="B182" t="inlineStr">
        <is>
          <t>HM132 .D827 1990</t>
        </is>
      </c>
      <c r="C182" t="inlineStr">
        <is>
          <t>0                      HM 0132000D  827         1990</t>
        </is>
      </c>
      <c r="D182" t="inlineStr">
        <is>
          <t>Relating to others / Steve Duck.</t>
        </is>
      </c>
      <c r="F182" t="inlineStr">
        <is>
          <t>No</t>
        </is>
      </c>
      <c r="G182" t="inlineStr">
        <is>
          <t>1</t>
        </is>
      </c>
      <c r="H182" t="inlineStr">
        <is>
          <t>No</t>
        </is>
      </c>
      <c r="I182" t="inlineStr">
        <is>
          <t>No</t>
        </is>
      </c>
      <c r="J182" t="inlineStr">
        <is>
          <t>0</t>
        </is>
      </c>
      <c r="K182" t="inlineStr">
        <is>
          <t>Duck, Steve.</t>
        </is>
      </c>
      <c r="L182" t="inlineStr">
        <is>
          <t>Pacific Grove, Calif. : Brooks/Cole Pub. Co., [1990], c1988.</t>
        </is>
      </c>
      <c r="M182" t="inlineStr">
        <is>
          <t>1990</t>
        </is>
      </c>
      <c r="O182" t="inlineStr">
        <is>
          <t>eng</t>
        </is>
      </c>
      <c r="P182" t="inlineStr">
        <is>
          <t>cau</t>
        </is>
      </c>
      <c r="Q182" t="inlineStr">
        <is>
          <t>Mapping social psychology</t>
        </is>
      </c>
      <c r="R182" t="inlineStr">
        <is>
          <t xml:space="preserve">HM </t>
        </is>
      </c>
      <c r="S182" t="n">
        <v>15</v>
      </c>
      <c r="T182" t="n">
        <v>15</v>
      </c>
      <c r="U182" t="inlineStr">
        <is>
          <t>2003-05-06</t>
        </is>
      </c>
      <c r="V182" t="inlineStr">
        <is>
          <t>2003-05-06</t>
        </is>
      </c>
      <c r="W182" t="inlineStr">
        <is>
          <t>1992-04-20</t>
        </is>
      </c>
      <c r="X182" t="inlineStr">
        <is>
          <t>1992-04-20</t>
        </is>
      </c>
      <c r="Y182" t="n">
        <v>58</v>
      </c>
      <c r="Z182" t="n">
        <v>49</v>
      </c>
      <c r="AA182" t="n">
        <v>247</v>
      </c>
      <c r="AB182" t="n">
        <v>1</v>
      </c>
      <c r="AC182" t="n">
        <v>3</v>
      </c>
      <c r="AD182" t="n">
        <v>2</v>
      </c>
      <c r="AE182" t="n">
        <v>11</v>
      </c>
      <c r="AF182" t="n">
        <v>2</v>
      </c>
      <c r="AG182" t="n">
        <v>3</v>
      </c>
      <c r="AH182" t="n">
        <v>0</v>
      </c>
      <c r="AI182" t="n">
        <v>5</v>
      </c>
      <c r="AJ182" t="n">
        <v>1</v>
      </c>
      <c r="AK182" t="n">
        <v>5</v>
      </c>
      <c r="AL182" t="n">
        <v>0</v>
      </c>
      <c r="AM182" t="n">
        <v>2</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HYPERLINK("https://creighton-primo.hosted.exlibrisgroup.com/primo-explore/search?tab=default_tab&amp;search_scope=EVERYTHING&amp;vid=01CRU&amp;lang=en_US&amp;offset=0&amp;query=any,contains,991001787699702656","Catalog Record")</f>
        <v/>
      </c>
      <c r="AT182">
        <f>HYPERLINK("http://www.worldcat.org/oclc/22509860","WorldCat Record")</f>
        <v/>
      </c>
      <c r="AU182" t="inlineStr">
        <is>
          <t>18879689:eng</t>
        </is>
      </c>
      <c r="AV182" t="inlineStr">
        <is>
          <t>22509860</t>
        </is>
      </c>
      <c r="AW182" t="inlineStr">
        <is>
          <t>991001787699702656</t>
        </is>
      </c>
      <c r="AX182" t="inlineStr">
        <is>
          <t>991001787699702656</t>
        </is>
      </c>
      <c r="AY182" t="inlineStr">
        <is>
          <t>2270613960002656</t>
        </is>
      </c>
      <c r="AZ182" t="inlineStr">
        <is>
          <t>BOOK</t>
        </is>
      </c>
      <c r="BB182" t="inlineStr">
        <is>
          <t>9780534111069</t>
        </is>
      </c>
      <c r="BC182" t="inlineStr">
        <is>
          <t>32285001035962</t>
        </is>
      </c>
      <c r="BD182" t="inlineStr">
        <is>
          <t>893244417</t>
        </is>
      </c>
    </row>
    <row r="183">
      <c r="A183" t="inlineStr">
        <is>
          <t>No</t>
        </is>
      </c>
      <c r="B183" t="inlineStr">
        <is>
          <t>HM132 .E963 1992</t>
        </is>
      </c>
      <c r="C183" t="inlineStr">
        <is>
          <t>0                      HM 0132000E  963         1992</t>
        </is>
      </c>
      <c r="D183" t="inlineStr">
        <is>
          <t>Explaining one's self to others : reason-giving in a social context / edited by Margaret L. McLaughlin, Michael J. Cody, Stephen J. Read.</t>
        </is>
      </c>
      <c r="F183" t="inlineStr">
        <is>
          <t>No</t>
        </is>
      </c>
      <c r="G183" t="inlineStr">
        <is>
          <t>1</t>
        </is>
      </c>
      <c r="H183" t="inlineStr">
        <is>
          <t>No</t>
        </is>
      </c>
      <c r="I183" t="inlineStr">
        <is>
          <t>No</t>
        </is>
      </c>
      <c r="J183" t="inlineStr">
        <is>
          <t>0</t>
        </is>
      </c>
      <c r="L183" t="inlineStr">
        <is>
          <t>Hillsdale, N.J. : Lawrence Erlbaum Associates, 1992.</t>
        </is>
      </c>
      <c r="M183" t="inlineStr">
        <is>
          <t>1992</t>
        </is>
      </c>
      <c r="O183" t="inlineStr">
        <is>
          <t>eng</t>
        </is>
      </c>
      <c r="P183" t="inlineStr">
        <is>
          <t>nju</t>
        </is>
      </c>
      <c r="R183" t="inlineStr">
        <is>
          <t xml:space="preserve">HM </t>
        </is>
      </c>
      <c r="S183" t="n">
        <v>0</v>
      </c>
      <c r="T183" t="n">
        <v>0</v>
      </c>
      <c r="U183" t="inlineStr">
        <is>
          <t>2008-09-29</t>
        </is>
      </c>
      <c r="V183" t="inlineStr">
        <is>
          <t>2008-09-29</t>
        </is>
      </c>
      <c r="W183" t="inlineStr">
        <is>
          <t>1994-12-13</t>
        </is>
      </c>
      <c r="X183" t="inlineStr">
        <is>
          <t>1994-12-13</t>
        </is>
      </c>
      <c r="Y183" t="n">
        <v>289</v>
      </c>
      <c r="Z183" t="n">
        <v>239</v>
      </c>
      <c r="AA183" t="n">
        <v>262</v>
      </c>
      <c r="AB183" t="n">
        <v>5</v>
      </c>
      <c r="AC183" t="n">
        <v>5</v>
      </c>
      <c r="AD183" t="n">
        <v>18</v>
      </c>
      <c r="AE183" t="n">
        <v>18</v>
      </c>
      <c r="AF183" t="n">
        <v>8</v>
      </c>
      <c r="AG183" t="n">
        <v>8</v>
      </c>
      <c r="AH183" t="n">
        <v>3</v>
      </c>
      <c r="AI183" t="n">
        <v>3</v>
      </c>
      <c r="AJ183" t="n">
        <v>8</v>
      </c>
      <c r="AK183" t="n">
        <v>8</v>
      </c>
      <c r="AL183" t="n">
        <v>4</v>
      </c>
      <c r="AM183" t="n">
        <v>4</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HYPERLINK("https://creighton-primo.hosted.exlibrisgroup.com/primo-explore/search?tab=default_tab&amp;search_scope=EVERYTHING&amp;vid=01CRU&amp;lang=en_US&amp;offset=0&amp;query=any,contains,991001914119702656","Catalog Record")</f>
        <v/>
      </c>
      <c r="AT183">
        <f>HYPERLINK("http://www.worldcat.org/oclc/24173756","WorldCat Record")</f>
        <v/>
      </c>
      <c r="AU183" t="inlineStr">
        <is>
          <t>908321066:eng</t>
        </is>
      </c>
      <c r="AV183" t="inlineStr">
        <is>
          <t>24173756</t>
        </is>
      </c>
      <c r="AW183" t="inlineStr">
        <is>
          <t>991001914119702656</t>
        </is>
      </c>
      <c r="AX183" t="inlineStr">
        <is>
          <t>991001914119702656</t>
        </is>
      </c>
      <c r="AY183" t="inlineStr">
        <is>
          <t>2269005110002656</t>
        </is>
      </c>
      <c r="AZ183" t="inlineStr">
        <is>
          <t>BOOK</t>
        </is>
      </c>
      <c r="BB183" t="inlineStr">
        <is>
          <t>9780805807998</t>
        </is>
      </c>
      <c r="BC183" t="inlineStr">
        <is>
          <t>32285001976207</t>
        </is>
      </c>
      <c r="BD183" t="inlineStr">
        <is>
          <t>893408464</t>
        </is>
      </c>
    </row>
    <row r="184">
      <c r="A184" t="inlineStr">
        <is>
          <t>No</t>
        </is>
      </c>
      <c r="B184" t="inlineStr">
        <is>
          <t>HM132 .F54</t>
        </is>
      </c>
      <c r="C184" t="inlineStr">
        <is>
          <t>0                      HM 0132000F  54</t>
        </is>
      </c>
      <c r="D184" t="inlineStr">
        <is>
          <t>Interpersonal conflict resolution / Alan C. Filley.</t>
        </is>
      </c>
      <c r="F184" t="inlineStr">
        <is>
          <t>No</t>
        </is>
      </c>
      <c r="G184" t="inlineStr">
        <is>
          <t>1</t>
        </is>
      </c>
      <c r="H184" t="inlineStr">
        <is>
          <t>No</t>
        </is>
      </c>
      <c r="I184" t="inlineStr">
        <is>
          <t>No</t>
        </is>
      </c>
      <c r="J184" t="inlineStr">
        <is>
          <t>0</t>
        </is>
      </c>
      <c r="K184" t="inlineStr">
        <is>
          <t>Filley, Alan C.</t>
        </is>
      </c>
      <c r="L184" t="inlineStr">
        <is>
          <t>Glenview, Ill. : Scott, Foresman, [1975]</t>
        </is>
      </c>
      <c r="M184" t="inlineStr">
        <is>
          <t>1975</t>
        </is>
      </c>
      <c r="O184" t="inlineStr">
        <is>
          <t>eng</t>
        </is>
      </c>
      <c r="P184" t="inlineStr">
        <is>
          <t>ilu</t>
        </is>
      </c>
      <c r="Q184" t="inlineStr">
        <is>
          <t>Management applications series</t>
        </is>
      </c>
      <c r="R184" t="inlineStr">
        <is>
          <t xml:space="preserve">HM </t>
        </is>
      </c>
      <c r="S184" t="n">
        <v>13</v>
      </c>
      <c r="T184" t="n">
        <v>13</v>
      </c>
      <c r="U184" t="inlineStr">
        <is>
          <t>2000-04-10</t>
        </is>
      </c>
      <c r="V184" t="inlineStr">
        <is>
          <t>2000-04-10</t>
        </is>
      </c>
      <c r="W184" t="inlineStr">
        <is>
          <t>1991-12-09</t>
        </is>
      </c>
      <c r="X184" t="inlineStr">
        <is>
          <t>1991-12-09</t>
        </is>
      </c>
      <c r="Y184" t="n">
        <v>795</v>
      </c>
      <c r="Z184" t="n">
        <v>627</v>
      </c>
      <c r="AA184" t="n">
        <v>631</v>
      </c>
      <c r="AB184" t="n">
        <v>7</v>
      </c>
      <c r="AC184" t="n">
        <v>7</v>
      </c>
      <c r="AD184" t="n">
        <v>32</v>
      </c>
      <c r="AE184" t="n">
        <v>32</v>
      </c>
      <c r="AF184" t="n">
        <v>13</v>
      </c>
      <c r="AG184" t="n">
        <v>13</v>
      </c>
      <c r="AH184" t="n">
        <v>7</v>
      </c>
      <c r="AI184" t="n">
        <v>7</v>
      </c>
      <c r="AJ184" t="n">
        <v>13</v>
      </c>
      <c r="AK184" t="n">
        <v>13</v>
      </c>
      <c r="AL184" t="n">
        <v>5</v>
      </c>
      <c r="AM184" t="n">
        <v>5</v>
      </c>
      <c r="AN184" t="n">
        <v>0</v>
      </c>
      <c r="AO184" t="n">
        <v>0</v>
      </c>
      <c r="AP184" t="inlineStr">
        <is>
          <t>No</t>
        </is>
      </c>
      <c r="AQ184" t="inlineStr">
        <is>
          <t>Yes</t>
        </is>
      </c>
      <c r="AR184">
        <f>HYPERLINK("http://catalog.hathitrust.org/Record/007471604","HathiTrust Record")</f>
        <v/>
      </c>
      <c r="AS184">
        <f>HYPERLINK("https://creighton-primo.hosted.exlibrisgroup.com/primo-explore/search?tab=default_tab&amp;search_scope=EVERYTHING&amp;vid=01CRU&amp;lang=en_US&amp;offset=0&amp;query=any,contains,991003742549702656","Catalog Record")</f>
        <v/>
      </c>
      <c r="AT184">
        <f>HYPERLINK("http://www.worldcat.org/oclc/1409189","WorldCat Record")</f>
        <v/>
      </c>
      <c r="AU184" t="inlineStr">
        <is>
          <t>520217:eng</t>
        </is>
      </c>
      <c r="AV184" t="inlineStr">
        <is>
          <t>1409189</t>
        </is>
      </c>
      <c r="AW184" t="inlineStr">
        <is>
          <t>991003742549702656</t>
        </is>
      </c>
      <c r="AX184" t="inlineStr">
        <is>
          <t>991003742549702656</t>
        </is>
      </c>
      <c r="AY184" t="inlineStr">
        <is>
          <t>2268119670002656</t>
        </is>
      </c>
      <c r="AZ184" t="inlineStr">
        <is>
          <t>BOOK</t>
        </is>
      </c>
      <c r="BB184" t="inlineStr">
        <is>
          <t>9780673075895</t>
        </is>
      </c>
      <c r="BC184" t="inlineStr">
        <is>
          <t>32285000848084</t>
        </is>
      </c>
      <c r="BD184" t="inlineStr">
        <is>
          <t>893252711</t>
        </is>
      </c>
    </row>
    <row r="185">
      <c r="A185" t="inlineStr">
        <is>
          <t>No</t>
        </is>
      </c>
      <c r="B185" t="inlineStr">
        <is>
          <t>HM132 .F5728 1993</t>
        </is>
      </c>
      <c r="C185" t="inlineStr">
        <is>
          <t>0                      HM 0132000F  5728        1993</t>
        </is>
      </c>
      <c r="D185" t="inlineStr">
        <is>
          <t>Structures of social life : the four elementary forms of human relations : communal sharing, authority ranking, equality matching, market pricing / Alan Page Fiske ; with a new epilogue.</t>
        </is>
      </c>
      <c r="F185" t="inlineStr">
        <is>
          <t>No</t>
        </is>
      </c>
      <c r="G185" t="inlineStr">
        <is>
          <t>1</t>
        </is>
      </c>
      <c r="H185" t="inlineStr">
        <is>
          <t>No</t>
        </is>
      </c>
      <c r="I185" t="inlineStr">
        <is>
          <t>No</t>
        </is>
      </c>
      <c r="J185" t="inlineStr">
        <is>
          <t>0</t>
        </is>
      </c>
      <c r="K185" t="inlineStr">
        <is>
          <t>Fiske, Alan Page, 1947-</t>
        </is>
      </c>
      <c r="L185" t="inlineStr">
        <is>
          <t>New York : Free Press ; Toronto : Collier Macmillan Canada ; New York : Maxwell Macmillan International, 1993.</t>
        </is>
      </c>
      <c r="M185" t="inlineStr">
        <is>
          <t>1993</t>
        </is>
      </c>
      <c r="N185" t="inlineStr">
        <is>
          <t>1st Free Press pbk. ed.</t>
        </is>
      </c>
      <c r="O185" t="inlineStr">
        <is>
          <t>eng</t>
        </is>
      </c>
      <c r="P185" t="inlineStr">
        <is>
          <t>nyu</t>
        </is>
      </c>
      <c r="R185" t="inlineStr">
        <is>
          <t xml:space="preserve">HM </t>
        </is>
      </c>
      <c r="S185" t="n">
        <v>7</v>
      </c>
      <c r="T185" t="n">
        <v>7</v>
      </c>
      <c r="U185" t="inlineStr">
        <is>
          <t>2009-02-10</t>
        </is>
      </c>
      <c r="V185" t="inlineStr">
        <is>
          <t>2009-02-10</t>
        </is>
      </c>
      <c r="W185" t="inlineStr">
        <is>
          <t>1996-01-30</t>
        </is>
      </c>
      <c r="X185" t="inlineStr">
        <is>
          <t>1996-01-30</t>
        </is>
      </c>
      <c r="Y185" t="n">
        <v>117</v>
      </c>
      <c r="Z185" t="n">
        <v>85</v>
      </c>
      <c r="AA185" t="n">
        <v>442</v>
      </c>
      <c r="AB185" t="n">
        <v>3</v>
      </c>
      <c r="AC185" t="n">
        <v>5</v>
      </c>
      <c r="AD185" t="n">
        <v>4</v>
      </c>
      <c r="AE185" t="n">
        <v>18</v>
      </c>
      <c r="AF185" t="n">
        <v>2</v>
      </c>
      <c r="AG185" t="n">
        <v>4</v>
      </c>
      <c r="AH185" t="n">
        <v>0</v>
      </c>
      <c r="AI185" t="n">
        <v>5</v>
      </c>
      <c r="AJ185" t="n">
        <v>2</v>
      </c>
      <c r="AK185" t="n">
        <v>11</v>
      </c>
      <c r="AL185" t="n">
        <v>2</v>
      </c>
      <c r="AM185" t="n">
        <v>4</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HYPERLINK("https://creighton-primo.hosted.exlibrisgroup.com/primo-explore/search?tab=default_tab&amp;search_scope=EVERYTHING&amp;vid=01CRU&amp;lang=en_US&amp;offset=0&amp;query=any,contains,991002288949702656","Catalog Record")</f>
        <v/>
      </c>
      <c r="AT185">
        <f>HYPERLINK("http://www.worldcat.org/oclc/29669622","WorldCat Record")</f>
        <v/>
      </c>
      <c r="AU185" t="inlineStr">
        <is>
          <t>23012751:eng</t>
        </is>
      </c>
      <c r="AV185" t="inlineStr">
        <is>
          <t>29669622</t>
        </is>
      </c>
      <c r="AW185" t="inlineStr">
        <is>
          <t>991002288949702656</t>
        </is>
      </c>
      <c r="AX185" t="inlineStr">
        <is>
          <t>991002288949702656</t>
        </is>
      </c>
      <c r="AY185" t="inlineStr">
        <is>
          <t>2269633360002656</t>
        </is>
      </c>
      <c r="AZ185" t="inlineStr">
        <is>
          <t>BOOK</t>
        </is>
      </c>
      <c r="BB185" t="inlineStr">
        <is>
          <t>9780029066874</t>
        </is>
      </c>
      <c r="BC185" t="inlineStr">
        <is>
          <t>32285002126463</t>
        </is>
      </c>
      <c r="BD185" t="inlineStr">
        <is>
          <t>893352239</t>
        </is>
      </c>
    </row>
    <row r="186">
      <c r="A186" t="inlineStr">
        <is>
          <t>No</t>
        </is>
      </c>
      <c r="B186" t="inlineStr">
        <is>
          <t>HM132 .F573 1991</t>
        </is>
      </c>
      <c r="C186" t="inlineStr">
        <is>
          <t>0                      HM 0132000F  573         1991</t>
        </is>
      </c>
      <c r="D186" t="inlineStr">
        <is>
          <t>Social cognition / Susan T. Fiske, Shelley E. Taylor.</t>
        </is>
      </c>
      <c r="F186" t="inlineStr">
        <is>
          <t>No</t>
        </is>
      </c>
      <c r="G186" t="inlineStr">
        <is>
          <t>1</t>
        </is>
      </c>
      <c r="H186" t="inlineStr">
        <is>
          <t>No</t>
        </is>
      </c>
      <c r="I186" t="inlineStr">
        <is>
          <t>No</t>
        </is>
      </c>
      <c r="J186" t="inlineStr">
        <is>
          <t>0</t>
        </is>
      </c>
      <c r="K186" t="inlineStr">
        <is>
          <t>Fiske, Susan T.</t>
        </is>
      </c>
      <c r="L186" t="inlineStr">
        <is>
          <t>New York : McGraw-Hill, c1991.</t>
        </is>
      </c>
      <c r="M186" t="inlineStr">
        <is>
          <t>1991</t>
        </is>
      </c>
      <c r="N186" t="inlineStr">
        <is>
          <t>2nd ed.</t>
        </is>
      </c>
      <c r="O186" t="inlineStr">
        <is>
          <t>eng</t>
        </is>
      </c>
      <c r="P186" t="inlineStr">
        <is>
          <t>nyu</t>
        </is>
      </c>
      <c r="Q186" t="inlineStr">
        <is>
          <t>McGraw-Hill series in social psychology</t>
        </is>
      </c>
      <c r="R186" t="inlineStr">
        <is>
          <t xml:space="preserve">HM </t>
        </is>
      </c>
      <c r="S186" t="n">
        <v>8</v>
      </c>
      <c r="T186" t="n">
        <v>8</v>
      </c>
      <c r="U186" t="inlineStr">
        <is>
          <t>2002-11-08</t>
        </is>
      </c>
      <c r="V186" t="inlineStr">
        <is>
          <t>2002-11-08</t>
        </is>
      </c>
      <c r="W186" t="inlineStr">
        <is>
          <t>1994-05-11</t>
        </is>
      </c>
      <c r="X186" t="inlineStr">
        <is>
          <t>1994-05-11</t>
        </is>
      </c>
      <c r="Y186" t="n">
        <v>475</v>
      </c>
      <c r="Z186" t="n">
        <v>257</v>
      </c>
      <c r="AA186" t="n">
        <v>765</v>
      </c>
      <c r="AB186" t="n">
        <v>4</v>
      </c>
      <c r="AC186" t="n">
        <v>9</v>
      </c>
      <c r="AD186" t="n">
        <v>11</v>
      </c>
      <c r="AE186" t="n">
        <v>35</v>
      </c>
      <c r="AF186" t="n">
        <v>3</v>
      </c>
      <c r="AG186" t="n">
        <v>13</v>
      </c>
      <c r="AH186" t="n">
        <v>2</v>
      </c>
      <c r="AI186" t="n">
        <v>7</v>
      </c>
      <c r="AJ186" t="n">
        <v>4</v>
      </c>
      <c r="AK186" t="n">
        <v>14</v>
      </c>
      <c r="AL186" t="n">
        <v>3</v>
      </c>
      <c r="AM186" t="n">
        <v>8</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HYPERLINK("https://creighton-primo.hosted.exlibrisgroup.com/primo-explore/search?tab=default_tab&amp;search_scope=EVERYTHING&amp;vid=01CRU&amp;lang=en_US&amp;offset=0&amp;query=any,contains,991001815559702656","Catalog Record")</f>
        <v/>
      </c>
      <c r="AT186">
        <f>HYPERLINK("http://www.worldcat.org/oclc/22810253","WorldCat Record")</f>
        <v/>
      </c>
      <c r="AU186" t="inlineStr">
        <is>
          <t>2282065890:eng</t>
        </is>
      </c>
      <c r="AV186" t="inlineStr">
        <is>
          <t>22810253</t>
        </is>
      </c>
      <c r="AW186" t="inlineStr">
        <is>
          <t>991001815559702656</t>
        </is>
      </c>
      <c r="AX186" t="inlineStr">
        <is>
          <t>991001815559702656</t>
        </is>
      </c>
      <c r="AY186" t="inlineStr">
        <is>
          <t>2265552130002656</t>
        </is>
      </c>
      <c r="AZ186" t="inlineStr">
        <is>
          <t>BOOK</t>
        </is>
      </c>
      <c r="BB186" t="inlineStr">
        <is>
          <t>9780070211919</t>
        </is>
      </c>
      <c r="BC186" t="inlineStr">
        <is>
          <t>32285001896074</t>
        </is>
      </c>
      <c r="BD186" t="inlineStr">
        <is>
          <t>893866512</t>
        </is>
      </c>
    </row>
    <row r="187">
      <c r="A187" t="inlineStr">
        <is>
          <t>No</t>
        </is>
      </c>
      <c r="B187" t="inlineStr">
        <is>
          <t>HM132 .G44 1995</t>
        </is>
      </c>
      <c r="C187" t="inlineStr">
        <is>
          <t>0                      HM 0132000G  44          1995</t>
        </is>
      </c>
      <c r="D187" t="inlineStr">
        <is>
          <t>Gender, power, and communication in human relationships / edited by Pamela J. Kalbfleisch, Michael J. Cody.</t>
        </is>
      </c>
      <c r="F187" t="inlineStr">
        <is>
          <t>No</t>
        </is>
      </c>
      <c r="G187" t="inlineStr">
        <is>
          <t>1</t>
        </is>
      </c>
      <c r="H187" t="inlineStr">
        <is>
          <t>No</t>
        </is>
      </c>
      <c r="I187" t="inlineStr">
        <is>
          <t>No</t>
        </is>
      </c>
      <c r="J187" t="inlineStr">
        <is>
          <t>0</t>
        </is>
      </c>
      <c r="L187" t="inlineStr">
        <is>
          <t>Hillsdale, N.J. : Erlbaum, 1995.</t>
        </is>
      </c>
      <c r="M187" t="inlineStr">
        <is>
          <t>1995</t>
        </is>
      </c>
      <c r="O187" t="inlineStr">
        <is>
          <t>eng</t>
        </is>
      </c>
      <c r="P187" t="inlineStr">
        <is>
          <t>nju</t>
        </is>
      </c>
      <c r="Q187" t="inlineStr">
        <is>
          <t>LEA's communication series</t>
        </is>
      </c>
      <c r="R187" t="inlineStr">
        <is>
          <t xml:space="preserve">HM </t>
        </is>
      </c>
      <c r="S187" t="n">
        <v>4</v>
      </c>
      <c r="T187" t="n">
        <v>4</v>
      </c>
      <c r="U187" t="inlineStr">
        <is>
          <t>2007-03-21</t>
        </is>
      </c>
      <c r="V187" t="inlineStr">
        <is>
          <t>2007-03-21</t>
        </is>
      </c>
      <c r="W187" t="inlineStr">
        <is>
          <t>2006-04-14</t>
        </is>
      </c>
      <c r="X187" t="inlineStr">
        <is>
          <t>2006-04-14</t>
        </is>
      </c>
      <c r="Y187" t="n">
        <v>468</v>
      </c>
      <c r="Z187" t="n">
        <v>371</v>
      </c>
      <c r="AA187" t="n">
        <v>394</v>
      </c>
      <c r="AB187" t="n">
        <v>4</v>
      </c>
      <c r="AC187" t="n">
        <v>4</v>
      </c>
      <c r="AD187" t="n">
        <v>22</v>
      </c>
      <c r="AE187" t="n">
        <v>22</v>
      </c>
      <c r="AF187" t="n">
        <v>7</v>
      </c>
      <c r="AG187" t="n">
        <v>7</v>
      </c>
      <c r="AH187" t="n">
        <v>5</v>
      </c>
      <c r="AI187" t="n">
        <v>5</v>
      </c>
      <c r="AJ187" t="n">
        <v>12</v>
      </c>
      <c r="AK187" t="n">
        <v>12</v>
      </c>
      <c r="AL187" t="n">
        <v>3</v>
      </c>
      <c r="AM187" t="n">
        <v>3</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HYPERLINK("https://creighton-primo.hosted.exlibrisgroup.com/primo-explore/search?tab=default_tab&amp;search_scope=EVERYTHING&amp;vid=01CRU&amp;lang=en_US&amp;offset=0&amp;query=any,contains,991004794229702656","Catalog Record")</f>
        <v/>
      </c>
      <c r="AT187">
        <f>HYPERLINK("http://www.worldcat.org/oclc/31331340","WorldCat Record")</f>
        <v/>
      </c>
      <c r="AU187" t="inlineStr">
        <is>
          <t>353953573:eng</t>
        </is>
      </c>
      <c r="AV187" t="inlineStr">
        <is>
          <t>31331340</t>
        </is>
      </c>
      <c r="AW187" t="inlineStr">
        <is>
          <t>991004794229702656</t>
        </is>
      </c>
      <c r="AX187" t="inlineStr">
        <is>
          <t>991004794229702656</t>
        </is>
      </c>
      <c r="AY187" t="inlineStr">
        <is>
          <t>2256283840002656</t>
        </is>
      </c>
      <c r="AZ187" t="inlineStr">
        <is>
          <t>BOOK</t>
        </is>
      </c>
      <c r="BB187" t="inlineStr">
        <is>
          <t>9780805814033</t>
        </is>
      </c>
      <c r="BC187" t="inlineStr">
        <is>
          <t>32285005181739</t>
        </is>
      </c>
      <c r="BD187" t="inlineStr">
        <is>
          <t>893436763</t>
        </is>
      </c>
    </row>
    <row r="188">
      <c r="A188" t="inlineStr">
        <is>
          <t>No</t>
        </is>
      </c>
      <c r="B188" t="inlineStr">
        <is>
          <t>HM132 .H463 1987</t>
        </is>
      </c>
      <c r="C188" t="inlineStr">
        <is>
          <t>0                      HM 0132000H  463         1987</t>
        </is>
      </c>
      <c r="D188" t="inlineStr">
        <is>
          <t>Group processes and intergroup relations / editor Clyde Hendrick.</t>
        </is>
      </c>
      <c r="F188" t="inlineStr">
        <is>
          <t>No</t>
        </is>
      </c>
      <c r="G188" t="inlineStr">
        <is>
          <t>1</t>
        </is>
      </c>
      <c r="H188" t="inlineStr">
        <is>
          <t>No</t>
        </is>
      </c>
      <c r="I188" t="inlineStr">
        <is>
          <t>No</t>
        </is>
      </c>
      <c r="J188" t="inlineStr">
        <is>
          <t>0</t>
        </is>
      </c>
      <c r="K188" t="inlineStr">
        <is>
          <t>Hendrick, Clyde.</t>
        </is>
      </c>
      <c r="L188" t="inlineStr">
        <is>
          <t>Newbury Park, Calif. : Sage Publications, c1987.</t>
        </is>
      </c>
      <c r="M188" t="inlineStr">
        <is>
          <t>1987</t>
        </is>
      </c>
      <c r="O188" t="inlineStr">
        <is>
          <t>eng</t>
        </is>
      </c>
      <c r="P188" t="inlineStr">
        <is>
          <t>cau</t>
        </is>
      </c>
      <c r="Q188" t="inlineStr">
        <is>
          <t>Review of personality and social psychology, 0270-1987 ; 9</t>
        </is>
      </c>
      <c r="R188" t="inlineStr">
        <is>
          <t xml:space="preserve">HM </t>
        </is>
      </c>
      <c r="S188" t="n">
        <v>8</v>
      </c>
      <c r="T188" t="n">
        <v>8</v>
      </c>
      <c r="U188" t="inlineStr">
        <is>
          <t>2001-11-08</t>
        </is>
      </c>
      <c r="V188" t="inlineStr">
        <is>
          <t>2001-11-08</t>
        </is>
      </c>
      <c r="W188" t="inlineStr">
        <is>
          <t>1992-08-25</t>
        </is>
      </c>
      <c r="X188" t="inlineStr">
        <is>
          <t>1992-08-25</t>
        </is>
      </c>
      <c r="Y188" t="n">
        <v>295</v>
      </c>
      <c r="Z188" t="n">
        <v>203</v>
      </c>
      <c r="AA188" t="n">
        <v>206</v>
      </c>
      <c r="AB188" t="n">
        <v>2</v>
      </c>
      <c r="AC188" t="n">
        <v>2</v>
      </c>
      <c r="AD188" t="n">
        <v>10</v>
      </c>
      <c r="AE188" t="n">
        <v>11</v>
      </c>
      <c r="AF188" t="n">
        <v>2</v>
      </c>
      <c r="AG188" t="n">
        <v>3</v>
      </c>
      <c r="AH188" t="n">
        <v>2</v>
      </c>
      <c r="AI188" t="n">
        <v>2</v>
      </c>
      <c r="AJ188" t="n">
        <v>6</v>
      </c>
      <c r="AK188" t="n">
        <v>7</v>
      </c>
      <c r="AL188" t="n">
        <v>1</v>
      </c>
      <c r="AM188" t="n">
        <v>1</v>
      </c>
      <c r="AN188" t="n">
        <v>0</v>
      </c>
      <c r="AO188" t="n">
        <v>0</v>
      </c>
      <c r="AP188" t="inlineStr">
        <is>
          <t>No</t>
        </is>
      </c>
      <c r="AQ188" t="inlineStr">
        <is>
          <t>Yes</t>
        </is>
      </c>
      <c r="AR188">
        <f>HYPERLINK("http://catalog.hathitrust.org/Record/009814486","HathiTrust Record")</f>
        <v/>
      </c>
      <c r="AS188">
        <f>HYPERLINK("https://creighton-primo.hosted.exlibrisgroup.com/primo-explore/search?tab=default_tab&amp;search_scope=EVERYTHING&amp;vid=01CRU&amp;lang=en_US&amp;offset=0&amp;query=any,contains,991001160159702656","Catalog Record")</f>
        <v/>
      </c>
      <c r="AT188">
        <f>HYPERLINK("http://www.worldcat.org/oclc/18681429","WorldCat Record")</f>
        <v/>
      </c>
      <c r="AU188" t="inlineStr">
        <is>
          <t>366061355:eng</t>
        </is>
      </c>
      <c r="AV188" t="inlineStr">
        <is>
          <t>18681429</t>
        </is>
      </c>
      <c r="AW188" t="inlineStr">
        <is>
          <t>991001160159702656</t>
        </is>
      </c>
      <c r="AX188" t="inlineStr">
        <is>
          <t>991001160159702656</t>
        </is>
      </c>
      <c r="AY188" t="inlineStr">
        <is>
          <t>2257341210002656</t>
        </is>
      </c>
      <c r="AZ188" t="inlineStr">
        <is>
          <t>BOOK</t>
        </is>
      </c>
      <c r="BB188" t="inlineStr">
        <is>
          <t>9780803930919</t>
        </is>
      </c>
      <c r="BC188" t="inlineStr">
        <is>
          <t>32285001266286</t>
        </is>
      </c>
      <c r="BD188" t="inlineStr">
        <is>
          <t>893528708</t>
        </is>
      </c>
    </row>
    <row r="189">
      <c r="A189" t="inlineStr">
        <is>
          <t>No</t>
        </is>
      </c>
      <c r="B189" t="inlineStr">
        <is>
          <t>HM132 .H53</t>
        </is>
      </c>
      <c r="C189" t="inlineStr">
        <is>
          <t>0                      HM 0132000H  53</t>
        </is>
      </c>
      <c r="D189" t="inlineStr">
        <is>
          <t>Towards understanding relationships / Robert A. Hinde.</t>
        </is>
      </c>
      <c r="F189" t="inlineStr">
        <is>
          <t>No</t>
        </is>
      </c>
      <c r="G189" t="inlineStr">
        <is>
          <t>1</t>
        </is>
      </c>
      <c r="H189" t="inlineStr">
        <is>
          <t>No</t>
        </is>
      </c>
      <c r="I189" t="inlineStr">
        <is>
          <t>No</t>
        </is>
      </c>
      <c r="J189" t="inlineStr">
        <is>
          <t>0</t>
        </is>
      </c>
      <c r="K189" t="inlineStr">
        <is>
          <t>Hinde, Robert A.</t>
        </is>
      </c>
      <c r="L189" t="inlineStr">
        <is>
          <t>London ; New York : Published in cooperation with European Association of Experimental Social Psychology by Academic Press, 1979.</t>
        </is>
      </c>
      <c r="M189" t="inlineStr">
        <is>
          <t>1979</t>
        </is>
      </c>
      <c r="O189" t="inlineStr">
        <is>
          <t>eng</t>
        </is>
      </c>
      <c r="P189" t="inlineStr">
        <is>
          <t>enk</t>
        </is>
      </c>
      <c r="Q189" t="inlineStr">
        <is>
          <t>European monographs in social psychology ; 18</t>
        </is>
      </c>
      <c r="R189" t="inlineStr">
        <is>
          <t xml:space="preserve">HM </t>
        </is>
      </c>
      <c r="S189" t="n">
        <v>8</v>
      </c>
      <c r="T189" t="n">
        <v>8</v>
      </c>
      <c r="U189" t="inlineStr">
        <is>
          <t>2008-12-01</t>
        </is>
      </c>
      <c r="V189" t="inlineStr">
        <is>
          <t>2008-12-01</t>
        </is>
      </c>
      <c r="W189" t="inlineStr">
        <is>
          <t>1992-08-25</t>
        </is>
      </c>
      <c r="X189" t="inlineStr">
        <is>
          <t>1992-08-25</t>
        </is>
      </c>
      <c r="Y189" t="n">
        <v>490</v>
      </c>
      <c r="Z189" t="n">
        <v>324</v>
      </c>
      <c r="AA189" t="n">
        <v>326</v>
      </c>
      <c r="AB189" t="n">
        <v>2</v>
      </c>
      <c r="AC189" t="n">
        <v>2</v>
      </c>
      <c r="AD189" t="n">
        <v>14</v>
      </c>
      <c r="AE189" t="n">
        <v>14</v>
      </c>
      <c r="AF189" t="n">
        <v>3</v>
      </c>
      <c r="AG189" t="n">
        <v>3</v>
      </c>
      <c r="AH189" t="n">
        <v>5</v>
      </c>
      <c r="AI189" t="n">
        <v>5</v>
      </c>
      <c r="AJ189" t="n">
        <v>8</v>
      </c>
      <c r="AK189" t="n">
        <v>8</v>
      </c>
      <c r="AL189" t="n">
        <v>1</v>
      </c>
      <c r="AM189" t="n">
        <v>1</v>
      </c>
      <c r="AN189" t="n">
        <v>0</v>
      </c>
      <c r="AO189" t="n">
        <v>0</v>
      </c>
      <c r="AP189" t="inlineStr">
        <is>
          <t>No</t>
        </is>
      </c>
      <c r="AQ189" t="inlineStr">
        <is>
          <t>Yes</t>
        </is>
      </c>
      <c r="AR189">
        <f>HYPERLINK("http://catalog.hathitrust.org/Record/000687943","HathiTrust Record")</f>
        <v/>
      </c>
      <c r="AS189">
        <f>HYPERLINK("https://creighton-primo.hosted.exlibrisgroup.com/primo-explore/search?tab=default_tab&amp;search_scope=EVERYTHING&amp;vid=01CRU&amp;lang=en_US&amp;offset=0&amp;query=any,contains,991004979109702656","Catalog Record")</f>
        <v/>
      </c>
      <c r="AT189">
        <f>HYPERLINK("http://www.worldcat.org/oclc/6420904","WorldCat Record")</f>
        <v/>
      </c>
      <c r="AU189" t="inlineStr">
        <is>
          <t>409186:eng</t>
        </is>
      </c>
      <c r="AV189" t="inlineStr">
        <is>
          <t>6420904</t>
        </is>
      </c>
      <c r="AW189" t="inlineStr">
        <is>
          <t>991004979109702656</t>
        </is>
      </c>
      <c r="AX189" t="inlineStr">
        <is>
          <t>991004979109702656</t>
        </is>
      </c>
      <c r="AY189" t="inlineStr">
        <is>
          <t>2266985370002656</t>
        </is>
      </c>
      <c r="AZ189" t="inlineStr">
        <is>
          <t>BOOK</t>
        </is>
      </c>
      <c r="BB189" t="inlineStr">
        <is>
          <t>9780123492500</t>
        </is>
      </c>
      <c r="BC189" t="inlineStr">
        <is>
          <t>32285001266294</t>
        </is>
      </c>
      <c r="BD189" t="inlineStr">
        <is>
          <t>893513867</t>
        </is>
      </c>
    </row>
    <row r="190">
      <c r="A190" t="inlineStr">
        <is>
          <t>No</t>
        </is>
      </c>
      <c r="B190" t="inlineStr">
        <is>
          <t>HM132 .H87</t>
        </is>
      </c>
      <c r="C190" t="inlineStr">
        <is>
          <t>0                      HM 0132000H  87</t>
        </is>
      </c>
      <c r="D190" t="inlineStr">
        <is>
          <t>Foundations of interpersonal attraction / [Edited by] Ted L. Huston.</t>
        </is>
      </c>
      <c r="F190" t="inlineStr">
        <is>
          <t>No</t>
        </is>
      </c>
      <c r="G190" t="inlineStr">
        <is>
          <t>1</t>
        </is>
      </c>
      <c r="H190" t="inlineStr">
        <is>
          <t>No</t>
        </is>
      </c>
      <c r="I190" t="inlineStr">
        <is>
          <t>No</t>
        </is>
      </c>
      <c r="J190" t="inlineStr">
        <is>
          <t>0</t>
        </is>
      </c>
      <c r="K190" t="inlineStr">
        <is>
          <t>Huston, Ted L.</t>
        </is>
      </c>
      <c r="L190" t="inlineStr">
        <is>
          <t>New York : Academic Press, 1974.</t>
        </is>
      </c>
      <c r="M190" t="inlineStr">
        <is>
          <t>1974</t>
        </is>
      </c>
      <c r="O190" t="inlineStr">
        <is>
          <t>eng</t>
        </is>
      </c>
      <c r="P190" t="inlineStr">
        <is>
          <t>nyu</t>
        </is>
      </c>
      <c r="R190" t="inlineStr">
        <is>
          <t xml:space="preserve">HM </t>
        </is>
      </c>
      <c r="S190" t="n">
        <v>35</v>
      </c>
      <c r="T190" t="n">
        <v>35</v>
      </c>
      <c r="U190" t="inlineStr">
        <is>
          <t>2007-02-09</t>
        </is>
      </c>
      <c r="V190" t="inlineStr">
        <is>
          <t>2007-02-09</t>
        </is>
      </c>
      <c r="W190" t="inlineStr">
        <is>
          <t>1991-11-21</t>
        </is>
      </c>
      <c r="X190" t="inlineStr">
        <is>
          <t>1991-11-21</t>
        </is>
      </c>
      <c r="Y190" t="n">
        <v>589</v>
      </c>
      <c r="Z190" t="n">
        <v>425</v>
      </c>
      <c r="AA190" t="n">
        <v>463</v>
      </c>
      <c r="AB190" t="n">
        <v>5</v>
      </c>
      <c r="AC190" t="n">
        <v>5</v>
      </c>
      <c r="AD190" t="n">
        <v>31</v>
      </c>
      <c r="AE190" t="n">
        <v>31</v>
      </c>
      <c r="AF190" t="n">
        <v>11</v>
      </c>
      <c r="AG190" t="n">
        <v>11</v>
      </c>
      <c r="AH190" t="n">
        <v>9</v>
      </c>
      <c r="AI190" t="n">
        <v>9</v>
      </c>
      <c r="AJ190" t="n">
        <v>17</v>
      </c>
      <c r="AK190" t="n">
        <v>17</v>
      </c>
      <c r="AL190" t="n">
        <v>3</v>
      </c>
      <c r="AM190" t="n">
        <v>3</v>
      </c>
      <c r="AN190" t="n">
        <v>0</v>
      </c>
      <c r="AO190" t="n">
        <v>0</v>
      </c>
      <c r="AP190" t="inlineStr">
        <is>
          <t>No</t>
        </is>
      </c>
      <c r="AQ190" t="inlineStr">
        <is>
          <t>Yes</t>
        </is>
      </c>
      <c r="AR190">
        <f>HYPERLINK("http://catalog.hathitrust.org/Record/000012474","HathiTrust Record")</f>
        <v/>
      </c>
      <c r="AS190">
        <f>HYPERLINK("https://creighton-primo.hosted.exlibrisgroup.com/primo-explore/search?tab=default_tab&amp;search_scope=EVERYTHING&amp;vid=01CRU&amp;lang=en_US&amp;offset=0&amp;query=any,contains,991003298339702656","Catalog Record")</f>
        <v/>
      </c>
      <c r="AT190">
        <f>HYPERLINK("http://www.worldcat.org/oclc/820999","WorldCat Record")</f>
        <v/>
      </c>
      <c r="AU190" t="inlineStr">
        <is>
          <t>1695140:eng</t>
        </is>
      </c>
      <c r="AV190" t="inlineStr">
        <is>
          <t>820999</t>
        </is>
      </c>
      <c r="AW190" t="inlineStr">
        <is>
          <t>991003298339702656</t>
        </is>
      </c>
      <c r="AX190" t="inlineStr">
        <is>
          <t>991003298339702656</t>
        </is>
      </c>
      <c r="AY190" t="inlineStr">
        <is>
          <t>2259279960002656</t>
        </is>
      </c>
      <c r="AZ190" t="inlineStr">
        <is>
          <t>BOOK</t>
        </is>
      </c>
      <c r="BB190" t="inlineStr">
        <is>
          <t>9780123629500</t>
        </is>
      </c>
      <c r="BC190" t="inlineStr">
        <is>
          <t>32285000843747</t>
        </is>
      </c>
      <c r="BD190" t="inlineStr">
        <is>
          <t>893518349</t>
        </is>
      </c>
    </row>
    <row r="191">
      <c r="A191" t="inlineStr">
        <is>
          <t>No</t>
        </is>
      </c>
      <c r="B191" t="inlineStr">
        <is>
          <t>HM132 .J638 1987</t>
        </is>
      </c>
      <c r="C191" t="inlineStr">
        <is>
          <t>0                      HM 0132000J  638         1987</t>
        </is>
      </c>
      <c r="D191" t="inlineStr">
        <is>
          <t>Human relations and your career : a guide to interpersonal skills / David W. Johnson.</t>
        </is>
      </c>
      <c r="F191" t="inlineStr">
        <is>
          <t>No</t>
        </is>
      </c>
      <c r="G191" t="inlineStr">
        <is>
          <t>1</t>
        </is>
      </c>
      <c r="H191" t="inlineStr">
        <is>
          <t>No</t>
        </is>
      </c>
      <c r="I191" t="inlineStr">
        <is>
          <t>No</t>
        </is>
      </c>
      <c r="J191" t="inlineStr">
        <is>
          <t>0</t>
        </is>
      </c>
      <c r="K191" t="inlineStr">
        <is>
          <t>Johnson, David W., 1940-</t>
        </is>
      </c>
      <c r="L191" t="inlineStr">
        <is>
          <t>Englewood Cliffs, N.J. : Prentice-Hall, c1987.</t>
        </is>
      </c>
      <c r="M191" t="inlineStr">
        <is>
          <t>1987</t>
        </is>
      </c>
      <c r="N191" t="inlineStr">
        <is>
          <t>2nd ed.</t>
        </is>
      </c>
      <c r="O191" t="inlineStr">
        <is>
          <t>eng</t>
        </is>
      </c>
      <c r="P191" t="inlineStr">
        <is>
          <t>nju</t>
        </is>
      </c>
      <c r="R191" t="inlineStr">
        <is>
          <t xml:space="preserve">HM </t>
        </is>
      </c>
      <c r="S191" t="n">
        <v>7</v>
      </c>
      <c r="T191" t="n">
        <v>7</v>
      </c>
      <c r="U191" t="inlineStr">
        <is>
          <t>2005-10-27</t>
        </is>
      </c>
      <c r="V191" t="inlineStr">
        <is>
          <t>2005-10-27</t>
        </is>
      </c>
      <c r="W191" t="inlineStr">
        <is>
          <t>1992-08-25</t>
        </is>
      </c>
      <c r="X191" t="inlineStr">
        <is>
          <t>1992-08-25</t>
        </is>
      </c>
      <c r="Y191" t="n">
        <v>129</v>
      </c>
      <c r="Z191" t="n">
        <v>91</v>
      </c>
      <c r="AA191" t="n">
        <v>285</v>
      </c>
      <c r="AB191" t="n">
        <v>1</v>
      </c>
      <c r="AC191" t="n">
        <v>2</v>
      </c>
      <c r="AD191" t="n">
        <v>1</v>
      </c>
      <c r="AE191" t="n">
        <v>8</v>
      </c>
      <c r="AF191" t="n">
        <v>1</v>
      </c>
      <c r="AG191" t="n">
        <v>4</v>
      </c>
      <c r="AH191" t="n">
        <v>0</v>
      </c>
      <c r="AI191" t="n">
        <v>0</v>
      </c>
      <c r="AJ191" t="n">
        <v>0</v>
      </c>
      <c r="AK191" t="n">
        <v>5</v>
      </c>
      <c r="AL191" t="n">
        <v>0</v>
      </c>
      <c r="AM191" t="n">
        <v>1</v>
      </c>
      <c r="AN191" t="n">
        <v>0</v>
      </c>
      <c r="AO191" t="n">
        <v>0</v>
      </c>
      <c r="AP191" t="inlineStr">
        <is>
          <t>No</t>
        </is>
      </c>
      <c r="AQ191" t="inlineStr">
        <is>
          <t>Yes</t>
        </is>
      </c>
      <c r="AR191">
        <f>HYPERLINK("http://catalog.hathitrust.org/Record/102434563","HathiTrust Record")</f>
        <v/>
      </c>
      <c r="AS191">
        <f>HYPERLINK("https://creighton-primo.hosted.exlibrisgroup.com/primo-explore/search?tab=default_tab&amp;search_scope=EVERYTHING&amp;vid=01CRU&amp;lang=en_US&amp;offset=0&amp;query=any,contains,991000962369702656","Catalog Record")</f>
        <v/>
      </c>
      <c r="AT191">
        <f>HYPERLINK("http://www.worldcat.org/oclc/14819555","WorldCat Record")</f>
        <v/>
      </c>
      <c r="AU191" t="inlineStr">
        <is>
          <t>8565965:eng</t>
        </is>
      </c>
      <c r="AV191" t="inlineStr">
        <is>
          <t>14819555</t>
        </is>
      </c>
      <c r="AW191" t="inlineStr">
        <is>
          <t>991000962369702656</t>
        </is>
      </c>
      <c r="AX191" t="inlineStr">
        <is>
          <t>991000962369702656</t>
        </is>
      </c>
      <c r="AY191" t="inlineStr">
        <is>
          <t>2260177960002656</t>
        </is>
      </c>
      <c r="AZ191" t="inlineStr">
        <is>
          <t>BOOK</t>
        </is>
      </c>
      <c r="BB191" t="inlineStr">
        <is>
          <t>9780134457437</t>
        </is>
      </c>
      <c r="BC191" t="inlineStr">
        <is>
          <t>32285001266344</t>
        </is>
      </c>
      <c r="BD191" t="inlineStr">
        <is>
          <t>893327750</t>
        </is>
      </c>
    </row>
    <row r="192">
      <c r="A192" t="inlineStr">
        <is>
          <t>No</t>
        </is>
      </c>
      <c r="B192" t="inlineStr">
        <is>
          <t>HM132 .K44</t>
        </is>
      </c>
      <c r="C192" t="inlineStr">
        <is>
          <t>0                      HM 0132000K  44</t>
        </is>
      </c>
      <c r="D192" t="inlineStr">
        <is>
          <t>Personal relationships : their structures and processes / Harold H. Kelley.</t>
        </is>
      </c>
      <c r="F192" t="inlineStr">
        <is>
          <t>No</t>
        </is>
      </c>
      <c r="G192" t="inlineStr">
        <is>
          <t>1</t>
        </is>
      </c>
      <c r="H192" t="inlineStr">
        <is>
          <t>No</t>
        </is>
      </c>
      <c r="I192" t="inlineStr">
        <is>
          <t>No</t>
        </is>
      </c>
      <c r="J192" t="inlineStr">
        <is>
          <t>0</t>
        </is>
      </c>
      <c r="K192" t="inlineStr">
        <is>
          <t>Kelley, Harold H.</t>
        </is>
      </c>
      <c r="L192" t="inlineStr">
        <is>
          <t>Hillsdale, N.J. : L. Erlbaum Associates ; New York : distributed by Halsted Press, 1979.</t>
        </is>
      </c>
      <c r="M192" t="inlineStr">
        <is>
          <t>1979</t>
        </is>
      </c>
      <c r="O192" t="inlineStr">
        <is>
          <t>eng</t>
        </is>
      </c>
      <c r="P192" t="inlineStr">
        <is>
          <t>nju</t>
        </is>
      </c>
      <c r="Q192" t="inlineStr">
        <is>
          <t>John M. MacEachran memorial lecture series ; 1978</t>
        </is>
      </c>
      <c r="R192" t="inlineStr">
        <is>
          <t xml:space="preserve">HM </t>
        </is>
      </c>
      <c r="S192" t="n">
        <v>9</v>
      </c>
      <c r="T192" t="n">
        <v>9</v>
      </c>
      <c r="U192" t="inlineStr">
        <is>
          <t>2007-12-19</t>
        </is>
      </c>
      <c r="V192" t="inlineStr">
        <is>
          <t>2007-12-19</t>
        </is>
      </c>
      <c r="W192" t="inlineStr">
        <is>
          <t>1992-04-14</t>
        </is>
      </c>
      <c r="X192" t="inlineStr">
        <is>
          <t>1992-04-14</t>
        </is>
      </c>
      <c r="Y192" t="n">
        <v>553</v>
      </c>
      <c r="Z192" t="n">
        <v>444</v>
      </c>
      <c r="AA192" t="n">
        <v>469</v>
      </c>
      <c r="AB192" t="n">
        <v>3</v>
      </c>
      <c r="AC192" t="n">
        <v>3</v>
      </c>
      <c r="AD192" t="n">
        <v>24</v>
      </c>
      <c r="AE192" t="n">
        <v>24</v>
      </c>
      <c r="AF192" t="n">
        <v>11</v>
      </c>
      <c r="AG192" t="n">
        <v>11</v>
      </c>
      <c r="AH192" t="n">
        <v>5</v>
      </c>
      <c r="AI192" t="n">
        <v>5</v>
      </c>
      <c r="AJ192" t="n">
        <v>13</v>
      </c>
      <c r="AK192" t="n">
        <v>13</v>
      </c>
      <c r="AL192" t="n">
        <v>2</v>
      </c>
      <c r="AM192" t="n">
        <v>2</v>
      </c>
      <c r="AN192" t="n">
        <v>0</v>
      </c>
      <c r="AO192" t="n">
        <v>0</v>
      </c>
      <c r="AP192" t="inlineStr">
        <is>
          <t>No</t>
        </is>
      </c>
      <c r="AQ192" t="inlineStr">
        <is>
          <t>Yes</t>
        </is>
      </c>
      <c r="AR192">
        <f>HYPERLINK("http://catalog.hathitrust.org/Record/000742599","HathiTrust Record")</f>
        <v/>
      </c>
      <c r="AS192">
        <f>HYPERLINK("https://creighton-primo.hosted.exlibrisgroup.com/primo-explore/search?tab=default_tab&amp;search_scope=EVERYTHING&amp;vid=01CRU&amp;lang=en_US&amp;offset=0&amp;query=any,contains,991004729279702656","Catalog Record")</f>
        <v/>
      </c>
      <c r="AT192">
        <f>HYPERLINK("http://www.worldcat.org/oclc/4832555","WorldCat Record")</f>
        <v/>
      </c>
      <c r="AU192" t="inlineStr">
        <is>
          <t>257246488:eng</t>
        </is>
      </c>
      <c r="AV192" t="inlineStr">
        <is>
          <t>4832555</t>
        </is>
      </c>
      <c r="AW192" t="inlineStr">
        <is>
          <t>991004729279702656</t>
        </is>
      </c>
      <c r="AX192" t="inlineStr">
        <is>
          <t>991004729279702656</t>
        </is>
      </c>
      <c r="AY192" t="inlineStr">
        <is>
          <t>2268634080002656</t>
        </is>
      </c>
      <c r="AZ192" t="inlineStr">
        <is>
          <t>BOOK</t>
        </is>
      </c>
      <c r="BB192" t="inlineStr">
        <is>
          <t>9780470267301</t>
        </is>
      </c>
      <c r="BC192" t="inlineStr">
        <is>
          <t>32285001068104</t>
        </is>
      </c>
      <c r="BD192" t="inlineStr">
        <is>
          <t>893594021</t>
        </is>
      </c>
    </row>
    <row r="193">
      <c r="A193" t="inlineStr">
        <is>
          <t>No</t>
        </is>
      </c>
      <c r="B193" t="inlineStr">
        <is>
          <t>HM132 .K72 1992</t>
        </is>
      </c>
      <c r="C193" t="inlineStr">
        <is>
          <t>0                      HM 0132000K  72          1992</t>
        </is>
      </c>
      <c r="D193" t="inlineStr">
        <is>
          <t>On relationship / J. Krishnamurti.</t>
        </is>
      </c>
      <c r="F193" t="inlineStr">
        <is>
          <t>No</t>
        </is>
      </c>
      <c r="G193" t="inlineStr">
        <is>
          <t>1</t>
        </is>
      </c>
      <c r="H193" t="inlineStr">
        <is>
          <t>No</t>
        </is>
      </c>
      <c r="I193" t="inlineStr">
        <is>
          <t>No</t>
        </is>
      </c>
      <c r="J193" t="inlineStr">
        <is>
          <t>0</t>
        </is>
      </c>
      <c r="K193" t="inlineStr">
        <is>
          <t>Krishnamurti, J. (Jiddu), 1895-1986.</t>
        </is>
      </c>
      <c r="L193" t="inlineStr">
        <is>
          <t>San Francisco : HarperSanFrancisco, 1992.</t>
        </is>
      </c>
      <c r="M193" t="inlineStr">
        <is>
          <t>1992</t>
        </is>
      </c>
      <c r="N193" t="inlineStr">
        <is>
          <t>1st ed.</t>
        </is>
      </c>
      <c r="O193" t="inlineStr">
        <is>
          <t>eng</t>
        </is>
      </c>
      <c r="P193" t="inlineStr">
        <is>
          <t>cau</t>
        </is>
      </c>
      <c r="R193" t="inlineStr">
        <is>
          <t xml:space="preserve">HM </t>
        </is>
      </c>
      <c r="S193" t="n">
        <v>11</v>
      </c>
      <c r="T193" t="n">
        <v>11</v>
      </c>
      <c r="U193" t="inlineStr">
        <is>
          <t>2003-06-22</t>
        </is>
      </c>
      <c r="V193" t="inlineStr">
        <is>
          <t>2003-06-22</t>
        </is>
      </c>
      <c r="W193" t="inlineStr">
        <is>
          <t>1992-12-02</t>
        </is>
      </c>
      <c r="X193" t="inlineStr">
        <is>
          <t>1992-12-02</t>
        </is>
      </c>
      <c r="Y193" t="n">
        <v>111</v>
      </c>
      <c r="Z193" t="n">
        <v>94</v>
      </c>
      <c r="AA193" t="n">
        <v>102</v>
      </c>
      <c r="AB193" t="n">
        <v>1</v>
      </c>
      <c r="AC193" t="n">
        <v>1</v>
      </c>
      <c r="AD193" t="n">
        <v>5</v>
      </c>
      <c r="AE193" t="n">
        <v>5</v>
      </c>
      <c r="AF193" t="n">
        <v>1</v>
      </c>
      <c r="AG193" t="n">
        <v>1</v>
      </c>
      <c r="AH193" t="n">
        <v>0</v>
      </c>
      <c r="AI193" t="n">
        <v>0</v>
      </c>
      <c r="AJ193" t="n">
        <v>4</v>
      </c>
      <c r="AK193" t="n">
        <v>4</v>
      </c>
      <c r="AL193" t="n">
        <v>0</v>
      </c>
      <c r="AM193" t="n">
        <v>0</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HYPERLINK("https://creighton-primo.hosted.exlibrisgroup.com/primo-explore/search?tab=default_tab&amp;search_scope=EVERYTHING&amp;vid=01CRU&amp;lang=en_US&amp;offset=0&amp;query=any,contains,991001984489702656","Catalog Record")</f>
        <v/>
      </c>
      <c r="AT193">
        <f>HYPERLINK("http://www.worldcat.org/oclc/25200933","WorldCat Record")</f>
        <v/>
      </c>
      <c r="AU193" t="inlineStr">
        <is>
          <t>1297492:eng</t>
        </is>
      </c>
      <c r="AV193" t="inlineStr">
        <is>
          <t>25200933</t>
        </is>
      </c>
      <c r="AW193" t="inlineStr">
        <is>
          <t>991001984489702656</t>
        </is>
      </c>
      <c r="AX193" t="inlineStr">
        <is>
          <t>991001984489702656</t>
        </is>
      </c>
      <c r="AY193" t="inlineStr">
        <is>
          <t>2265993510002656</t>
        </is>
      </c>
      <c r="AZ193" t="inlineStr">
        <is>
          <t>BOOK</t>
        </is>
      </c>
      <c r="BB193" t="inlineStr">
        <is>
          <t>9780062506085</t>
        </is>
      </c>
      <c r="BC193" t="inlineStr">
        <is>
          <t>32285001401123</t>
        </is>
      </c>
      <c r="BD193" t="inlineStr">
        <is>
          <t>893596903</t>
        </is>
      </c>
    </row>
    <row r="194">
      <c r="A194" t="inlineStr">
        <is>
          <t>No</t>
        </is>
      </c>
      <c r="B194" t="inlineStr">
        <is>
          <t>HM132 .L54</t>
        </is>
      </c>
      <c r="C194" t="inlineStr">
        <is>
          <t>0                      HM 0132000L  54</t>
        </is>
      </c>
      <c r="D194" t="inlineStr">
        <is>
          <t>Groups : facilitating individual growth and societal change / by Walter M. Lifton, and a specially prepared bibliography of references in group work, by David G. Zimpfer.</t>
        </is>
      </c>
      <c r="F194" t="inlineStr">
        <is>
          <t>No</t>
        </is>
      </c>
      <c r="G194" t="inlineStr">
        <is>
          <t>1</t>
        </is>
      </c>
      <c r="H194" t="inlineStr">
        <is>
          <t>No</t>
        </is>
      </c>
      <c r="I194" t="inlineStr">
        <is>
          <t>No</t>
        </is>
      </c>
      <c r="J194" t="inlineStr">
        <is>
          <t>0</t>
        </is>
      </c>
      <c r="K194" t="inlineStr">
        <is>
          <t>Lifton, Walter M., 1918-</t>
        </is>
      </c>
      <c r="L194" t="inlineStr">
        <is>
          <t>New York : Wiley, [1972]</t>
        </is>
      </c>
      <c r="M194" t="inlineStr">
        <is>
          <t>1972</t>
        </is>
      </c>
      <c r="O194" t="inlineStr">
        <is>
          <t>eng</t>
        </is>
      </c>
      <c r="P194" t="inlineStr">
        <is>
          <t>nyu</t>
        </is>
      </c>
      <c r="R194" t="inlineStr">
        <is>
          <t xml:space="preserve">HM </t>
        </is>
      </c>
      <c r="S194" t="n">
        <v>8</v>
      </c>
      <c r="T194" t="n">
        <v>8</v>
      </c>
      <c r="U194" t="inlineStr">
        <is>
          <t>1999-09-08</t>
        </is>
      </c>
      <c r="V194" t="inlineStr">
        <is>
          <t>1999-09-08</t>
        </is>
      </c>
      <c r="W194" t="inlineStr">
        <is>
          <t>1992-02-12</t>
        </is>
      </c>
      <c r="X194" t="inlineStr">
        <is>
          <t>1992-02-12</t>
        </is>
      </c>
      <c r="Y194" t="n">
        <v>506</v>
      </c>
      <c r="Z194" t="n">
        <v>385</v>
      </c>
      <c r="AA194" t="n">
        <v>392</v>
      </c>
      <c r="AB194" t="n">
        <v>5</v>
      </c>
      <c r="AC194" t="n">
        <v>5</v>
      </c>
      <c r="AD194" t="n">
        <v>23</v>
      </c>
      <c r="AE194" t="n">
        <v>23</v>
      </c>
      <c r="AF194" t="n">
        <v>9</v>
      </c>
      <c r="AG194" t="n">
        <v>9</v>
      </c>
      <c r="AH194" t="n">
        <v>4</v>
      </c>
      <c r="AI194" t="n">
        <v>4</v>
      </c>
      <c r="AJ194" t="n">
        <v>12</v>
      </c>
      <c r="AK194" t="n">
        <v>12</v>
      </c>
      <c r="AL194" t="n">
        <v>4</v>
      </c>
      <c r="AM194" t="n">
        <v>4</v>
      </c>
      <c r="AN194" t="n">
        <v>0</v>
      </c>
      <c r="AO194" t="n">
        <v>0</v>
      </c>
      <c r="AP194" t="inlineStr">
        <is>
          <t>No</t>
        </is>
      </c>
      <c r="AQ194" t="inlineStr">
        <is>
          <t>Yes</t>
        </is>
      </c>
      <c r="AR194">
        <f>HYPERLINK("http://catalog.hathitrust.org/Record/000003979","HathiTrust Record")</f>
        <v/>
      </c>
      <c r="AS194">
        <f>HYPERLINK("https://creighton-primo.hosted.exlibrisgroup.com/primo-explore/search?tab=default_tab&amp;search_scope=EVERYTHING&amp;vid=01CRU&amp;lang=en_US&amp;offset=0&amp;query=any,contains,991002173129702656","Catalog Record")</f>
        <v/>
      </c>
      <c r="AT194">
        <f>HYPERLINK("http://www.worldcat.org/oclc/277360","WorldCat Record")</f>
        <v/>
      </c>
      <c r="AU194" t="inlineStr">
        <is>
          <t>1415659:eng</t>
        </is>
      </c>
      <c r="AV194" t="inlineStr">
        <is>
          <t>277360</t>
        </is>
      </c>
      <c r="AW194" t="inlineStr">
        <is>
          <t>991002173129702656</t>
        </is>
      </c>
      <c r="AX194" t="inlineStr">
        <is>
          <t>991002173129702656</t>
        </is>
      </c>
      <c r="AY194" t="inlineStr">
        <is>
          <t>2260369120002656</t>
        </is>
      </c>
      <c r="AZ194" t="inlineStr">
        <is>
          <t>BOOK</t>
        </is>
      </c>
      <c r="BB194" t="inlineStr">
        <is>
          <t>9780471534914</t>
        </is>
      </c>
      <c r="BC194" t="inlineStr">
        <is>
          <t>32285000956150</t>
        </is>
      </c>
      <c r="BD194" t="inlineStr">
        <is>
          <t>893335009</t>
        </is>
      </c>
    </row>
    <row r="195">
      <c r="A195" t="inlineStr">
        <is>
          <t>No</t>
        </is>
      </c>
      <c r="B195" t="inlineStr">
        <is>
          <t>HM132 .L63</t>
        </is>
      </c>
      <c r="C195" t="inlineStr">
        <is>
          <t>0                      HM 0132000L  63</t>
        </is>
      </c>
      <c r="D195" t="inlineStr">
        <is>
          <t>Doing social life : the qualitative study of human interaction in natural settings / John Lofland.</t>
        </is>
      </c>
      <c r="F195" t="inlineStr">
        <is>
          <t>No</t>
        </is>
      </c>
      <c r="G195" t="inlineStr">
        <is>
          <t>1</t>
        </is>
      </c>
      <c r="H195" t="inlineStr">
        <is>
          <t>No</t>
        </is>
      </c>
      <c r="I195" t="inlineStr">
        <is>
          <t>No</t>
        </is>
      </c>
      <c r="J195" t="inlineStr">
        <is>
          <t>0</t>
        </is>
      </c>
      <c r="K195" t="inlineStr">
        <is>
          <t>Lofland, John.</t>
        </is>
      </c>
      <c r="L195" t="inlineStr">
        <is>
          <t>New York : Wiley, c1976.</t>
        </is>
      </c>
      <c r="M195" t="inlineStr">
        <is>
          <t>1976</t>
        </is>
      </c>
      <c r="O195" t="inlineStr">
        <is>
          <t>eng</t>
        </is>
      </c>
      <c r="P195" t="inlineStr">
        <is>
          <t>nyu</t>
        </is>
      </c>
      <c r="R195" t="inlineStr">
        <is>
          <t xml:space="preserve">HM </t>
        </is>
      </c>
      <c r="S195" t="n">
        <v>1</v>
      </c>
      <c r="T195" t="n">
        <v>1</v>
      </c>
      <c r="U195" t="inlineStr">
        <is>
          <t>2001-03-16</t>
        </is>
      </c>
      <c r="V195" t="inlineStr">
        <is>
          <t>2001-03-16</t>
        </is>
      </c>
      <c r="W195" t="inlineStr">
        <is>
          <t>1997-07-29</t>
        </is>
      </c>
      <c r="X195" t="inlineStr">
        <is>
          <t>1997-07-29</t>
        </is>
      </c>
      <c r="Y195" t="n">
        <v>471</v>
      </c>
      <c r="Z195" t="n">
        <v>355</v>
      </c>
      <c r="AA195" t="n">
        <v>365</v>
      </c>
      <c r="AB195" t="n">
        <v>3</v>
      </c>
      <c r="AC195" t="n">
        <v>3</v>
      </c>
      <c r="AD195" t="n">
        <v>18</v>
      </c>
      <c r="AE195" t="n">
        <v>18</v>
      </c>
      <c r="AF195" t="n">
        <v>5</v>
      </c>
      <c r="AG195" t="n">
        <v>5</v>
      </c>
      <c r="AH195" t="n">
        <v>6</v>
      </c>
      <c r="AI195" t="n">
        <v>6</v>
      </c>
      <c r="AJ195" t="n">
        <v>10</v>
      </c>
      <c r="AK195" t="n">
        <v>10</v>
      </c>
      <c r="AL195" t="n">
        <v>2</v>
      </c>
      <c r="AM195" t="n">
        <v>2</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HYPERLINK("https://creighton-primo.hosted.exlibrisgroup.com/primo-explore/search?tab=default_tab&amp;search_scope=EVERYTHING&amp;vid=01CRU&amp;lang=en_US&amp;offset=0&amp;query=any,contains,991004092529702656","Catalog Record")</f>
        <v/>
      </c>
      <c r="AT195">
        <f>HYPERLINK("http://www.worldcat.org/oclc/2346656","WorldCat Record")</f>
        <v/>
      </c>
      <c r="AU195" t="inlineStr">
        <is>
          <t>890369094:eng</t>
        </is>
      </c>
      <c r="AV195" t="inlineStr">
        <is>
          <t>2346656</t>
        </is>
      </c>
      <c r="AW195" t="inlineStr">
        <is>
          <t>991004092529702656</t>
        </is>
      </c>
      <c r="AX195" t="inlineStr">
        <is>
          <t>991004092529702656</t>
        </is>
      </c>
      <c r="AY195" t="inlineStr">
        <is>
          <t>2260850970002656</t>
        </is>
      </c>
      <c r="AZ195" t="inlineStr">
        <is>
          <t>BOOK</t>
        </is>
      </c>
      <c r="BB195" t="inlineStr">
        <is>
          <t>9780471015635</t>
        </is>
      </c>
      <c r="BC195" t="inlineStr">
        <is>
          <t>32285003015889</t>
        </is>
      </c>
      <c r="BD195" t="inlineStr">
        <is>
          <t>893687358</t>
        </is>
      </c>
    </row>
    <row r="196">
      <c r="A196" t="inlineStr">
        <is>
          <t>No</t>
        </is>
      </c>
      <c r="B196" t="inlineStr">
        <is>
          <t>HM132 .M52</t>
        </is>
      </c>
      <c r="C196" t="inlineStr">
        <is>
          <t>0                      HM 0132000M  52</t>
        </is>
      </c>
      <c r="D196" t="inlineStr">
        <is>
          <t>Between people : a new analysis of interpersonal communication / Gerald R. Miller, Mark Steinberg.</t>
        </is>
      </c>
      <c r="F196" t="inlineStr">
        <is>
          <t>No</t>
        </is>
      </c>
      <c r="G196" t="inlineStr">
        <is>
          <t>1</t>
        </is>
      </c>
      <c r="H196" t="inlineStr">
        <is>
          <t>No</t>
        </is>
      </c>
      <c r="I196" t="inlineStr">
        <is>
          <t>No</t>
        </is>
      </c>
      <c r="J196" t="inlineStr">
        <is>
          <t>0</t>
        </is>
      </c>
      <c r="K196" t="inlineStr">
        <is>
          <t>Miller, Gerald R.</t>
        </is>
      </c>
      <c r="L196" t="inlineStr">
        <is>
          <t>Chicago : Science Research Associates, c1975.</t>
        </is>
      </c>
      <c r="M196" t="inlineStr">
        <is>
          <t>1975</t>
        </is>
      </c>
      <c r="O196" t="inlineStr">
        <is>
          <t>eng</t>
        </is>
      </c>
      <c r="P196" t="inlineStr">
        <is>
          <t>ilu</t>
        </is>
      </c>
      <c r="R196" t="inlineStr">
        <is>
          <t xml:space="preserve">HM </t>
        </is>
      </c>
      <c r="S196" t="n">
        <v>11</v>
      </c>
      <c r="T196" t="n">
        <v>11</v>
      </c>
      <c r="U196" t="inlineStr">
        <is>
          <t>2007-09-06</t>
        </is>
      </c>
      <c r="V196" t="inlineStr">
        <is>
          <t>2007-09-06</t>
        </is>
      </c>
      <c r="W196" t="inlineStr">
        <is>
          <t>1991-12-10</t>
        </is>
      </c>
      <c r="X196" t="inlineStr">
        <is>
          <t>1991-12-10</t>
        </is>
      </c>
      <c r="Y196" t="n">
        <v>320</v>
      </c>
      <c r="Z196" t="n">
        <v>241</v>
      </c>
      <c r="AA196" t="n">
        <v>242</v>
      </c>
      <c r="AB196" t="n">
        <v>3</v>
      </c>
      <c r="AC196" t="n">
        <v>3</v>
      </c>
      <c r="AD196" t="n">
        <v>12</v>
      </c>
      <c r="AE196" t="n">
        <v>12</v>
      </c>
      <c r="AF196" t="n">
        <v>5</v>
      </c>
      <c r="AG196" t="n">
        <v>5</v>
      </c>
      <c r="AH196" t="n">
        <v>1</v>
      </c>
      <c r="AI196" t="n">
        <v>1</v>
      </c>
      <c r="AJ196" t="n">
        <v>5</v>
      </c>
      <c r="AK196" t="n">
        <v>5</v>
      </c>
      <c r="AL196" t="n">
        <v>2</v>
      </c>
      <c r="AM196" t="n">
        <v>2</v>
      </c>
      <c r="AN196" t="n">
        <v>0</v>
      </c>
      <c r="AO196" t="n">
        <v>0</v>
      </c>
      <c r="AP196" t="inlineStr">
        <is>
          <t>No</t>
        </is>
      </c>
      <c r="AQ196" t="inlineStr">
        <is>
          <t>Yes</t>
        </is>
      </c>
      <c r="AR196">
        <f>HYPERLINK("http://catalog.hathitrust.org/Record/000195048","HathiTrust Record")</f>
        <v/>
      </c>
      <c r="AS196">
        <f>HYPERLINK("https://creighton-primo.hosted.exlibrisgroup.com/primo-explore/search?tab=default_tab&amp;search_scope=EVERYTHING&amp;vid=01CRU&amp;lang=en_US&amp;offset=0&amp;query=any,contains,991003763439702656","Catalog Record")</f>
        <v/>
      </c>
      <c r="AT196">
        <f>HYPERLINK("http://www.worldcat.org/oclc/1453750","WorldCat Record")</f>
        <v/>
      </c>
      <c r="AU196" t="inlineStr">
        <is>
          <t>2299552:eng</t>
        </is>
      </c>
      <c r="AV196" t="inlineStr">
        <is>
          <t>1453750</t>
        </is>
      </c>
      <c r="AW196" t="inlineStr">
        <is>
          <t>991003763439702656</t>
        </is>
      </c>
      <c r="AX196" t="inlineStr">
        <is>
          <t>991003763439702656</t>
        </is>
      </c>
      <c r="AY196" t="inlineStr">
        <is>
          <t>2259565240002656</t>
        </is>
      </c>
      <c r="AZ196" t="inlineStr">
        <is>
          <t>BOOK</t>
        </is>
      </c>
      <c r="BB196" t="inlineStr">
        <is>
          <t>9780574175014</t>
        </is>
      </c>
      <c r="BC196" t="inlineStr">
        <is>
          <t>32285000839125</t>
        </is>
      </c>
      <c r="BD196" t="inlineStr">
        <is>
          <t>893512341</t>
        </is>
      </c>
    </row>
    <row r="197">
      <c r="A197" t="inlineStr">
        <is>
          <t>No</t>
        </is>
      </c>
      <c r="B197" t="inlineStr">
        <is>
          <t>HM132 .M524 1989</t>
        </is>
      </c>
      <c r="C197" t="inlineStr">
        <is>
          <t>0                      HM 0132000M  524         1989</t>
        </is>
      </c>
      <c r="D197" t="inlineStr">
        <is>
          <t>Addictive relationships : reclaiming your boundaries / Joy Erlichman Miller.</t>
        </is>
      </c>
      <c r="F197" t="inlineStr">
        <is>
          <t>No</t>
        </is>
      </c>
      <c r="G197" t="inlineStr">
        <is>
          <t>1</t>
        </is>
      </c>
      <c r="H197" t="inlineStr">
        <is>
          <t>No</t>
        </is>
      </c>
      <c r="I197" t="inlineStr">
        <is>
          <t>No</t>
        </is>
      </c>
      <c r="J197" t="inlineStr">
        <is>
          <t>0</t>
        </is>
      </c>
      <c r="K197" t="inlineStr">
        <is>
          <t>Miller, Joy Erlichman, 1950-</t>
        </is>
      </c>
      <c r="L197" t="inlineStr">
        <is>
          <t>Deerfield Beach, Fla. : Health Communications, Inc., c1989.</t>
        </is>
      </c>
      <c r="M197" t="inlineStr">
        <is>
          <t>1989</t>
        </is>
      </c>
      <c r="O197" t="inlineStr">
        <is>
          <t>eng</t>
        </is>
      </c>
      <c r="P197" t="inlineStr">
        <is>
          <t>flu</t>
        </is>
      </c>
      <c r="R197" t="inlineStr">
        <is>
          <t xml:space="preserve">HM </t>
        </is>
      </c>
      <c r="S197" t="n">
        <v>1</v>
      </c>
      <c r="T197" t="n">
        <v>1</v>
      </c>
      <c r="U197" t="inlineStr">
        <is>
          <t>2002-11-14</t>
        </is>
      </c>
      <c r="V197" t="inlineStr">
        <is>
          <t>2002-11-14</t>
        </is>
      </c>
      <c r="W197" t="inlineStr">
        <is>
          <t>2002-11-14</t>
        </is>
      </c>
      <c r="X197" t="inlineStr">
        <is>
          <t>2002-11-14</t>
        </is>
      </c>
      <c r="Y197" t="n">
        <v>206</v>
      </c>
      <c r="Z197" t="n">
        <v>189</v>
      </c>
      <c r="AA197" t="n">
        <v>194</v>
      </c>
      <c r="AB197" t="n">
        <v>3</v>
      </c>
      <c r="AC197" t="n">
        <v>3</v>
      </c>
      <c r="AD197" t="n">
        <v>1</v>
      </c>
      <c r="AE197" t="n">
        <v>1</v>
      </c>
      <c r="AF197" t="n">
        <v>1</v>
      </c>
      <c r="AG197" t="n">
        <v>1</v>
      </c>
      <c r="AH197" t="n">
        <v>0</v>
      </c>
      <c r="AI197" t="n">
        <v>0</v>
      </c>
      <c r="AJ197" t="n">
        <v>0</v>
      </c>
      <c r="AK197" t="n">
        <v>0</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HYPERLINK("https://creighton-primo.hosted.exlibrisgroup.com/primo-explore/search?tab=default_tab&amp;search_scope=EVERYTHING&amp;vid=01CRU&amp;lang=en_US&amp;offset=0&amp;query=any,contains,991003931259702656","Catalog Record")</f>
        <v/>
      </c>
      <c r="AT197">
        <f>HYPERLINK("http://www.worldcat.org/oclc/18410939","WorldCat Record")</f>
        <v/>
      </c>
      <c r="AU197" t="inlineStr">
        <is>
          <t>796258433:eng</t>
        </is>
      </c>
      <c r="AV197" t="inlineStr">
        <is>
          <t>18410939</t>
        </is>
      </c>
      <c r="AW197" t="inlineStr">
        <is>
          <t>991003931259702656</t>
        </is>
      </c>
      <c r="AX197" t="inlineStr">
        <is>
          <t>991003931259702656</t>
        </is>
      </c>
      <c r="AY197" t="inlineStr">
        <is>
          <t>2270888400002656</t>
        </is>
      </c>
      <c r="AZ197" t="inlineStr">
        <is>
          <t>BOOK</t>
        </is>
      </c>
      <c r="BB197" t="inlineStr">
        <is>
          <t>9781558740037</t>
        </is>
      </c>
      <c r="BC197" t="inlineStr">
        <is>
          <t>32285004663844</t>
        </is>
      </c>
      <c r="BD197" t="inlineStr">
        <is>
          <t>893525436</t>
        </is>
      </c>
    </row>
    <row r="198">
      <c r="A198" t="inlineStr">
        <is>
          <t>No</t>
        </is>
      </c>
      <c r="B198" t="inlineStr">
        <is>
          <t>HM132 .N475</t>
        </is>
      </c>
      <c r="C198" t="inlineStr">
        <is>
          <t>0                      HM 0132000N  475</t>
        </is>
      </c>
      <c r="D198" t="inlineStr">
        <is>
          <t>New directions in attribution research / edited by John H. Harvey, William John Ickes, Robert F. Kidd.</t>
        </is>
      </c>
      <c r="E198" t="inlineStr">
        <is>
          <t>V.2</t>
        </is>
      </c>
      <c r="F198" t="inlineStr">
        <is>
          <t>Yes</t>
        </is>
      </c>
      <c r="G198" t="inlineStr">
        <is>
          <t>1</t>
        </is>
      </c>
      <c r="H198" t="inlineStr">
        <is>
          <t>No</t>
        </is>
      </c>
      <c r="I198" t="inlineStr">
        <is>
          <t>No</t>
        </is>
      </c>
      <c r="J198" t="inlineStr">
        <is>
          <t>0</t>
        </is>
      </c>
      <c r="L198" t="inlineStr">
        <is>
          <t>Hillsdale, N.J. : L. Erlbaum Associates ; New York : distributed by the Halsted Press Division of Wiley, 1976-1978.</t>
        </is>
      </c>
      <c r="M198" t="inlineStr">
        <is>
          <t>1976</t>
        </is>
      </c>
      <c r="O198" t="inlineStr">
        <is>
          <t>eng</t>
        </is>
      </c>
      <c r="P198" t="inlineStr">
        <is>
          <t>nju</t>
        </is>
      </c>
      <c r="R198" t="inlineStr">
        <is>
          <t xml:space="preserve">HM </t>
        </is>
      </c>
      <c r="S198" t="n">
        <v>2</v>
      </c>
      <c r="T198" t="n">
        <v>3</v>
      </c>
      <c r="U198" t="inlineStr">
        <is>
          <t>1996-01-29</t>
        </is>
      </c>
      <c r="V198" t="inlineStr">
        <is>
          <t>1996-01-29</t>
        </is>
      </c>
      <c r="W198" t="inlineStr">
        <is>
          <t>1992-08-25</t>
        </is>
      </c>
      <c r="X198" t="inlineStr">
        <is>
          <t>1992-08-25</t>
        </is>
      </c>
      <c r="Y198" t="n">
        <v>595</v>
      </c>
      <c r="Z198" t="n">
        <v>491</v>
      </c>
      <c r="AA198" t="n">
        <v>499</v>
      </c>
      <c r="AB198" t="n">
        <v>4</v>
      </c>
      <c r="AC198" t="n">
        <v>4</v>
      </c>
      <c r="AD198" t="n">
        <v>28</v>
      </c>
      <c r="AE198" t="n">
        <v>29</v>
      </c>
      <c r="AF198" t="n">
        <v>14</v>
      </c>
      <c r="AG198" t="n">
        <v>14</v>
      </c>
      <c r="AH198" t="n">
        <v>5</v>
      </c>
      <c r="AI198" t="n">
        <v>6</v>
      </c>
      <c r="AJ198" t="n">
        <v>16</v>
      </c>
      <c r="AK198" t="n">
        <v>16</v>
      </c>
      <c r="AL198" t="n">
        <v>2</v>
      </c>
      <c r="AM198" t="n">
        <v>2</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HYPERLINK("https://creighton-primo.hosted.exlibrisgroup.com/primo-explore/search?tab=default_tab&amp;search_scope=EVERYTHING&amp;vid=01CRU&amp;lang=en_US&amp;offset=0&amp;query=any,contains,991004133809702656","Catalog Record")</f>
        <v/>
      </c>
      <c r="AT198">
        <f>HYPERLINK("http://www.worldcat.org/oclc/2479909","WorldCat Record")</f>
        <v/>
      </c>
      <c r="AU198" t="inlineStr">
        <is>
          <t>9370104620:eng</t>
        </is>
      </c>
      <c r="AV198" t="inlineStr">
        <is>
          <t>2479909</t>
        </is>
      </c>
      <c r="AW198" t="inlineStr">
        <is>
          <t>991004133809702656</t>
        </is>
      </c>
      <c r="AX198" t="inlineStr">
        <is>
          <t>991004133809702656</t>
        </is>
      </c>
      <c r="AY198" t="inlineStr">
        <is>
          <t>2267157760002656</t>
        </is>
      </c>
      <c r="AZ198" t="inlineStr">
        <is>
          <t>BOOK</t>
        </is>
      </c>
      <c r="BB198" t="inlineStr">
        <is>
          <t>9780470989104</t>
        </is>
      </c>
      <c r="BC198" t="inlineStr">
        <is>
          <t>32285001266401</t>
        </is>
      </c>
      <c r="BD198" t="inlineStr">
        <is>
          <t>893429695</t>
        </is>
      </c>
    </row>
    <row r="199">
      <c r="A199" t="inlineStr">
        <is>
          <t>No</t>
        </is>
      </c>
      <c r="B199" t="inlineStr">
        <is>
          <t>HM132 .N475</t>
        </is>
      </c>
      <c r="C199" t="inlineStr">
        <is>
          <t>0                      HM 0132000N  475</t>
        </is>
      </c>
      <c r="D199" t="inlineStr">
        <is>
          <t>New directions in attribution research / edited by John H. Harvey, William John Ickes, Robert F. Kidd.</t>
        </is>
      </c>
      <c r="E199" t="inlineStr">
        <is>
          <t>V.3</t>
        </is>
      </c>
      <c r="F199" t="inlineStr">
        <is>
          <t>Yes</t>
        </is>
      </c>
      <c r="G199" t="inlineStr">
        <is>
          <t>1</t>
        </is>
      </c>
      <c r="H199" t="inlineStr">
        <is>
          <t>No</t>
        </is>
      </c>
      <c r="I199" t="inlineStr">
        <is>
          <t>No</t>
        </is>
      </c>
      <c r="J199" t="inlineStr">
        <is>
          <t>0</t>
        </is>
      </c>
      <c r="L199" t="inlineStr">
        <is>
          <t>Hillsdale, N.J. : L. Erlbaum Associates ; New York : distributed by the Halsted Press Division of Wiley, 1976-1978.</t>
        </is>
      </c>
      <c r="M199" t="inlineStr">
        <is>
          <t>1976</t>
        </is>
      </c>
      <c r="O199" t="inlineStr">
        <is>
          <t>eng</t>
        </is>
      </c>
      <c r="P199" t="inlineStr">
        <is>
          <t>nju</t>
        </is>
      </c>
      <c r="R199" t="inlineStr">
        <is>
          <t xml:space="preserve">HM </t>
        </is>
      </c>
      <c r="S199" t="n">
        <v>1</v>
      </c>
      <c r="T199" t="n">
        <v>3</v>
      </c>
      <c r="V199" t="inlineStr">
        <is>
          <t>1996-01-29</t>
        </is>
      </c>
      <c r="W199" t="inlineStr">
        <is>
          <t>1992-08-25</t>
        </is>
      </c>
      <c r="X199" t="inlineStr">
        <is>
          <t>1992-08-25</t>
        </is>
      </c>
      <c r="Y199" t="n">
        <v>595</v>
      </c>
      <c r="Z199" t="n">
        <v>491</v>
      </c>
      <c r="AA199" t="n">
        <v>499</v>
      </c>
      <c r="AB199" t="n">
        <v>4</v>
      </c>
      <c r="AC199" t="n">
        <v>4</v>
      </c>
      <c r="AD199" t="n">
        <v>28</v>
      </c>
      <c r="AE199" t="n">
        <v>29</v>
      </c>
      <c r="AF199" t="n">
        <v>14</v>
      </c>
      <c r="AG199" t="n">
        <v>14</v>
      </c>
      <c r="AH199" t="n">
        <v>5</v>
      </c>
      <c r="AI199" t="n">
        <v>6</v>
      </c>
      <c r="AJ199" t="n">
        <v>16</v>
      </c>
      <c r="AK199" t="n">
        <v>16</v>
      </c>
      <c r="AL199" t="n">
        <v>2</v>
      </c>
      <c r="AM199" t="n">
        <v>2</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HYPERLINK("https://creighton-primo.hosted.exlibrisgroup.com/primo-explore/search?tab=default_tab&amp;search_scope=EVERYTHING&amp;vid=01CRU&amp;lang=en_US&amp;offset=0&amp;query=any,contains,991004133809702656","Catalog Record")</f>
        <v/>
      </c>
      <c r="AT199">
        <f>HYPERLINK("http://www.worldcat.org/oclc/2479909","WorldCat Record")</f>
        <v/>
      </c>
      <c r="AU199" t="inlineStr">
        <is>
          <t>9370104620:eng</t>
        </is>
      </c>
      <c r="AV199" t="inlineStr">
        <is>
          <t>2479909</t>
        </is>
      </c>
      <c r="AW199" t="inlineStr">
        <is>
          <t>991004133809702656</t>
        </is>
      </c>
      <c r="AX199" t="inlineStr">
        <is>
          <t>991004133809702656</t>
        </is>
      </c>
      <c r="AY199" t="inlineStr">
        <is>
          <t>2267157760002656</t>
        </is>
      </c>
      <c r="AZ199" t="inlineStr">
        <is>
          <t>BOOK</t>
        </is>
      </c>
      <c r="BB199" t="inlineStr">
        <is>
          <t>9780470989104</t>
        </is>
      </c>
      <c r="BC199" t="inlineStr">
        <is>
          <t>32285001266419</t>
        </is>
      </c>
      <c r="BD199" t="inlineStr">
        <is>
          <t>893411159</t>
        </is>
      </c>
    </row>
    <row r="200">
      <c r="A200" t="inlineStr">
        <is>
          <t>No</t>
        </is>
      </c>
      <c r="B200" t="inlineStr">
        <is>
          <t>HM132 .N475</t>
        </is>
      </c>
      <c r="C200" t="inlineStr">
        <is>
          <t>0                      HM 0132000N  475</t>
        </is>
      </c>
      <c r="D200" t="inlineStr">
        <is>
          <t>New directions in attribution research / edited by John H. Harvey, William John Ickes, Robert F. Kidd.</t>
        </is>
      </c>
      <c r="E200" t="inlineStr">
        <is>
          <t>V.1</t>
        </is>
      </c>
      <c r="F200" t="inlineStr">
        <is>
          <t>Yes</t>
        </is>
      </c>
      <c r="G200" t="inlineStr">
        <is>
          <t>1</t>
        </is>
      </c>
      <c r="H200" t="inlineStr">
        <is>
          <t>No</t>
        </is>
      </c>
      <c r="I200" t="inlineStr">
        <is>
          <t>No</t>
        </is>
      </c>
      <c r="J200" t="inlineStr">
        <is>
          <t>0</t>
        </is>
      </c>
      <c r="L200" t="inlineStr">
        <is>
          <t>Hillsdale, N.J. : L. Erlbaum Associates ; New York : distributed by the Halsted Press Division of Wiley, 1976-1978.</t>
        </is>
      </c>
      <c r="M200" t="inlineStr">
        <is>
          <t>1976</t>
        </is>
      </c>
      <c r="O200" t="inlineStr">
        <is>
          <t>eng</t>
        </is>
      </c>
      <c r="P200" t="inlineStr">
        <is>
          <t>nju</t>
        </is>
      </c>
      <c r="R200" t="inlineStr">
        <is>
          <t xml:space="preserve">HM </t>
        </is>
      </c>
      <c r="S200" t="n">
        <v>0</v>
      </c>
      <c r="T200" t="n">
        <v>3</v>
      </c>
      <c r="V200" t="inlineStr">
        <is>
          <t>1996-01-29</t>
        </is>
      </c>
      <c r="W200" t="inlineStr">
        <is>
          <t>1992-08-25</t>
        </is>
      </c>
      <c r="X200" t="inlineStr">
        <is>
          <t>1992-08-25</t>
        </is>
      </c>
      <c r="Y200" t="n">
        <v>595</v>
      </c>
      <c r="Z200" t="n">
        <v>491</v>
      </c>
      <c r="AA200" t="n">
        <v>499</v>
      </c>
      <c r="AB200" t="n">
        <v>4</v>
      </c>
      <c r="AC200" t="n">
        <v>4</v>
      </c>
      <c r="AD200" t="n">
        <v>28</v>
      </c>
      <c r="AE200" t="n">
        <v>29</v>
      </c>
      <c r="AF200" t="n">
        <v>14</v>
      </c>
      <c r="AG200" t="n">
        <v>14</v>
      </c>
      <c r="AH200" t="n">
        <v>5</v>
      </c>
      <c r="AI200" t="n">
        <v>6</v>
      </c>
      <c r="AJ200" t="n">
        <v>16</v>
      </c>
      <c r="AK200" t="n">
        <v>16</v>
      </c>
      <c r="AL200" t="n">
        <v>2</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HYPERLINK("https://creighton-primo.hosted.exlibrisgroup.com/primo-explore/search?tab=default_tab&amp;search_scope=EVERYTHING&amp;vid=01CRU&amp;lang=en_US&amp;offset=0&amp;query=any,contains,991004133809702656","Catalog Record")</f>
        <v/>
      </c>
      <c r="AT200">
        <f>HYPERLINK("http://www.worldcat.org/oclc/2479909","WorldCat Record")</f>
        <v/>
      </c>
      <c r="AU200" t="inlineStr">
        <is>
          <t>9370104620:eng</t>
        </is>
      </c>
      <c r="AV200" t="inlineStr">
        <is>
          <t>2479909</t>
        </is>
      </c>
      <c r="AW200" t="inlineStr">
        <is>
          <t>991004133809702656</t>
        </is>
      </c>
      <c r="AX200" t="inlineStr">
        <is>
          <t>991004133809702656</t>
        </is>
      </c>
      <c r="AY200" t="inlineStr">
        <is>
          <t>2267157760002656</t>
        </is>
      </c>
      <c r="AZ200" t="inlineStr">
        <is>
          <t>BOOK</t>
        </is>
      </c>
      <c r="BB200" t="inlineStr">
        <is>
          <t>9780470989104</t>
        </is>
      </c>
      <c r="BC200" t="inlineStr">
        <is>
          <t>32285001266393</t>
        </is>
      </c>
      <c r="BD200" t="inlineStr">
        <is>
          <t>893429691</t>
        </is>
      </c>
    </row>
    <row r="201">
      <c r="A201" t="inlineStr">
        <is>
          <t>No</t>
        </is>
      </c>
      <c r="B201" t="inlineStr">
        <is>
          <t>HM132 .P369 1985</t>
        </is>
      </c>
      <c r="C201" t="inlineStr">
        <is>
          <t>0                      HM 0132000P  369         1985</t>
        </is>
      </c>
      <c r="D201" t="inlineStr">
        <is>
          <t>The physical attractiveness phenomena / Gordon L. Patzer.</t>
        </is>
      </c>
      <c r="F201" t="inlineStr">
        <is>
          <t>No</t>
        </is>
      </c>
      <c r="G201" t="inlineStr">
        <is>
          <t>1</t>
        </is>
      </c>
      <c r="H201" t="inlineStr">
        <is>
          <t>Yes</t>
        </is>
      </c>
      <c r="I201" t="inlineStr">
        <is>
          <t>No</t>
        </is>
      </c>
      <c r="J201" t="inlineStr">
        <is>
          <t>0</t>
        </is>
      </c>
      <c r="K201" t="inlineStr">
        <is>
          <t>Patzer, Gordon L.</t>
        </is>
      </c>
      <c r="L201" t="inlineStr">
        <is>
          <t>New York : Plenum Press, c1985.</t>
        </is>
      </c>
      <c r="M201" t="inlineStr">
        <is>
          <t>1985</t>
        </is>
      </c>
      <c r="O201" t="inlineStr">
        <is>
          <t>eng</t>
        </is>
      </c>
      <c r="P201" t="inlineStr">
        <is>
          <t>nyu</t>
        </is>
      </c>
      <c r="Q201" t="inlineStr">
        <is>
          <t>Perspectives in social psychology</t>
        </is>
      </c>
      <c r="R201" t="inlineStr">
        <is>
          <t xml:space="preserve">HM </t>
        </is>
      </c>
      <c r="S201" t="n">
        <v>31</v>
      </c>
      <c r="T201" t="n">
        <v>32</v>
      </c>
      <c r="U201" t="inlineStr">
        <is>
          <t>2007-02-09</t>
        </is>
      </c>
      <c r="V201" t="inlineStr">
        <is>
          <t>2007-02-09</t>
        </is>
      </c>
      <c r="W201" t="inlineStr">
        <is>
          <t>1991-12-09</t>
        </is>
      </c>
      <c r="X201" t="inlineStr">
        <is>
          <t>1991-12-09</t>
        </is>
      </c>
      <c r="Y201" t="n">
        <v>629</v>
      </c>
      <c r="Z201" t="n">
        <v>516</v>
      </c>
      <c r="AA201" t="n">
        <v>533</v>
      </c>
      <c r="AB201" t="n">
        <v>5</v>
      </c>
      <c r="AC201" t="n">
        <v>5</v>
      </c>
      <c r="AD201" t="n">
        <v>26</v>
      </c>
      <c r="AE201" t="n">
        <v>28</v>
      </c>
      <c r="AF201" t="n">
        <v>8</v>
      </c>
      <c r="AG201" t="n">
        <v>10</v>
      </c>
      <c r="AH201" t="n">
        <v>9</v>
      </c>
      <c r="AI201" t="n">
        <v>9</v>
      </c>
      <c r="AJ201" t="n">
        <v>14</v>
      </c>
      <c r="AK201" t="n">
        <v>15</v>
      </c>
      <c r="AL201" t="n">
        <v>3</v>
      </c>
      <c r="AM201" t="n">
        <v>3</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HYPERLINK("https://creighton-primo.hosted.exlibrisgroup.com/primo-explore/search?tab=default_tab&amp;search_scope=EVERYTHING&amp;vid=01CRU&amp;lang=en_US&amp;offset=0&amp;query=any,contains,991001765669702656","Catalog Record")</f>
        <v/>
      </c>
      <c r="AT201">
        <f>HYPERLINK("http://www.worldcat.org/oclc/11969867","WorldCat Record")</f>
        <v/>
      </c>
      <c r="AU201" t="inlineStr">
        <is>
          <t>4489821:eng</t>
        </is>
      </c>
      <c r="AV201" t="inlineStr">
        <is>
          <t>11969867</t>
        </is>
      </c>
      <c r="AW201" t="inlineStr">
        <is>
          <t>991001765669702656</t>
        </is>
      </c>
      <c r="AX201" t="inlineStr">
        <is>
          <t>991001765669702656</t>
        </is>
      </c>
      <c r="AY201" t="inlineStr">
        <is>
          <t>2260743730002656</t>
        </is>
      </c>
      <c r="AZ201" t="inlineStr">
        <is>
          <t>BOOK</t>
        </is>
      </c>
      <c r="BB201" t="inlineStr">
        <is>
          <t>9780306417832</t>
        </is>
      </c>
      <c r="BC201" t="inlineStr">
        <is>
          <t>32285000872902</t>
        </is>
      </c>
      <c r="BD201" t="inlineStr">
        <is>
          <t>893690892</t>
        </is>
      </c>
    </row>
    <row r="202">
      <c r="A202" t="inlineStr">
        <is>
          <t>No</t>
        </is>
      </c>
      <c r="B202" t="inlineStr">
        <is>
          <t>HM132 .P38 1975</t>
        </is>
      </c>
      <c r="C202" t="inlineStr">
        <is>
          <t>0                      HM 0132000P  38          1975</t>
        </is>
      </c>
      <c r="D202" t="inlineStr">
        <is>
          <t>Love and addiction / Stanton Peele with Archie Brodsky.</t>
        </is>
      </c>
      <c r="F202" t="inlineStr">
        <is>
          <t>No</t>
        </is>
      </c>
      <c r="G202" t="inlineStr">
        <is>
          <t>1</t>
        </is>
      </c>
      <c r="H202" t="inlineStr">
        <is>
          <t>No</t>
        </is>
      </c>
      <c r="I202" t="inlineStr">
        <is>
          <t>No</t>
        </is>
      </c>
      <c r="J202" t="inlineStr">
        <is>
          <t>0</t>
        </is>
      </c>
      <c r="K202" t="inlineStr">
        <is>
          <t>Peele, Stanton.</t>
        </is>
      </c>
      <c r="L202" t="inlineStr">
        <is>
          <t>New York : Taplinger Pub. Co., 1975.</t>
        </is>
      </c>
      <c r="M202" t="inlineStr">
        <is>
          <t>1975</t>
        </is>
      </c>
      <c r="N202" t="inlineStr">
        <is>
          <t>1st ed.</t>
        </is>
      </c>
      <c r="O202" t="inlineStr">
        <is>
          <t>eng</t>
        </is>
      </c>
      <c r="P202" t="inlineStr">
        <is>
          <t>nyu</t>
        </is>
      </c>
      <c r="R202" t="inlineStr">
        <is>
          <t xml:space="preserve">HM </t>
        </is>
      </c>
      <c r="S202" t="n">
        <v>7</v>
      </c>
      <c r="T202" t="n">
        <v>7</v>
      </c>
      <c r="U202" t="inlineStr">
        <is>
          <t>1998-11-02</t>
        </is>
      </c>
      <c r="V202" t="inlineStr">
        <is>
          <t>1998-11-02</t>
        </is>
      </c>
      <c r="W202" t="inlineStr">
        <is>
          <t>1996-10-28</t>
        </is>
      </c>
      <c r="X202" t="inlineStr">
        <is>
          <t>1996-10-28</t>
        </is>
      </c>
      <c r="Y202" t="n">
        <v>567</v>
      </c>
      <c r="Z202" t="n">
        <v>521</v>
      </c>
      <c r="AA202" t="n">
        <v>684</v>
      </c>
      <c r="AB202" t="n">
        <v>2</v>
      </c>
      <c r="AC202" t="n">
        <v>4</v>
      </c>
      <c r="AD202" t="n">
        <v>12</v>
      </c>
      <c r="AE202" t="n">
        <v>18</v>
      </c>
      <c r="AF202" t="n">
        <v>5</v>
      </c>
      <c r="AG202" t="n">
        <v>7</v>
      </c>
      <c r="AH202" t="n">
        <v>4</v>
      </c>
      <c r="AI202" t="n">
        <v>4</v>
      </c>
      <c r="AJ202" t="n">
        <v>6</v>
      </c>
      <c r="AK202" t="n">
        <v>10</v>
      </c>
      <c r="AL202" t="n">
        <v>0</v>
      </c>
      <c r="AM202" t="n">
        <v>1</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HYPERLINK("https://creighton-primo.hosted.exlibrisgroup.com/primo-explore/search?tab=default_tab&amp;search_scope=EVERYTHING&amp;vid=01CRU&amp;lang=en_US&amp;offset=0&amp;query=any,contains,991003718869702656","Catalog Record")</f>
        <v/>
      </c>
      <c r="AT202">
        <f>HYPERLINK("http://www.worldcat.org/oclc/1364738","WorldCat Record")</f>
        <v/>
      </c>
      <c r="AU202" t="inlineStr">
        <is>
          <t>449625:eng</t>
        </is>
      </c>
      <c r="AV202" t="inlineStr">
        <is>
          <t>1364738</t>
        </is>
      </c>
      <c r="AW202" t="inlineStr">
        <is>
          <t>991003718869702656</t>
        </is>
      </c>
      <c r="AX202" t="inlineStr">
        <is>
          <t>991003718869702656</t>
        </is>
      </c>
      <c r="AY202" t="inlineStr">
        <is>
          <t>2256999490002656</t>
        </is>
      </c>
      <c r="AZ202" t="inlineStr">
        <is>
          <t>BOOK</t>
        </is>
      </c>
      <c r="BB202" t="inlineStr">
        <is>
          <t>9780800850418</t>
        </is>
      </c>
      <c r="BC202" t="inlineStr">
        <is>
          <t>32285002390077</t>
        </is>
      </c>
      <c r="BD202" t="inlineStr">
        <is>
          <t>893258764</t>
        </is>
      </c>
    </row>
    <row r="203">
      <c r="A203" t="inlineStr">
        <is>
          <t>No</t>
        </is>
      </c>
      <c r="B203" t="inlineStr">
        <is>
          <t>HM132 .P395</t>
        </is>
      </c>
      <c r="C203" t="inlineStr">
        <is>
          <t>0                      HM 0132000P  395</t>
        </is>
      </c>
      <c r="D203" t="inlineStr">
        <is>
          <t>Perfecting social skills : a guide to interpersonal behavior development / [edited by] Richard M. Eisler and Lee W. Frederiksen.</t>
        </is>
      </c>
      <c r="F203" t="inlineStr">
        <is>
          <t>No</t>
        </is>
      </c>
      <c r="G203" t="inlineStr">
        <is>
          <t>1</t>
        </is>
      </c>
      <c r="H203" t="inlineStr">
        <is>
          <t>No</t>
        </is>
      </c>
      <c r="I203" t="inlineStr">
        <is>
          <t>No</t>
        </is>
      </c>
      <c r="J203" t="inlineStr">
        <is>
          <t>0</t>
        </is>
      </c>
      <c r="L203" t="inlineStr">
        <is>
          <t>New York : Plenum Press, c1980.</t>
        </is>
      </c>
      <c r="M203" t="inlineStr">
        <is>
          <t>1980</t>
        </is>
      </c>
      <c r="O203" t="inlineStr">
        <is>
          <t>eng</t>
        </is>
      </c>
      <c r="P203" t="inlineStr">
        <is>
          <t>nyu</t>
        </is>
      </c>
      <c r="Q203" t="inlineStr">
        <is>
          <t>Applied clinical psychology</t>
        </is>
      </c>
      <c r="R203" t="inlineStr">
        <is>
          <t xml:space="preserve">HM </t>
        </is>
      </c>
      <c r="S203" t="n">
        <v>7</v>
      </c>
      <c r="T203" t="n">
        <v>7</v>
      </c>
      <c r="U203" t="inlineStr">
        <is>
          <t>2008-02-19</t>
        </is>
      </c>
      <c r="V203" t="inlineStr">
        <is>
          <t>2008-02-19</t>
        </is>
      </c>
      <c r="W203" t="inlineStr">
        <is>
          <t>1992-07-16</t>
        </is>
      </c>
      <c r="X203" t="inlineStr">
        <is>
          <t>1992-07-16</t>
        </is>
      </c>
      <c r="Y203" t="n">
        <v>426</v>
      </c>
      <c r="Z203" t="n">
        <v>307</v>
      </c>
      <c r="AA203" t="n">
        <v>322</v>
      </c>
      <c r="AB203" t="n">
        <v>3</v>
      </c>
      <c r="AC203" t="n">
        <v>3</v>
      </c>
      <c r="AD203" t="n">
        <v>12</v>
      </c>
      <c r="AE203" t="n">
        <v>13</v>
      </c>
      <c r="AF203" t="n">
        <v>6</v>
      </c>
      <c r="AG203" t="n">
        <v>7</v>
      </c>
      <c r="AH203" t="n">
        <v>3</v>
      </c>
      <c r="AI203" t="n">
        <v>3</v>
      </c>
      <c r="AJ203" t="n">
        <v>4</v>
      </c>
      <c r="AK203" t="n">
        <v>4</v>
      </c>
      <c r="AL203" t="n">
        <v>2</v>
      </c>
      <c r="AM203" t="n">
        <v>2</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HYPERLINK("https://creighton-primo.hosted.exlibrisgroup.com/primo-explore/search?tab=default_tab&amp;search_scope=EVERYTHING&amp;vid=01CRU&amp;lang=en_US&amp;offset=0&amp;query=any,contains,991005021019702656","Catalog Record")</f>
        <v/>
      </c>
      <c r="AT203">
        <f>HYPERLINK("http://www.worldcat.org/oclc/6649650","WorldCat Record")</f>
        <v/>
      </c>
      <c r="AU203" t="inlineStr">
        <is>
          <t>836661907:eng</t>
        </is>
      </c>
      <c r="AV203" t="inlineStr">
        <is>
          <t>6649650</t>
        </is>
      </c>
      <c r="AW203" t="inlineStr">
        <is>
          <t>991005021019702656</t>
        </is>
      </c>
      <c r="AX203" t="inlineStr">
        <is>
          <t>991005021019702656</t>
        </is>
      </c>
      <c r="AY203" t="inlineStr">
        <is>
          <t>2265966510002656</t>
        </is>
      </c>
      <c r="AZ203" t="inlineStr">
        <is>
          <t>BOOK</t>
        </is>
      </c>
      <c r="BB203" t="inlineStr">
        <is>
          <t>9780306405921</t>
        </is>
      </c>
      <c r="BC203" t="inlineStr">
        <is>
          <t>32285001211027</t>
        </is>
      </c>
      <c r="BD203" t="inlineStr">
        <is>
          <t>893902002</t>
        </is>
      </c>
    </row>
    <row r="204">
      <c r="A204" t="inlineStr">
        <is>
          <t>No</t>
        </is>
      </c>
      <c r="B204" t="inlineStr">
        <is>
          <t>HM132 .P423 1989</t>
        </is>
      </c>
      <c r="C204" t="inlineStr">
        <is>
          <t>0                      HM 0132000P  423         1989</t>
        </is>
      </c>
      <c r="D204" t="inlineStr">
        <is>
          <t>Person to person / edited by George Graham and Hugh LaFollette.</t>
        </is>
      </c>
      <c r="F204" t="inlineStr">
        <is>
          <t>No</t>
        </is>
      </c>
      <c r="G204" t="inlineStr">
        <is>
          <t>1</t>
        </is>
      </c>
      <c r="H204" t="inlineStr">
        <is>
          <t>No</t>
        </is>
      </c>
      <c r="I204" t="inlineStr">
        <is>
          <t>No</t>
        </is>
      </c>
      <c r="J204" t="inlineStr">
        <is>
          <t>0</t>
        </is>
      </c>
      <c r="L204" t="inlineStr">
        <is>
          <t>Philadelphia : Temple University Press, 1989.</t>
        </is>
      </c>
      <c r="M204" t="inlineStr">
        <is>
          <t>1989</t>
        </is>
      </c>
      <c r="O204" t="inlineStr">
        <is>
          <t>eng</t>
        </is>
      </c>
      <c r="P204" t="inlineStr">
        <is>
          <t>pau</t>
        </is>
      </c>
      <c r="R204" t="inlineStr">
        <is>
          <t xml:space="preserve">HM </t>
        </is>
      </c>
      <c r="S204" t="n">
        <v>13</v>
      </c>
      <c r="T204" t="n">
        <v>13</v>
      </c>
      <c r="U204" t="inlineStr">
        <is>
          <t>2000-03-26</t>
        </is>
      </c>
      <c r="V204" t="inlineStr">
        <is>
          <t>2000-03-26</t>
        </is>
      </c>
      <c r="W204" t="inlineStr">
        <is>
          <t>1992-01-17</t>
        </is>
      </c>
      <c r="X204" t="inlineStr">
        <is>
          <t>1992-01-17</t>
        </is>
      </c>
      <c r="Y204" t="n">
        <v>302</v>
      </c>
      <c r="Z204" t="n">
        <v>258</v>
      </c>
      <c r="AA204" t="n">
        <v>263</v>
      </c>
      <c r="AB204" t="n">
        <v>2</v>
      </c>
      <c r="AC204" t="n">
        <v>2</v>
      </c>
      <c r="AD204" t="n">
        <v>16</v>
      </c>
      <c r="AE204" t="n">
        <v>16</v>
      </c>
      <c r="AF204" t="n">
        <v>3</v>
      </c>
      <c r="AG204" t="n">
        <v>3</v>
      </c>
      <c r="AH204" t="n">
        <v>5</v>
      </c>
      <c r="AI204" t="n">
        <v>5</v>
      </c>
      <c r="AJ204" t="n">
        <v>12</v>
      </c>
      <c r="AK204" t="n">
        <v>12</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HYPERLINK("https://creighton-primo.hosted.exlibrisgroup.com/primo-explore/search?tab=default_tab&amp;search_scope=EVERYTHING&amp;vid=01CRU&amp;lang=en_US&amp;offset=0&amp;query=any,contains,991001255389702656","Catalog Record")</f>
        <v/>
      </c>
      <c r="AT204">
        <f>HYPERLINK("http://www.worldcat.org/oclc/17731126","WorldCat Record")</f>
        <v/>
      </c>
      <c r="AU204" t="inlineStr">
        <is>
          <t>479464242:eng</t>
        </is>
      </c>
      <c r="AV204" t="inlineStr">
        <is>
          <t>17731126</t>
        </is>
      </c>
      <c r="AW204" t="inlineStr">
        <is>
          <t>991001255389702656</t>
        </is>
      </c>
      <c r="AX204" t="inlineStr">
        <is>
          <t>991001255389702656</t>
        </is>
      </c>
      <c r="AY204" t="inlineStr">
        <is>
          <t>2272237100002656</t>
        </is>
      </c>
      <c r="AZ204" t="inlineStr">
        <is>
          <t>BOOK</t>
        </is>
      </c>
      <c r="BB204" t="inlineStr">
        <is>
          <t>9780877225768</t>
        </is>
      </c>
      <c r="BC204" t="inlineStr">
        <is>
          <t>32285000915487</t>
        </is>
      </c>
      <c r="BD204" t="inlineStr">
        <is>
          <t>893346362</t>
        </is>
      </c>
    </row>
    <row r="205">
      <c r="A205" t="inlineStr">
        <is>
          <t>No</t>
        </is>
      </c>
      <c r="B205" t="inlineStr">
        <is>
          <t>HM132 .P428 1987</t>
        </is>
      </c>
      <c r="C205" t="inlineStr">
        <is>
          <t>0                      HM 0132000P  428         1987</t>
        </is>
      </c>
      <c r="D205" t="inlineStr">
        <is>
          <t>Personality and interpersonal communication / edited by James C. McCroskey and John A. Daly.</t>
        </is>
      </c>
      <c r="F205" t="inlineStr">
        <is>
          <t>No</t>
        </is>
      </c>
      <c r="G205" t="inlineStr">
        <is>
          <t>1</t>
        </is>
      </c>
      <c r="H205" t="inlineStr">
        <is>
          <t>No</t>
        </is>
      </c>
      <c r="I205" t="inlineStr">
        <is>
          <t>No</t>
        </is>
      </c>
      <c r="J205" t="inlineStr">
        <is>
          <t>0</t>
        </is>
      </c>
      <c r="L205" t="inlineStr">
        <is>
          <t>Beverly Hills, Calif. : Sage Publications, c1987.</t>
        </is>
      </c>
      <c r="M205" t="inlineStr">
        <is>
          <t>1986</t>
        </is>
      </c>
      <c r="O205" t="inlineStr">
        <is>
          <t>eng</t>
        </is>
      </c>
      <c r="P205" t="inlineStr">
        <is>
          <t>cau</t>
        </is>
      </c>
      <c r="Q205" t="inlineStr">
        <is>
          <t>Sage series in interpersonal communication ; v. 6</t>
        </is>
      </c>
      <c r="R205" t="inlineStr">
        <is>
          <t xml:space="preserve">HM </t>
        </is>
      </c>
      <c r="S205" t="n">
        <v>15</v>
      </c>
      <c r="T205" t="n">
        <v>15</v>
      </c>
      <c r="U205" t="inlineStr">
        <is>
          <t>2003-06-24</t>
        </is>
      </c>
      <c r="V205" t="inlineStr">
        <is>
          <t>2003-06-24</t>
        </is>
      </c>
      <c r="W205" t="inlineStr">
        <is>
          <t>1991-11-21</t>
        </is>
      </c>
      <c r="X205" t="inlineStr">
        <is>
          <t>1991-11-21</t>
        </is>
      </c>
      <c r="Y205" t="n">
        <v>414</v>
      </c>
      <c r="Z205" t="n">
        <v>321</v>
      </c>
      <c r="AA205" t="n">
        <v>330</v>
      </c>
      <c r="AB205" t="n">
        <v>6</v>
      </c>
      <c r="AC205" t="n">
        <v>6</v>
      </c>
      <c r="AD205" t="n">
        <v>24</v>
      </c>
      <c r="AE205" t="n">
        <v>24</v>
      </c>
      <c r="AF205" t="n">
        <v>10</v>
      </c>
      <c r="AG205" t="n">
        <v>10</v>
      </c>
      <c r="AH205" t="n">
        <v>3</v>
      </c>
      <c r="AI205" t="n">
        <v>3</v>
      </c>
      <c r="AJ205" t="n">
        <v>10</v>
      </c>
      <c r="AK205" t="n">
        <v>10</v>
      </c>
      <c r="AL205" t="n">
        <v>5</v>
      </c>
      <c r="AM205" t="n">
        <v>5</v>
      </c>
      <c r="AN205" t="n">
        <v>0</v>
      </c>
      <c r="AO205" t="n">
        <v>0</v>
      </c>
      <c r="AP205" t="inlineStr">
        <is>
          <t>No</t>
        </is>
      </c>
      <c r="AQ205" t="inlineStr">
        <is>
          <t>Yes</t>
        </is>
      </c>
      <c r="AR205">
        <f>HYPERLINK("http://catalog.hathitrust.org/Record/000833283","HathiTrust Record")</f>
        <v/>
      </c>
      <c r="AS205">
        <f>HYPERLINK("https://creighton-primo.hosted.exlibrisgroup.com/primo-explore/search?tab=default_tab&amp;search_scope=EVERYTHING&amp;vid=01CRU&amp;lang=en_US&amp;offset=0&amp;query=any,contains,991000826729702656","Catalog Record")</f>
        <v/>
      </c>
      <c r="AT205">
        <f>HYPERLINK("http://www.worldcat.org/oclc/13423863","WorldCat Record")</f>
        <v/>
      </c>
      <c r="AU205" t="inlineStr">
        <is>
          <t>431806382:eng</t>
        </is>
      </c>
      <c r="AV205" t="inlineStr">
        <is>
          <t>13423863</t>
        </is>
      </c>
      <c r="AW205" t="inlineStr">
        <is>
          <t>991000826729702656</t>
        </is>
      </c>
      <c r="AX205" t="inlineStr">
        <is>
          <t>991000826729702656</t>
        </is>
      </c>
      <c r="AY205" t="inlineStr">
        <is>
          <t>2266035390002656</t>
        </is>
      </c>
      <c r="AZ205" t="inlineStr">
        <is>
          <t>BOOK</t>
        </is>
      </c>
      <c r="BB205" t="inlineStr">
        <is>
          <t>9780803926462</t>
        </is>
      </c>
      <c r="BC205" t="inlineStr">
        <is>
          <t>32285000843739</t>
        </is>
      </c>
      <c r="BD205" t="inlineStr">
        <is>
          <t>893865723</t>
        </is>
      </c>
    </row>
    <row r="206">
      <c r="A206" t="inlineStr">
        <is>
          <t>No</t>
        </is>
      </c>
      <c r="B206" t="inlineStr">
        <is>
          <t>HM132 .P43</t>
        </is>
      </c>
      <c r="C206" t="inlineStr">
        <is>
          <t>0                      HM 0132000P  43</t>
        </is>
      </c>
      <c r="D206" t="inlineStr">
        <is>
          <t>Personality, cognition, and social interaction / edited by Nancy Cantor, John F. Kihlstrom.</t>
        </is>
      </c>
      <c r="F206" t="inlineStr">
        <is>
          <t>No</t>
        </is>
      </c>
      <c r="G206" t="inlineStr">
        <is>
          <t>1</t>
        </is>
      </c>
      <c r="H206" t="inlineStr">
        <is>
          <t>No</t>
        </is>
      </c>
      <c r="I206" t="inlineStr">
        <is>
          <t>No</t>
        </is>
      </c>
      <c r="J206" t="inlineStr">
        <is>
          <t>0</t>
        </is>
      </c>
      <c r="L206" t="inlineStr">
        <is>
          <t>Hillsdale, N.J. : L. Erlbaum Associates, 1981.</t>
        </is>
      </c>
      <c r="M206" t="inlineStr">
        <is>
          <t>1981</t>
        </is>
      </c>
      <c r="O206" t="inlineStr">
        <is>
          <t>eng</t>
        </is>
      </c>
      <c r="P206" t="inlineStr">
        <is>
          <t>nju</t>
        </is>
      </c>
      <c r="R206" t="inlineStr">
        <is>
          <t xml:space="preserve">HM </t>
        </is>
      </c>
      <c r="S206" t="n">
        <v>5</v>
      </c>
      <c r="T206" t="n">
        <v>5</v>
      </c>
      <c r="U206" t="inlineStr">
        <is>
          <t>2008-03-15</t>
        </is>
      </c>
      <c r="V206" t="inlineStr">
        <is>
          <t>2008-03-15</t>
        </is>
      </c>
      <c r="W206" t="inlineStr">
        <is>
          <t>1992-08-25</t>
        </is>
      </c>
      <c r="X206" t="inlineStr">
        <is>
          <t>1992-08-25</t>
        </is>
      </c>
      <c r="Y206" t="n">
        <v>584</v>
      </c>
      <c r="Z206" t="n">
        <v>465</v>
      </c>
      <c r="AA206" t="n">
        <v>485</v>
      </c>
      <c r="AB206" t="n">
        <v>7</v>
      </c>
      <c r="AC206" t="n">
        <v>7</v>
      </c>
      <c r="AD206" t="n">
        <v>22</v>
      </c>
      <c r="AE206" t="n">
        <v>22</v>
      </c>
      <c r="AF206" t="n">
        <v>7</v>
      </c>
      <c r="AG206" t="n">
        <v>7</v>
      </c>
      <c r="AH206" t="n">
        <v>4</v>
      </c>
      <c r="AI206" t="n">
        <v>4</v>
      </c>
      <c r="AJ206" t="n">
        <v>12</v>
      </c>
      <c r="AK206" t="n">
        <v>12</v>
      </c>
      <c r="AL206" t="n">
        <v>6</v>
      </c>
      <c r="AM206" t="n">
        <v>6</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HYPERLINK("https://creighton-primo.hosted.exlibrisgroup.com/primo-explore/search?tab=default_tab&amp;search_scope=EVERYTHING&amp;vid=01CRU&amp;lang=en_US&amp;offset=0&amp;query=any,contains,991005092989702656","Catalog Record")</f>
        <v/>
      </c>
      <c r="AT206">
        <f>HYPERLINK("http://www.worldcat.org/oclc/7248694","WorldCat Record")</f>
        <v/>
      </c>
      <c r="AU206" t="inlineStr">
        <is>
          <t>350339062:eng</t>
        </is>
      </c>
      <c r="AV206" t="inlineStr">
        <is>
          <t>7248694</t>
        </is>
      </c>
      <c r="AW206" t="inlineStr">
        <is>
          <t>991005092989702656</t>
        </is>
      </c>
      <c r="AX206" t="inlineStr">
        <is>
          <t>991005092989702656</t>
        </is>
      </c>
      <c r="AY206" t="inlineStr">
        <is>
          <t>2265523090002656</t>
        </is>
      </c>
      <c r="AZ206" t="inlineStr">
        <is>
          <t>BOOK</t>
        </is>
      </c>
      <c r="BC206" t="inlineStr">
        <is>
          <t>32285001266443</t>
        </is>
      </c>
      <c r="BD206" t="inlineStr">
        <is>
          <t>893236262</t>
        </is>
      </c>
    </row>
    <row r="207">
      <c r="A207" t="inlineStr">
        <is>
          <t>No</t>
        </is>
      </c>
      <c r="B207" t="inlineStr">
        <is>
          <t>HM132 .R28</t>
        </is>
      </c>
      <c r="C207" t="inlineStr">
        <is>
          <t>0                      HM 0132000R  28</t>
        </is>
      </c>
      <c r="D207" t="inlineStr">
        <is>
          <t>Social psychology : people in groups / Bertram H. Raven, Jeffrey Z. Rubin.</t>
        </is>
      </c>
      <c r="F207" t="inlineStr">
        <is>
          <t>No</t>
        </is>
      </c>
      <c r="G207" t="inlineStr">
        <is>
          <t>1</t>
        </is>
      </c>
      <c r="H207" t="inlineStr">
        <is>
          <t>No</t>
        </is>
      </c>
      <c r="I207" t="inlineStr">
        <is>
          <t>No</t>
        </is>
      </c>
      <c r="J207" t="inlineStr">
        <is>
          <t>0</t>
        </is>
      </c>
      <c r="K207" t="inlineStr">
        <is>
          <t>Raven, Bertram Herbert, 1926-</t>
        </is>
      </c>
      <c r="L207" t="inlineStr">
        <is>
          <t>New York : Wiley, c1976.</t>
        </is>
      </c>
      <c r="M207" t="inlineStr">
        <is>
          <t>1976</t>
        </is>
      </c>
      <c r="O207" t="inlineStr">
        <is>
          <t>eng</t>
        </is>
      </c>
      <c r="P207" t="inlineStr">
        <is>
          <t>nyu</t>
        </is>
      </c>
      <c r="R207" t="inlineStr">
        <is>
          <t xml:space="preserve">HM </t>
        </is>
      </c>
      <c r="S207" t="n">
        <v>8</v>
      </c>
      <c r="T207" t="n">
        <v>8</v>
      </c>
      <c r="U207" t="inlineStr">
        <is>
          <t>2008-03-11</t>
        </is>
      </c>
      <c r="V207" t="inlineStr">
        <is>
          <t>2008-03-11</t>
        </is>
      </c>
      <c r="W207" t="inlineStr">
        <is>
          <t>1991-08-08</t>
        </is>
      </c>
      <c r="X207" t="inlineStr">
        <is>
          <t>1991-08-08</t>
        </is>
      </c>
      <c r="Y207" t="n">
        <v>313</v>
      </c>
      <c r="Z207" t="n">
        <v>177</v>
      </c>
      <c r="AA207" t="n">
        <v>247</v>
      </c>
      <c r="AB207" t="n">
        <v>4</v>
      </c>
      <c r="AC207" t="n">
        <v>4</v>
      </c>
      <c r="AD207" t="n">
        <v>8</v>
      </c>
      <c r="AE207" t="n">
        <v>12</v>
      </c>
      <c r="AF207" t="n">
        <v>2</v>
      </c>
      <c r="AG207" t="n">
        <v>4</v>
      </c>
      <c r="AH207" t="n">
        <v>2</v>
      </c>
      <c r="AI207" t="n">
        <v>3</v>
      </c>
      <c r="AJ207" t="n">
        <v>4</v>
      </c>
      <c r="AK207" t="n">
        <v>5</v>
      </c>
      <c r="AL207" t="n">
        <v>2</v>
      </c>
      <c r="AM207" t="n">
        <v>2</v>
      </c>
      <c r="AN207" t="n">
        <v>0</v>
      </c>
      <c r="AO207" t="n">
        <v>0</v>
      </c>
      <c r="AP207" t="inlineStr">
        <is>
          <t>No</t>
        </is>
      </c>
      <c r="AQ207" t="inlineStr">
        <is>
          <t>Yes</t>
        </is>
      </c>
      <c r="AR207">
        <f>HYPERLINK("http://catalog.hathitrust.org/Record/000041642","HathiTrust Record")</f>
        <v/>
      </c>
      <c r="AS207">
        <f>HYPERLINK("https://creighton-primo.hosted.exlibrisgroup.com/primo-explore/search?tab=default_tab&amp;search_scope=EVERYTHING&amp;vid=01CRU&amp;lang=en_US&amp;offset=0&amp;query=any,contains,991003909679702656","Catalog Record")</f>
        <v/>
      </c>
      <c r="AT207">
        <f>HYPERLINK("http://www.worldcat.org/oclc/1848993","WorldCat Record")</f>
        <v/>
      </c>
      <c r="AU207" t="inlineStr">
        <is>
          <t>347661050:eng</t>
        </is>
      </c>
      <c r="AV207" t="inlineStr">
        <is>
          <t>1848993</t>
        </is>
      </c>
      <c r="AW207" t="inlineStr">
        <is>
          <t>991003909679702656</t>
        </is>
      </c>
      <c r="AX207" t="inlineStr">
        <is>
          <t>991003909679702656</t>
        </is>
      </c>
      <c r="AY207" t="inlineStr">
        <is>
          <t>2257297360002656</t>
        </is>
      </c>
      <c r="AZ207" t="inlineStr">
        <is>
          <t>BOOK</t>
        </is>
      </c>
      <c r="BB207" t="inlineStr">
        <is>
          <t>9780471709701</t>
        </is>
      </c>
      <c r="BC207" t="inlineStr">
        <is>
          <t>32285000681386</t>
        </is>
      </c>
      <c r="BD207" t="inlineStr">
        <is>
          <t>893337117</t>
        </is>
      </c>
    </row>
    <row r="208">
      <c r="A208" t="inlineStr">
        <is>
          <t>No</t>
        </is>
      </c>
      <c r="B208" t="inlineStr">
        <is>
          <t>HM132 .R85 1974</t>
        </is>
      </c>
      <c r="C208" t="inlineStr">
        <is>
          <t>0                      HM 0132000R  85          1974</t>
        </is>
      </c>
      <c r="D208" t="inlineStr">
        <is>
          <t>Doing unto others : joining, molding, conforming, helping, loving / edited by Zick Rubin.</t>
        </is>
      </c>
      <c r="F208" t="inlineStr">
        <is>
          <t>No</t>
        </is>
      </c>
      <c r="G208" t="inlineStr">
        <is>
          <t>1</t>
        </is>
      </c>
      <c r="H208" t="inlineStr">
        <is>
          <t>No</t>
        </is>
      </c>
      <c r="I208" t="inlineStr">
        <is>
          <t>No</t>
        </is>
      </c>
      <c r="J208" t="inlineStr">
        <is>
          <t>0</t>
        </is>
      </c>
      <c r="K208" t="inlineStr">
        <is>
          <t>Rubin, Zick compiler.</t>
        </is>
      </c>
      <c r="L208" t="inlineStr">
        <is>
          <t>Englewood Cliffs, N.J. : Prentice-Hall, [1974]</t>
        </is>
      </c>
      <c r="M208" t="inlineStr">
        <is>
          <t>1974</t>
        </is>
      </c>
      <c r="O208" t="inlineStr">
        <is>
          <t>eng</t>
        </is>
      </c>
      <c r="P208" t="inlineStr">
        <is>
          <t>nju</t>
        </is>
      </c>
      <c r="Q208" t="inlineStr">
        <is>
          <t>A Spectrum book, S-345</t>
        </is>
      </c>
      <c r="R208" t="inlineStr">
        <is>
          <t xml:space="preserve">HM </t>
        </is>
      </c>
      <c r="S208" t="n">
        <v>7</v>
      </c>
      <c r="T208" t="n">
        <v>7</v>
      </c>
      <c r="U208" t="inlineStr">
        <is>
          <t>2007-03-12</t>
        </is>
      </c>
      <c r="V208" t="inlineStr">
        <is>
          <t>2007-03-12</t>
        </is>
      </c>
      <c r="W208" t="inlineStr">
        <is>
          <t>1997-07-29</t>
        </is>
      </c>
      <c r="X208" t="inlineStr">
        <is>
          <t>1997-07-29</t>
        </is>
      </c>
      <c r="Y208" t="n">
        <v>430</v>
      </c>
      <c r="Z208" t="n">
        <v>356</v>
      </c>
      <c r="AA208" t="n">
        <v>363</v>
      </c>
      <c r="AB208" t="n">
        <v>2</v>
      </c>
      <c r="AC208" t="n">
        <v>2</v>
      </c>
      <c r="AD208" t="n">
        <v>12</v>
      </c>
      <c r="AE208" t="n">
        <v>12</v>
      </c>
      <c r="AF208" t="n">
        <v>4</v>
      </c>
      <c r="AG208" t="n">
        <v>4</v>
      </c>
      <c r="AH208" t="n">
        <v>1</v>
      </c>
      <c r="AI208" t="n">
        <v>1</v>
      </c>
      <c r="AJ208" t="n">
        <v>8</v>
      </c>
      <c r="AK208" t="n">
        <v>8</v>
      </c>
      <c r="AL208" t="n">
        <v>1</v>
      </c>
      <c r="AM208" t="n">
        <v>1</v>
      </c>
      <c r="AN208" t="n">
        <v>0</v>
      </c>
      <c r="AO208" t="n">
        <v>0</v>
      </c>
      <c r="AP208" t="inlineStr">
        <is>
          <t>No</t>
        </is>
      </c>
      <c r="AQ208" t="inlineStr">
        <is>
          <t>Yes</t>
        </is>
      </c>
      <c r="AR208">
        <f>HYPERLINK("http://catalog.hathitrust.org/Record/000040343","HathiTrust Record")</f>
        <v/>
      </c>
      <c r="AS208">
        <f>HYPERLINK("https://creighton-primo.hosted.exlibrisgroup.com/primo-explore/search?tab=default_tab&amp;search_scope=EVERYTHING&amp;vid=01CRU&amp;lang=en_US&amp;offset=0&amp;query=any,contains,991003588719702656","Catalog Record")</f>
        <v/>
      </c>
      <c r="AT208">
        <f>HYPERLINK("http://www.worldcat.org/oclc/1169930","WorldCat Record")</f>
        <v/>
      </c>
      <c r="AU208" t="inlineStr">
        <is>
          <t>905507861:eng</t>
        </is>
      </c>
      <c r="AV208" t="inlineStr">
        <is>
          <t>1169930</t>
        </is>
      </c>
      <c r="AW208" t="inlineStr">
        <is>
          <t>991003588719702656</t>
        </is>
      </c>
      <c r="AX208" t="inlineStr">
        <is>
          <t>991003588719702656</t>
        </is>
      </c>
      <c r="AY208" t="inlineStr">
        <is>
          <t>2266724990002656</t>
        </is>
      </c>
      <c r="AZ208" t="inlineStr">
        <is>
          <t>BOOK</t>
        </is>
      </c>
      <c r="BB208" t="inlineStr">
        <is>
          <t>9780132175968</t>
        </is>
      </c>
      <c r="BC208" t="inlineStr">
        <is>
          <t>32285003015913</t>
        </is>
      </c>
      <c r="BD208" t="inlineStr">
        <is>
          <t>893893886</t>
        </is>
      </c>
    </row>
    <row r="209">
      <c r="A209" t="inlineStr">
        <is>
          <t>No</t>
        </is>
      </c>
      <c r="B209" t="inlineStr">
        <is>
          <t>HM132 .S454</t>
        </is>
      </c>
      <c r="C209" t="inlineStr">
        <is>
          <t>0                      HM 0132000S  454</t>
        </is>
      </c>
      <c r="D209" t="inlineStr">
        <is>
          <t>Self-disclosure : origins, patterns, and implications of openness in interpersonal relationships / Gordon J. Chelune and associates.</t>
        </is>
      </c>
      <c r="F209" t="inlineStr">
        <is>
          <t>No</t>
        </is>
      </c>
      <c r="G209" t="inlineStr">
        <is>
          <t>1</t>
        </is>
      </c>
      <c r="H209" t="inlineStr">
        <is>
          <t>No</t>
        </is>
      </c>
      <c r="I209" t="inlineStr">
        <is>
          <t>No</t>
        </is>
      </c>
      <c r="J209" t="inlineStr">
        <is>
          <t>0</t>
        </is>
      </c>
      <c r="L209" t="inlineStr">
        <is>
          <t>San Francisco : Jossey-Bass, 1979.</t>
        </is>
      </c>
      <c r="M209" t="inlineStr">
        <is>
          <t>1979</t>
        </is>
      </c>
      <c r="N209" t="inlineStr">
        <is>
          <t>1st ed.</t>
        </is>
      </c>
      <c r="O209" t="inlineStr">
        <is>
          <t>eng</t>
        </is>
      </c>
      <c r="P209" t="inlineStr">
        <is>
          <t>cau</t>
        </is>
      </c>
      <c r="Q209" t="inlineStr">
        <is>
          <t>The Jossey-Bass social and behavioral science series</t>
        </is>
      </c>
      <c r="R209" t="inlineStr">
        <is>
          <t xml:space="preserve">HM </t>
        </is>
      </c>
      <c r="S209" t="n">
        <v>12</v>
      </c>
      <c r="T209" t="n">
        <v>12</v>
      </c>
      <c r="U209" t="inlineStr">
        <is>
          <t>2004-11-15</t>
        </is>
      </c>
      <c r="V209" t="inlineStr">
        <is>
          <t>2004-11-15</t>
        </is>
      </c>
      <c r="W209" t="inlineStr">
        <is>
          <t>1991-11-21</t>
        </is>
      </c>
      <c r="X209" t="inlineStr">
        <is>
          <t>1991-11-21</t>
        </is>
      </c>
      <c r="Y209" t="n">
        <v>461</v>
      </c>
      <c r="Z209" t="n">
        <v>370</v>
      </c>
      <c r="AA209" t="n">
        <v>373</v>
      </c>
      <c r="AB209" t="n">
        <v>2</v>
      </c>
      <c r="AC209" t="n">
        <v>2</v>
      </c>
      <c r="AD209" t="n">
        <v>15</v>
      </c>
      <c r="AE209" t="n">
        <v>15</v>
      </c>
      <c r="AF209" t="n">
        <v>6</v>
      </c>
      <c r="AG209" t="n">
        <v>6</v>
      </c>
      <c r="AH209" t="n">
        <v>2</v>
      </c>
      <c r="AI209" t="n">
        <v>2</v>
      </c>
      <c r="AJ209" t="n">
        <v>10</v>
      </c>
      <c r="AK209" t="n">
        <v>10</v>
      </c>
      <c r="AL209" t="n">
        <v>1</v>
      </c>
      <c r="AM209" t="n">
        <v>1</v>
      </c>
      <c r="AN209" t="n">
        <v>0</v>
      </c>
      <c r="AO209" t="n">
        <v>0</v>
      </c>
      <c r="AP209" t="inlineStr">
        <is>
          <t>No</t>
        </is>
      </c>
      <c r="AQ209" t="inlineStr">
        <is>
          <t>Yes</t>
        </is>
      </c>
      <c r="AR209">
        <f>HYPERLINK("http://catalog.hathitrust.org/Record/000690645","HathiTrust Record")</f>
        <v/>
      </c>
      <c r="AS209">
        <f>HYPERLINK("https://creighton-primo.hosted.exlibrisgroup.com/primo-explore/search?tab=default_tab&amp;search_scope=EVERYTHING&amp;vid=01CRU&amp;lang=en_US&amp;offset=0&amp;query=any,contains,991004838609702656","Catalog Record")</f>
        <v/>
      </c>
      <c r="AT209">
        <f>HYPERLINK("http://www.worldcat.org/oclc/5491478","WorldCat Record")</f>
        <v/>
      </c>
      <c r="AU209" t="inlineStr">
        <is>
          <t>889581187:eng</t>
        </is>
      </c>
      <c r="AV209" t="inlineStr">
        <is>
          <t>5491478</t>
        </is>
      </c>
      <c r="AW209" t="inlineStr">
        <is>
          <t>991004838609702656</t>
        </is>
      </c>
      <c r="AX209" t="inlineStr">
        <is>
          <t>991004838609702656</t>
        </is>
      </c>
      <c r="AY209" t="inlineStr">
        <is>
          <t>2268717940002656</t>
        </is>
      </c>
      <c r="AZ209" t="inlineStr">
        <is>
          <t>BOOK</t>
        </is>
      </c>
      <c r="BB209" t="inlineStr">
        <is>
          <t>9780875894331</t>
        </is>
      </c>
      <c r="BC209" t="inlineStr">
        <is>
          <t>32285000843721</t>
        </is>
      </c>
      <c r="BD209" t="inlineStr">
        <is>
          <t>893443102</t>
        </is>
      </c>
    </row>
    <row r="210">
      <c r="A210" t="inlineStr">
        <is>
          <t>No</t>
        </is>
      </c>
      <c r="B210" t="inlineStr">
        <is>
          <t>HM132 .S566 1982</t>
        </is>
      </c>
      <c r="C210" t="inlineStr">
        <is>
          <t>0                      HM 0132000S  566         1982</t>
        </is>
      </c>
      <c r="D210" t="inlineStr">
        <is>
          <t>Social cognition and communication / edited by Michael E. Roloff, Charles R. Berger.</t>
        </is>
      </c>
      <c r="F210" t="inlineStr">
        <is>
          <t>No</t>
        </is>
      </c>
      <c r="G210" t="inlineStr">
        <is>
          <t>1</t>
        </is>
      </c>
      <c r="H210" t="inlineStr">
        <is>
          <t>No</t>
        </is>
      </c>
      <c r="I210" t="inlineStr">
        <is>
          <t>No</t>
        </is>
      </c>
      <c r="J210" t="inlineStr">
        <is>
          <t>0</t>
        </is>
      </c>
      <c r="L210" t="inlineStr">
        <is>
          <t>Beverly Hills, Calif. : Sage Publications, c1982.</t>
        </is>
      </c>
      <c r="M210" t="inlineStr">
        <is>
          <t>1982</t>
        </is>
      </c>
      <c r="O210" t="inlineStr">
        <is>
          <t>eng</t>
        </is>
      </c>
      <c r="P210" t="inlineStr">
        <is>
          <t>cau</t>
        </is>
      </c>
      <c r="R210" t="inlineStr">
        <is>
          <t xml:space="preserve">HM </t>
        </is>
      </c>
      <c r="S210" t="n">
        <v>10</v>
      </c>
      <c r="T210" t="n">
        <v>10</v>
      </c>
      <c r="U210" t="inlineStr">
        <is>
          <t>2002-03-04</t>
        </is>
      </c>
      <c r="V210" t="inlineStr">
        <is>
          <t>2002-03-04</t>
        </is>
      </c>
      <c r="W210" t="inlineStr">
        <is>
          <t>1992-08-25</t>
        </is>
      </c>
      <c r="X210" t="inlineStr">
        <is>
          <t>1992-08-25</t>
        </is>
      </c>
      <c r="Y210" t="n">
        <v>482</v>
      </c>
      <c r="Z210" t="n">
        <v>344</v>
      </c>
      <c r="AA210" t="n">
        <v>352</v>
      </c>
      <c r="AB210" t="n">
        <v>4</v>
      </c>
      <c r="AC210" t="n">
        <v>4</v>
      </c>
      <c r="AD210" t="n">
        <v>19</v>
      </c>
      <c r="AE210" t="n">
        <v>19</v>
      </c>
      <c r="AF210" t="n">
        <v>7</v>
      </c>
      <c r="AG210" t="n">
        <v>7</v>
      </c>
      <c r="AH210" t="n">
        <v>5</v>
      </c>
      <c r="AI210" t="n">
        <v>5</v>
      </c>
      <c r="AJ210" t="n">
        <v>11</v>
      </c>
      <c r="AK210" t="n">
        <v>11</v>
      </c>
      <c r="AL210" t="n">
        <v>3</v>
      </c>
      <c r="AM210" t="n">
        <v>3</v>
      </c>
      <c r="AN210" t="n">
        <v>0</v>
      </c>
      <c r="AO210" t="n">
        <v>0</v>
      </c>
      <c r="AP210" t="inlineStr">
        <is>
          <t>No</t>
        </is>
      </c>
      <c r="AQ210" t="inlineStr">
        <is>
          <t>Yes</t>
        </is>
      </c>
      <c r="AR210">
        <f>HYPERLINK("http://catalog.hathitrust.org/Record/000769089","HathiTrust Record")</f>
        <v/>
      </c>
      <c r="AS210">
        <f>HYPERLINK("https://creighton-primo.hosted.exlibrisgroup.com/primo-explore/search?tab=default_tab&amp;search_scope=EVERYTHING&amp;vid=01CRU&amp;lang=en_US&amp;offset=0&amp;query=any,contains,991000059369702656","Catalog Record")</f>
        <v/>
      </c>
      <c r="AT210">
        <f>HYPERLINK("http://www.worldcat.org/oclc/8727564","WorldCat Record")</f>
        <v/>
      </c>
      <c r="AU210" t="inlineStr">
        <is>
          <t>353560946:eng</t>
        </is>
      </c>
      <c r="AV210" t="inlineStr">
        <is>
          <t>8727564</t>
        </is>
      </c>
      <c r="AW210" t="inlineStr">
        <is>
          <t>991000059369702656</t>
        </is>
      </c>
      <c r="AX210" t="inlineStr">
        <is>
          <t>991000059369702656</t>
        </is>
      </c>
      <c r="AY210" t="inlineStr">
        <is>
          <t>2272668740002656</t>
        </is>
      </c>
      <c r="AZ210" t="inlineStr">
        <is>
          <t>BOOK</t>
        </is>
      </c>
      <c r="BB210" t="inlineStr">
        <is>
          <t>9780803918993</t>
        </is>
      </c>
      <c r="BC210" t="inlineStr">
        <is>
          <t>32285001266450</t>
        </is>
      </c>
      <c r="BD210" t="inlineStr">
        <is>
          <t>893595233</t>
        </is>
      </c>
    </row>
    <row r="211">
      <c r="A211" t="inlineStr">
        <is>
          <t>No</t>
        </is>
      </c>
      <c r="B211" t="inlineStr">
        <is>
          <t>HM132 .S568</t>
        </is>
      </c>
      <c r="C211" t="inlineStr">
        <is>
          <t>0                      HM 0132000S  568</t>
        </is>
      </c>
      <c r="D211" t="inlineStr">
        <is>
          <t>Social exchange in developing relationships / edited by Robert L. Burgess, Ted L. Huston ; foreword by George C. Homans.</t>
        </is>
      </c>
      <c r="F211" t="inlineStr">
        <is>
          <t>No</t>
        </is>
      </c>
      <c r="G211" t="inlineStr">
        <is>
          <t>1</t>
        </is>
      </c>
      <c r="H211" t="inlineStr">
        <is>
          <t>No</t>
        </is>
      </c>
      <c r="I211" t="inlineStr">
        <is>
          <t>No</t>
        </is>
      </c>
      <c r="J211" t="inlineStr">
        <is>
          <t>0</t>
        </is>
      </c>
      <c r="L211" t="inlineStr">
        <is>
          <t>New York : Academic Press, c1979.</t>
        </is>
      </c>
      <c r="M211" t="inlineStr">
        <is>
          <t>1979</t>
        </is>
      </c>
      <c r="O211" t="inlineStr">
        <is>
          <t>eng</t>
        </is>
      </c>
      <c r="P211" t="inlineStr">
        <is>
          <t>nyu</t>
        </is>
      </c>
      <c r="R211" t="inlineStr">
        <is>
          <t xml:space="preserve">HM </t>
        </is>
      </c>
      <c r="S211" t="n">
        <v>14</v>
      </c>
      <c r="T211" t="n">
        <v>14</v>
      </c>
      <c r="U211" t="inlineStr">
        <is>
          <t>2008-10-01</t>
        </is>
      </c>
      <c r="V211" t="inlineStr">
        <is>
          <t>2008-10-01</t>
        </is>
      </c>
      <c r="W211" t="inlineStr">
        <is>
          <t>1992-08-25</t>
        </is>
      </c>
      <c r="X211" t="inlineStr">
        <is>
          <t>1992-08-25</t>
        </is>
      </c>
      <c r="Y211" t="n">
        <v>464</v>
      </c>
      <c r="Z211" t="n">
        <v>342</v>
      </c>
      <c r="AA211" t="n">
        <v>376</v>
      </c>
      <c r="AB211" t="n">
        <v>2</v>
      </c>
      <c r="AC211" t="n">
        <v>3</v>
      </c>
      <c r="AD211" t="n">
        <v>14</v>
      </c>
      <c r="AE211" t="n">
        <v>18</v>
      </c>
      <c r="AF211" t="n">
        <v>5</v>
      </c>
      <c r="AG211" t="n">
        <v>7</v>
      </c>
      <c r="AH211" t="n">
        <v>5</v>
      </c>
      <c r="AI211" t="n">
        <v>7</v>
      </c>
      <c r="AJ211" t="n">
        <v>8</v>
      </c>
      <c r="AK211" t="n">
        <v>8</v>
      </c>
      <c r="AL211" t="n">
        <v>1</v>
      </c>
      <c r="AM211" t="n">
        <v>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HYPERLINK("https://creighton-primo.hosted.exlibrisgroup.com/primo-explore/search?tab=default_tab&amp;search_scope=EVERYTHING&amp;vid=01CRU&amp;lang=en_US&amp;offset=0&amp;query=any,contains,991004769819702656","Catalog Record")</f>
        <v/>
      </c>
      <c r="AT211">
        <f>HYPERLINK("http://www.worldcat.org/oclc/5051696","WorldCat Record")</f>
        <v/>
      </c>
      <c r="AU211" t="inlineStr">
        <is>
          <t>351180209:eng</t>
        </is>
      </c>
      <c r="AV211" t="inlineStr">
        <is>
          <t>5051696</t>
        </is>
      </c>
      <c r="AW211" t="inlineStr">
        <is>
          <t>991004769819702656</t>
        </is>
      </c>
      <c r="AX211" t="inlineStr">
        <is>
          <t>991004769819702656</t>
        </is>
      </c>
      <c r="AY211" t="inlineStr">
        <is>
          <t>2263786870002656</t>
        </is>
      </c>
      <c r="AZ211" t="inlineStr">
        <is>
          <t>BOOK</t>
        </is>
      </c>
      <c r="BB211" t="inlineStr">
        <is>
          <t>9780121435509</t>
        </is>
      </c>
      <c r="BC211" t="inlineStr">
        <is>
          <t>32285001266468</t>
        </is>
      </c>
      <c r="BD211" t="inlineStr">
        <is>
          <t>893688127</t>
        </is>
      </c>
    </row>
    <row r="212">
      <c r="A212" t="inlineStr">
        <is>
          <t>No</t>
        </is>
      </c>
      <c r="B212" t="inlineStr">
        <is>
          <t>HM132 .S57</t>
        </is>
      </c>
      <c r="C212" t="inlineStr">
        <is>
          <t>0                      HM 0132000S  57</t>
        </is>
      </c>
      <c r="D212" t="inlineStr">
        <is>
          <t>Social relationships [by] George J. McCall [and others]</t>
        </is>
      </c>
      <c r="F212" t="inlineStr">
        <is>
          <t>No</t>
        </is>
      </c>
      <c r="G212" t="inlineStr">
        <is>
          <t>1</t>
        </is>
      </c>
      <c r="H212" t="inlineStr">
        <is>
          <t>No</t>
        </is>
      </c>
      <c r="I212" t="inlineStr">
        <is>
          <t>No</t>
        </is>
      </c>
      <c r="J212" t="inlineStr">
        <is>
          <t>0</t>
        </is>
      </c>
      <c r="L212" t="inlineStr">
        <is>
          <t>Chicago, Aldine Pub. Co. [1970]</t>
        </is>
      </c>
      <c r="M212" t="inlineStr">
        <is>
          <t>1970</t>
        </is>
      </c>
      <c r="O212" t="inlineStr">
        <is>
          <t>eng</t>
        </is>
      </c>
      <c r="P212" t="inlineStr">
        <is>
          <t>ilu</t>
        </is>
      </c>
      <c r="Q212" t="inlineStr">
        <is>
          <t>Observations</t>
        </is>
      </c>
      <c r="R212" t="inlineStr">
        <is>
          <t xml:space="preserve">HM </t>
        </is>
      </c>
      <c r="S212" t="n">
        <v>7</v>
      </c>
      <c r="T212" t="n">
        <v>7</v>
      </c>
      <c r="U212" t="inlineStr">
        <is>
          <t>2001-11-11</t>
        </is>
      </c>
      <c r="V212" t="inlineStr">
        <is>
          <t>2001-11-11</t>
        </is>
      </c>
      <c r="W212" t="inlineStr">
        <is>
          <t>1997-07-29</t>
        </is>
      </c>
      <c r="X212" t="inlineStr">
        <is>
          <t>1997-07-29</t>
        </is>
      </c>
      <c r="Y212" t="n">
        <v>377</v>
      </c>
      <c r="Z212" t="n">
        <v>302</v>
      </c>
      <c r="AA212" t="n">
        <v>308</v>
      </c>
      <c r="AB212" t="n">
        <v>3</v>
      </c>
      <c r="AC212" t="n">
        <v>3</v>
      </c>
      <c r="AD212" t="n">
        <v>16</v>
      </c>
      <c r="AE212" t="n">
        <v>16</v>
      </c>
      <c r="AF212" t="n">
        <v>4</v>
      </c>
      <c r="AG212" t="n">
        <v>4</v>
      </c>
      <c r="AH212" t="n">
        <v>5</v>
      </c>
      <c r="AI212" t="n">
        <v>5</v>
      </c>
      <c r="AJ212" t="n">
        <v>7</v>
      </c>
      <c r="AK212" t="n">
        <v>7</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HYPERLINK("https://creighton-primo.hosted.exlibrisgroup.com/primo-explore/search?tab=default_tab&amp;search_scope=EVERYTHING&amp;vid=01CRU&amp;lang=en_US&amp;offset=0&amp;query=any,contains,991000632909702656","Catalog Record")</f>
        <v/>
      </c>
      <c r="AT212">
        <f>HYPERLINK("http://www.worldcat.org/oclc/106507","WorldCat Record")</f>
        <v/>
      </c>
      <c r="AU212" t="inlineStr">
        <is>
          <t>53935456:eng</t>
        </is>
      </c>
      <c r="AV212" t="inlineStr">
        <is>
          <t>106507</t>
        </is>
      </c>
      <c r="AW212" t="inlineStr">
        <is>
          <t>991000632909702656</t>
        </is>
      </c>
      <c r="AX212" t="inlineStr">
        <is>
          <t>991000632909702656</t>
        </is>
      </c>
      <c r="AY212" t="inlineStr">
        <is>
          <t>2263932030002656</t>
        </is>
      </c>
      <c r="AZ212" t="inlineStr">
        <is>
          <t>BOOK</t>
        </is>
      </c>
      <c r="BB212" t="inlineStr">
        <is>
          <t>9780202300627</t>
        </is>
      </c>
      <c r="BC212" t="inlineStr">
        <is>
          <t>32285003015905</t>
        </is>
      </c>
      <c r="BD212" t="inlineStr">
        <is>
          <t>893714759</t>
        </is>
      </c>
    </row>
    <row r="213">
      <c r="A213" t="inlineStr">
        <is>
          <t>No</t>
        </is>
      </c>
      <c r="B213" t="inlineStr">
        <is>
          <t>HM132 .T42</t>
        </is>
      </c>
      <c r="C213" t="inlineStr">
        <is>
          <t>0                      HM 0132000T  42</t>
        </is>
      </c>
      <c r="D213" t="inlineStr">
        <is>
          <t>Conflict, power, and games : the experimental study of interpersonal relations / [by] James T. Tedeschi, Barry R. Schlenker [and] Thomas V. Bonoma.</t>
        </is>
      </c>
      <c r="F213" t="inlineStr">
        <is>
          <t>No</t>
        </is>
      </c>
      <c r="G213" t="inlineStr">
        <is>
          <t>1</t>
        </is>
      </c>
      <c r="H213" t="inlineStr">
        <is>
          <t>No</t>
        </is>
      </c>
      <c r="I213" t="inlineStr">
        <is>
          <t>No</t>
        </is>
      </c>
      <c r="J213" t="inlineStr">
        <is>
          <t>0</t>
        </is>
      </c>
      <c r="K213" t="inlineStr">
        <is>
          <t>Tedeschi, James T.</t>
        </is>
      </c>
      <c r="L213" t="inlineStr">
        <is>
          <t>Chicago : Aldine Pub. Co., [1973]</t>
        </is>
      </c>
      <c r="M213" t="inlineStr">
        <is>
          <t>1973</t>
        </is>
      </c>
      <c r="O213" t="inlineStr">
        <is>
          <t>eng</t>
        </is>
      </c>
      <c r="P213" t="inlineStr">
        <is>
          <t>ilu</t>
        </is>
      </c>
      <c r="Q213" t="inlineStr">
        <is>
          <t>Aldine treatises in social psychology</t>
        </is>
      </c>
      <c r="R213" t="inlineStr">
        <is>
          <t xml:space="preserve">HM </t>
        </is>
      </c>
      <c r="S213" t="n">
        <v>7</v>
      </c>
      <c r="T213" t="n">
        <v>7</v>
      </c>
      <c r="U213" t="inlineStr">
        <is>
          <t>2009-02-13</t>
        </is>
      </c>
      <c r="V213" t="inlineStr">
        <is>
          <t>2009-02-13</t>
        </is>
      </c>
      <c r="W213" t="inlineStr">
        <is>
          <t>1993-06-03</t>
        </is>
      </c>
      <c r="X213" t="inlineStr">
        <is>
          <t>1993-06-03</t>
        </is>
      </c>
      <c r="Y213" t="n">
        <v>465</v>
      </c>
      <c r="Z213" t="n">
        <v>346</v>
      </c>
      <c r="AA213" t="n">
        <v>380</v>
      </c>
      <c r="AB213" t="n">
        <v>3</v>
      </c>
      <c r="AC213" t="n">
        <v>3</v>
      </c>
      <c r="AD213" t="n">
        <v>17</v>
      </c>
      <c r="AE213" t="n">
        <v>17</v>
      </c>
      <c r="AF213" t="n">
        <v>6</v>
      </c>
      <c r="AG213" t="n">
        <v>6</v>
      </c>
      <c r="AH213" t="n">
        <v>6</v>
      </c>
      <c r="AI213" t="n">
        <v>6</v>
      </c>
      <c r="AJ213" t="n">
        <v>10</v>
      </c>
      <c r="AK213" t="n">
        <v>10</v>
      </c>
      <c r="AL213" t="n">
        <v>1</v>
      </c>
      <c r="AM213" t="n">
        <v>1</v>
      </c>
      <c r="AN213" t="n">
        <v>0</v>
      </c>
      <c r="AO213" t="n">
        <v>0</v>
      </c>
      <c r="AP213" t="inlineStr">
        <is>
          <t>No</t>
        </is>
      </c>
      <c r="AQ213" t="inlineStr">
        <is>
          <t>Yes</t>
        </is>
      </c>
      <c r="AR213">
        <f>HYPERLINK("http://catalog.hathitrust.org/Record/001109295","HathiTrust Record")</f>
        <v/>
      </c>
      <c r="AS213">
        <f>HYPERLINK("https://creighton-primo.hosted.exlibrisgroup.com/primo-explore/search?tab=default_tab&amp;search_scope=EVERYTHING&amp;vid=01CRU&amp;lang=en_US&amp;offset=0&amp;query=any,contains,991003144389702656","Catalog Record")</f>
        <v/>
      </c>
      <c r="AT213">
        <f>HYPERLINK("http://www.worldcat.org/oclc/685314","WorldCat Record")</f>
        <v/>
      </c>
      <c r="AU213" t="inlineStr">
        <is>
          <t>308896177:eng</t>
        </is>
      </c>
      <c r="AV213" t="inlineStr">
        <is>
          <t>685314</t>
        </is>
      </c>
      <c r="AW213" t="inlineStr">
        <is>
          <t>991003144389702656</t>
        </is>
      </c>
      <c r="AX213" t="inlineStr">
        <is>
          <t>991003144389702656</t>
        </is>
      </c>
      <c r="AY213" t="inlineStr">
        <is>
          <t>2264326610002656</t>
        </is>
      </c>
      <c r="AZ213" t="inlineStr">
        <is>
          <t>BOOK</t>
        </is>
      </c>
      <c r="BB213" t="inlineStr">
        <is>
          <t>9780202250182</t>
        </is>
      </c>
      <c r="BC213" t="inlineStr">
        <is>
          <t>32285001717650</t>
        </is>
      </c>
      <c r="BD213" t="inlineStr">
        <is>
          <t>893610764</t>
        </is>
      </c>
    </row>
    <row r="214">
      <c r="A214" t="inlineStr">
        <is>
          <t>No</t>
        </is>
      </c>
      <c r="B214" t="inlineStr">
        <is>
          <t>HM132 .T46 1992</t>
        </is>
      </c>
      <c r="C214" t="inlineStr">
        <is>
          <t>0                      HM 0132000T  46          1992</t>
        </is>
      </c>
      <c r="D214" t="inlineStr">
        <is>
          <t>Theories of love development, maintenance, and dissolution : octagonal cycle and differential perspectives / edited by Oliver C.S. Tzeng.</t>
        </is>
      </c>
      <c r="F214" t="inlineStr">
        <is>
          <t>No</t>
        </is>
      </c>
      <c r="G214" t="inlineStr">
        <is>
          <t>1</t>
        </is>
      </c>
      <c r="H214" t="inlineStr">
        <is>
          <t>No</t>
        </is>
      </c>
      <c r="I214" t="inlineStr">
        <is>
          <t>No</t>
        </is>
      </c>
      <c r="J214" t="inlineStr">
        <is>
          <t>0</t>
        </is>
      </c>
      <c r="L214" t="inlineStr">
        <is>
          <t>New York : Praeger, 1992.</t>
        </is>
      </c>
      <c r="M214" t="inlineStr">
        <is>
          <t>1992</t>
        </is>
      </c>
      <c r="O214" t="inlineStr">
        <is>
          <t>eng</t>
        </is>
      </c>
      <c r="P214" t="inlineStr">
        <is>
          <t>nyu</t>
        </is>
      </c>
      <c r="R214" t="inlineStr">
        <is>
          <t xml:space="preserve">HM </t>
        </is>
      </c>
      <c r="S214" t="n">
        <v>10</v>
      </c>
      <c r="T214" t="n">
        <v>10</v>
      </c>
      <c r="U214" t="inlineStr">
        <is>
          <t>2000-01-29</t>
        </is>
      </c>
      <c r="V214" t="inlineStr">
        <is>
          <t>2000-01-29</t>
        </is>
      </c>
      <c r="W214" t="inlineStr">
        <is>
          <t>1994-07-29</t>
        </is>
      </c>
      <c r="X214" t="inlineStr">
        <is>
          <t>1994-07-29</t>
        </is>
      </c>
      <c r="Y214" t="n">
        <v>170</v>
      </c>
      <c r="Z214" t="n">
        <v>134</v>
      </c>
      <c r="AA214" t="n">
        <v>135</v>
      </c>
      <c r="AB214" t="n">
        <v>3</v>
      </c>
      <c r="AC214" t="n">
        <v>3</v>
      </c>
      <c r="AD214" t="n">
        <v>7</v>
      </c>
      <c r="AE214" t="n">
        <v>7</v>
      </c>
      <c r="AF214" t="n">
        <v>1</v>
      </c>
      <c r="AG214" t="n">
        <v>1</v>
      </c>
      <c r="AH214" t="n">
        <v>2</v>
      </c>
      <c r="AI214" t="n">
        <v>2</v>
      </c>
      <c r="AJ214" t="n">
        <v>4</v>
      </c>
      <c r="AK214" t="n">
        <v>4</v>
      </c>
      <c r="AL214" t="n">
        <v>2</v>
      </c>
      <c r="AM214" t="n">
        <v>2</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HYPERLINK("https://creighton-primo.hosted.exlibrisgroup.com/primo-explore/search?tab=default_tab&amp;search_scope=EVERYTHING&amp;vid=01CRU&amp;lang=en_US&amp;offset=0&amp;query=any,contains,991001956739702656","Catalog Record")</f>
        <v/>
      </c>
      <c r="AT214">
        <f>HYPERLINK("http://www.worldcat.org/oclc/24792201","WorldCat Record")</f>
        <v/>
      </c>
      <c r="AU214" t="inlineStr">
        <is>
          <t>836790032:eng</t>
        </is>
      </c>
      <c r="AV214" t="inlineStr">
        <is>
          <t>24792201</t>
        </is>
      </c>
      <c r="AW214" t="inlineStr">
        <is>
          <t>991001956739702656</t>
        </is>
      </c>
      <c r="AX214" t="inlineStr">
        <is>
          <t>991001956739702656</t>
        </is>
      </c>
      <c r="AY214" t="inlineStr">
        <is>
          <t>2261440230002656</t>
        </is>
      </c>
      <c r="AZ214" t="inlineStr">
        <is>
          <t>BOOK</t>
        </is>
      </c>
      <c r="BB214" t="inlineStr">
        <is>
          <t>9780275942342</t>
        </is>
      </c>
      <c r="BC214" t="inlineStr">
        <is>
          <t>32285001934545</t>
        </is>
      </c>
      <c r="BD214" t="inlineStr">
        <is>
          <t>893609294</t>
        </is>
      </c>
    </row>
    <row r="215">
      <c r="A215" t="inlineStr">
        <is>
          <t>No</t>
        </is>
      </c>
      <c r="B215" t="inlineStr">
        <is>
          <t>HM132 .T74</t>
        </is>
      </c>
      <c r="C215" t="inlineStr">
        <is>
          <t>0                      HM 0132000T  74</t>
        </is>
      </c>
      <c r="D215" t="inlineStr">
        <is>
          <t>Interpersonal behavior / Harry C. Triandis.</t>
        </is>
      </c>
      <c r="F215" t="inlineStr">
        <is>
          <t>No</t>
        </is>
      </c>
      <c r="G215" t="inlineStr">
        <is>
          <t>1</t>
        </is>
      </c>
      <c r="H215" t="inlineStr">
        <is>
          <t>No</t>
        </is>
      </c>
      <c r="I215" t="inlineStr">
        <is>
          <t>No</t>
        </is>
      </c>
      <c r="J215" t="inlineStr">
        <is>
          <t>0</t>
        </is>
      </c>
      <c r="K215" t="inlineStr">
        <is>
          <t>Triandis, Harry Charalambos, 1926-</t>
        </is>
      </c>
      <c r="L215" t="inlineStr">
        <is>
          <t>Monterey, Calif. : Brooks/Cole Pub. Co., c1977.</t>
        </is>
      </c>
      <c r="M215" t="inlineStr">
        <is>
          <t>1977</t>
        </is>
      </c>
      <c r="O215" t="inlineStr">
        <is>
          <t>eng</t>
        </is>
      </c>
      <c r="P215" t="inlineStr">
        <is>
          <t>cau</t>
        </is>
      </c>
      <c r="R215" t="inlineStr">
        <is>
          <t xml:space="preserve">HM </t>
        </is>
      </c>
      <c r="S215" t="n">
        <v>4</v>
      </c>
      <c r="T215" t="n">
        <v>4</v>
      </c>
      <c r="U215" t="inlineStr">
        <is>
          <t>1999-04-20</t>
        </is>
      </c>
      <c r="V215" t="inlineStr">
        <is>
          <t>1999-04-20</t>
        </is>
      </c>
      <c r="W215" t="inlineStr">
        <is>
          <t>1993-06-03</t>
        </is>
      </c>
      <c r="X215" t="inlineStr">
        <is>
          <t>1993-06-03</t>
        </is>
      </c>
      <c r="Y215" t="n">
        <v>413</v>
      </c>
      <c r="Z215" t="n">
        <v>318</v>
      </c>
      <c r="AA215" t="n">
        <v>319</v>
      </c>
      <c r="AB215" t="n">
        <v>2</v>
      </c>
      <c r="AC215" t="n">
        <v>2</v>
      </c>
      <c r="AD215" t="n">
        <v>11</v>
      </c>
      <c r="AE215" t="n">
        <v>11</v>
      </c>
      <c r="AF215" t="n">
        <v>5</v>
      </c>
      <c r="AG215" t="n">
        <v>5</v>
      </c>
      <c r="AH215" t="n">
        <v>5</v>
      </c>
      <c r="AI215" t="n">
        <v>5</v>
      </c>
      <c r="AJ215" t="n">
        <v>4</v>
      </c>
      <c r="AK215" t="n">
        <v>4</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HYPERLINK("https://creighton-primo.hosted.exlibrisgroup.com/primo-explore/search?tab=default_tab&amp;search_scope=EVERYTHING&amp;vid=01CRU&amp;lang=en_US&amp;offset=0&amp;query=any,contains,991004266979702656","Catalog Record")</f>
        <v/>
      </c>
      <c r="AT215">
        <f>HYPERLINK("http://www.worldcat.org/oclc/2869868","WorldCat Record")</f>
        <v/>
      </c>
      <c r="AU215" t="inlineStr">
        <is>
          <t>6333723:eng</t>
        </is>
      </c>
      <c r="AV215" t="inlineStr">
        <is>
          <t>2869868</t>
        </is>
      </c>
      <c r="AW215" t="inlineStr">
        <is>
          <t>991004266979702656</t>
        </is>
      </c>
      <c r="AX215" t="inlineStr">
        <is>
          <t>991004266979702656</t>
        </is>
      </c>
      <c r="AY215" t="inlineStr">
        <is>
          <t>2265044620002656</t>
        </is>
      </c>
      <c r="AZ215" t="inlineStr">
        <is>
          <t>BOOK</t>
        </is>
      </c>
      <c r="BB215" t="inlineStr">
        <is>
          <t>9780818501883</t>
        </is>
      </c>
      <c r="BC215" t="inlineStr">
        <is>
          <t>32285001717643</t>
        </is>
      </c>
      <c r="BD215" t="inlineStr">
        <is>
          <t>893423600</t>
        </is>
      </c>
    </row>
    <row r="216">
      <c r="A216" t="inlineStr">
        <is>
          <t>No</t>
        </is>
      </c>
      <c r="B216" t="inlineStr">
        <is>
          <t>HM132 .W56 1997</t>
        </is>
      </c>
      <c r="C216" t="inlineStr">
        <is>
          <t>0                      HM 0132000W  56          1997</t>
        </is>
      </c>
      <c r="D216" t="inlineStr">
        <is>
          <t>Gender and close relationships / Barbara A. Winstead, Valerian J. Derlega, Suzanna Rose.</t>
        </is>
      </c>
      <c r="F216" t="inlineStr">
        <is>
          <t>No</t>
        </is>
      </c>
      <c r="G216" t="inlineStr">
        <is>
          <t>1</t>
        </is>
      </c>
      <c r="H216" t="inlineStr">
        <is>
          <t>No</t>
        </is>
      </c>
      <c r="I216" t="inlineStr">
        <is>
          <t>No</t>
        </is>
      </c>
      <c r="J216" t="inlineStr">
        <is>
          <t>0</t>
        </is>
      </c>
      <c r="K216" t="inlineStr">
        <is>
          <t>Winstead, Barbara A.</t>
        </is>
      </c>
      <c r="L216" t="inlineStr">
        <is>
          <t>Thousand Oaks : Sage Publications, c1997.</t>
        </is>
      </c>
      <c r="M216" t="inlineStr">
        <is>
          <t>1997</t>
        </is>
      </c>
      <c r="O216" t="inlineStr">
        <is>
          <t>eng</t>
        </is>
      </c>
      <c r="P216" t="inlineStr">
        <is>
          <t>cau</t>
        </is>
      </c>
      <c r="Q216" t="inlineStr">
        <is>
          <t>Sage series on close relationships</t>
        </is>
      </c>
      <c r="R216" t="inlineStr">
        <is>
          <t xml:space="preserve">HM </t>
        </is>
      </c>
      <c r="S216" t="n">
        <v>2</v>
      </c>
      <c r="T216" t="n">
        <v>2</v>
      </c>
      <c r="U216" t="inlineStr">
        <is>
          <t>2002-10-16</t>
        </is>
      </c>
      <c r="V216" t="inlineStr">
        <is>
          <t>2002-10-16</t>
        </is>
      </c>
      <c r="W216" t="inlineStr">
        <is>
          <t>2002-05-07</t>
        </is>
      </c>
      <c r="X216" t="inlineStr">
        <is>
          <t>2002-05-07</t>
        </is>
      </c>
      <c r="Y216" t="n">
        <v>401</v>
      </c>
      <c r="Z216" t="n">
        <v>324</v>
      </c>
      <c r="AA216" t="n">
        <v>336</v>
      </c>
      <c r="AB216" t="n">
        <v>4</v>
      </c>
      <c r="AC216" t="n">
        <v>4</v>
      </c>
      <c r="AD216" t="n">
        <v>21</v>
      </c>
      <c r="AE216" t="n">
        <v>21</v>
      </c>
      <c r="AF216" t="n">
        <v>6</v>
      </c>
      <c r="AG216" t="n">
        <v>6</v>
      </c>
      <c r="AH216" t="n">
        <v>4</v>
      </c>
      <c r="AI216" t="n">
        <v>4</v>
      </c>
      <c r="AJ216" t="n">
        <v>13</v>
      </c>
      <c r="AK216" t="n">
        <v>13</v>
      </c>
      <c r="AL216" t="n">
        <v>3</v>
      </c>
      <c r="AM216" t="n">
        <v>3</v>
      </c>
      <c r="AN216" t="n">
        <v>0</v>
      </c>
      <c r="AO216" t="n">
        <v>0</v>
      </c>
      <c r="AP216" t="inlineStr">
        <is>
          <t>No</t>
        </is>
      </c>
      <c r="AQ216" t="inlineStr">
        <is>
          <t>Yes</t>
        </is>
      </c>
      <c r="AR216">
        <f>HYPERLINK("http://catalog.hathitrust.org/Record/003949581","HathiTrust Record")</f>
        <v/>
      </c>
      <c r="AS216">
        <f>HYPERLINK("https://creighton-primo.hosted.exlibrisgroup.com/primo-explore/search?tab=default_tab&amp;search_scope=EVERYTHING&amp;vid=01CRU&amp;lang=en_US&amp;offset=0&amp;query=any,contains,991003786419702656","Catalog Record")</f>
        <v/>
      </c>
      <c r="AT216">
        <f>HYPERLINK("http://www.worldcat.org/oclc/36130706","WorldCat Record")</f>
        <v/>
      </c>
      <c r="AU216" t="inlineStr">
        <is>
          <t>612888:eng</t>
        </is>
      </c>
      <c r="AV216" t="inlineStr">
        <is>
          <t>36130706</t>
        </is>
      </c>
      <c r="AW216" t="inlineStr">
        <is>
          <t>991003786419702656</t>
        </is>
      </c>
      <c r="AX216" t="inlineStr">
        <is>
          <t>991003786419702656</t>
        </is>
      </c>
      <c r="AY216" t="inlineStr">
        <is>
          <t>2255019120002656</t>
        </is>
      </c>
      <c r="AZ216" t="inlineStr">
        <is>
          <t>BOOK</t>
        </is>
      </c>
      <c r="BB216" t="inlineStr">
        <is>
          <t>9780803971660</t>
        </is>
      </c>
      <c r="BC216" t="inlineStr">
        <is>
          <t>32285004486469</t>
        </is>
      </c>
      <c r="BD216" t="inlineStr">
        <is>
          <t>893598979</t>
        </is>
      </c>
    </row>
    <row r="217">
      <c r="A217" t="inlineStr">
        <is>
          <t>No</t>
        </is>
      </c>
      <c r="B217" t="inlineStr">
        <is>
          <t>HM132 .Z55</t>
        </is>
      </c>
      <c r="C217" t="inlineStr">
        <is>
          <t>0                      HM 0132000Z  55</t>
        </is>
      </c>
      <c r="D217" t="inlineStr">
        <is>
          <t>Social relations and social roles : the unfinished systematic sociology / [by] Florian Znanircki.</t>
        </is>
      </c>
      <c r="F217" t="inlineStr">
        <is>
          <t>No</t>
        </is>
      </c>
      <c r="G217" t="inlineStr">
        <is>
          <t>1</t>
        </is>
      </c>
      <c r="H217" t="inlineStr">
        <is>
          <t>No</t>
        </is>
      </c>
      <c r="I217" t="inlineStr">
        <is>
          <t>No</t>
        </is>
      </c>
      <c r="J217" t="inlineStr">
        <is>
          <t>0</t>
        </is>
      </c>
      <c r="K217" t="inlineStr">
        <is>
          <t>Znaniecki, Florian, 1882-1958.</t>
        </is>
      </c>
      <c r="L217" t="inlineStr">
        <is>
          <t>San Francisco : Chandler Pub. Co., [1965]</t>
        </is>
      </c>
      <c r="M217" t="inlineStr">
        <is>
          <t>1965</t>
        </is>
      </c>
      <c r="O217" t="inlineStr">
        <is>
          <t>eng</t>
        </is>
      </c>
      <c r="P217" t="inlineStr">
        <is>
          <t xml:space="preserve">xx </t>
        </is>
      </c>
      <c r="Q217" t="inlineStr">
        <is>
          <t>Chandler publications in anthropology and sociology</t>
        </is>
      </c>
      <c r="R217" t="inlineStr">
        <is>
          <t xml:space="preserve">HM </t>
        </is>
      </c>
      <c r="S217" t="n">
        <v>3</v>
      </c>
      <c r="T217" t="n">
        <v>3</v>
      </c>
      <c r="U217" t="inlineStr">
        <is>
          <t>2000-10-05</t>
        </is>
      </c>
      <c r="V217" t="inlineStr">
        <is>
          <t>2000-10-05</t>
        </is>
      </c>
      <c r="W217" t="inlineStr">
        <is>
          <t>1993-04-28</t>
        </is>
      </c>
      <c r="X217" t="inlineStr">
        <is>
          <t>1993-04-28</t>
        </is>
      </c>
      <c r="Y217" t="n">
        <v>492</v>
      </c>
      <c r="Z217" t="n">
        <v>391</v>
      </c>
      <c r="AA217" t="n">
        <v>414</v>
      </c>
      <c r="AB217" t="n">
        <v>3</v>
      </c>
      <c r="AC217" t="n">
        <v>3</v>
      </c>
      <c r="AD217" t="n">
        <v>20</v>
      </c>
      <c r="AE217" t="n">
        <v>21</v>
      </c>
      <c r="AF217" t="n">
        <v>7</v>
      </c>
      <c r="AG217" t="n">
        <v>8</v>
      </c>
      <c r="AH217" t="n">
        <v>5</v>
      </c>
      <c r="AI217" t="n">
        <v>5</v>
      </c>
      <c r="AJ217" t="n">
        <v>11</v>
      </c>
      <c r="AK217" t="n">
        <v>11</v>
      </c>
      <c r="AL217" t="n">
        <v>2</v>
      </c>
      <c r="AM217" t="n">
        <v>2</v>
      </c>
      <c r="AN217" t="n">
        <v>0</v>
      </c>
      <c r="AO217" t="n">
        <v>0</v>
      </c>
      <c r="AP217" t="inlineStr">
        <is>
          <t>No</t>
        </is>
      </c>
      <c r="AQ217" t="inlineStr">
        <is>
          <t>Yes</t>
        </is>
      </c>
      <c r="AR217">
        <f>HYPERLINK("http://catalog.hathitrust.org/Record/000973369","HathiTrust Record")</f>
        <v/>
      </c>
      <c r="AS217">
        <f>HYPERLINK("https://creighton-primo.hosted.exlibrisgroup.com/primo-explore/search?tab=default_tab&amp;search_scope=EVERYTHING&amp;vid=01CRU&amp;lang=en_US&amp;offset=0&amp;query=any,contains,991003603229702656","Catalog Record")</f>
        <v/>
      </c>
      <c r="AT217">
        <f>HYPERLINK("http://www.worldcat.org/oclc/1182054","WorldCat Record")</f>
        <v/>
      </c>
      <c r="AU217" t="inlineStr">
        <is>
          <t>2132786:eng</t>
        </is>
      </c>
      <c r="AV217" t="inlineStr">
        <is>
          <t>1182054</t>
        </is>
      </c>
      <c r="AW217" t="inlineStr">
        <is>
          <t>991003603229702656</t>
        </is>
      </c>
      <c r="AX217" t="inlineStr">
        <is>
          <t>991003603229702656</t>
        </is>
      </c>
      <c r="AY217" t="inlineStr">
        <is>
          <t>2259276730002656</t>
        </is>
      </c>
      <c r="AZ217" t="inlineStr">
        <is>
          <t>BOOK</t>
        </is>
      </c>
      <c r="BC217" t="inlineStr">
        <is>
          <t>32285001629368</t>
        </is>
      </c>
      <c r="BD217" t="inlineStr">
        <is>
          <t>893258614</t>
        </is>
      </c>
    </row>
    <row r="218">
      <c r="A218" t="inlineStr">
        <is>
          <t>No</t>
        </is>
      </c>
      <c r="B218" t="inlineStr">
        <is>
          <t>HM133 .A45 1994</t>
        </is>
      </c>
      <c r="C218" t="inlineStr">
        <is>
          <t>0                      HM 0133000A  45          1994</t>
        </is>
      </c>
      <c r="D218" t="inlineStr">
        <is>
          <t>Group psychology and political theory / C. Fred Alford.</t>
        </is>
      </c>
      <c r="F218" t="inlineStr">
        <is>
          <t>No</t>
        </is>
      </c>
      <c r="G218" t="inlineStr">
        <is>
          <t>1</t>
        </is>
      </c>
      <c r="H218" t="inlineStr">
        <is>
          <t>No</t>
        </is>
      </c>
      <c r="I218" t="inlineStr">
        <is>
          <t>No</t>
        </is>
      </c>
      <c r="J218" t="inlineStr">
        <is>
          <t>0</t>
        </is>
      </c>
      <c r="K218" t="inlineStr">
        <is>
          <t>Alford, C. Fred.</t>
        </is>
      </c>
      <c r="L218" t="inlineStr">
        <is>
          <t>New Haven, Conn. : Yale University Press, c1994.</t>
        </is>
      </c>
      <c r="M218" t="inlineStr">
        <is>
          <t>1994</t>
        </is>
      </c>
      <c r="O218" t="inlineStr">
        <is>
          <t>eng</t>
        </is>
      </c>
      <c r="P218" t="inlineStr">
        <is>
          <t>ctu</t>
        </is>
      </c>
      <c r="R218" t="inlineStr">
        <is>
          <t xml:space="preserve">HM </t>
        </is>
      </c>
      <c r="S218" t="n">
        <v>3</v>
      </c>
      <c r="T218" t="n">
        <v>3</v>
      </c>
      <c r="U218" t="inlineStr">
        <is>
          <t>2003-10-16</t>
        </is>
      </c>
      <c r="V218" t="inlineStr">
        <is>
          <t>2003-10-16</t>
        </is>
      </c>
      <c r="W218" t="inlineStr">
        <is>
          <t>1995-02-22</t>
        </is>
      </c>
      <c r="X218" t="inlineStr">
        <is>
          <t>1995-02-22</t>
        </is>
      </c>
      <c r="Y218" t="n">
        <v>351</v>
      </c>
      <c r="Z218" t="n">
        <v>270</v>
      </c>
      <c r="AA218" t="n">
        <v>452</v>
      </c>
      <c r="AB218" t="n">
        <v>2</v>
      </c>
      <c r="AC218" t="n">
        <v>2</v>
      </c>
      <c r="AD218" t="n">
        <v>13</v>
      </c>
      <c r="AE218" t="n">
        <v>22</v>
      </c>
      <c r="AF218" t="n">
        <v>4</v>
      </c>
      <c r="AG218" t="n">
        <v>9</v>
      </c>
      <c r="AH218" t="n">
        <v>5</v>
      </c>
      <c r="AI218" t="n">
        <v>8</v>
      </c>
      <c r="AJ218" t="n">
        <v>9</v>
      </c>
      <c r="AK218" t="n">
        <v>12</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HYPERLINK("https://creighton-primo.hosted.exlibrisgroup.com/primo-explore/search?tab=default_tab&amp;search_scope=EVERYTHING&amp;vid=01CRU&amp;lang=en_US&amp;offset=0&amp;query=any,contains,991002312949702656","Catalog Record")</f>
        <v/>
      </c>
      <c r="AT218">
        <f>HYPERLINK("http://www.worldcat.org/oclc/30029229","WorldCat Record")</f>
        <v/>
      </c>
      <c r="AU218" t="inlineStr">
        <is>
          <t>32182762:eng</t>
        </is>
      </c>
      <c r="AV218" t="inlineStr">
        <is>
          <t>30029229</t>
        </is>
      </c>
      <c r="AW218" t="inlineStr">
        <is>
          <t>991002312949702656</t>
        </is>
      </c>
      <c r="AX218" t="inlineStr">
        <is>
          <t>991002312949702656</t>
        </is>
      </c>
      <c r="AY218" t="inlineStr">
        <is>
          <t>2259804260002656</t>
        </is>
      </c>
      <c r="AZ218" t="inlineStr">
        <is>
          <t>BOOK</t>
        </is>
      </c>
      <c r="BB218" t="inlineStr">
        <is>
          <t>9780300059588</t>
        </is>
      </c>
      <c r="BC218" t="inlineStr">
        <is>
          <t>32285002000171</t>
        </is>
      </c>
      <c r="BD218" t="inlineStr">
        <is>
          <t>893523454</t>
        </is>
      </c>
    </row>
    <row r="219">
      <c r="A219" t="inlineStr">
        <is>
          <t>No</t>
        </is>
      </c>
      <c r="B219" t="inlineStr">
        <is>
          <t>HM133 .B34</t>
        </is>
      </c>
      <c r="C219" t="inlineStr">
        <is>
          <t>0                      HM 0133000B  34</t>
        </is>
      </c>
      <c r="D219" t="inlineStr">
        <is>
          <t>Personality and interpersonal behavior.</t>
        </is>
      </c>
      <c r="F219" t="inlineStr">
        <is>
          <t>No</t>
        </is>
      </c>
      <c r="G219" t="inlineStr">
        <is>
          <t>1</t>
        </is>
      </c>
      <c r="H219" t="inlineStr">
        <is>
          <t>No</t>
        </is>
      </c>
      <c r="I219" t="inlineStr">
        <is>
          <t>No</t>
        </is>
      </c>
      <c r="J219" t="inlineStr">
        <is>
          <t>0</t>
        </is>
      </c>
      <c r="K219" t="inlineStr">
        <is>
          <t>Bales, Robert Freed, 1916-2004.</t>
        </is>
      </c>
      <c r="L219" t="inlineStr">
        <is>
          <t>New York : Holt, Rinehart, and Winston, [1969, c1970]</t>
        </is>
      </c>
      <c r="M219" t="inlineStr">
        <is>
          <t>1969</t>
        </is>
      </c>
      <c r="O219" t="inlineStr">
        <is>
          <t>eng</t>
        </is>
      </c>
      <c r="P219" t="inlineStr">
        <is>
          <t>nyu</t>
        </is>
      </c>
      <c r="R219" t="inlineStr">
        <is>
          <t xml:space="preserve">HM </t>
        </is>
      </c>
      <c r="S219" t="n">
        <v>7</v>
      </c>
      <c r="T219" t="n">
        <v>7</v>
      </c>
      <c r="U219" t="inlineStr">
        <is>
          <t>2000-06-01</t>
        </is>
      </c>
      <c r="V219" t="inlineStr">
        <is>
          <t>2000-06-01</t>
        </is>
      </c>
      <c r="W219" t="inlineStr">
        <is>
          <t>1993-10-12</t>
        </is>
      </c>
      <c r="X219" t="inlineStr">
        <is>
          <t>1993-10-12</t>
        </is>
      </c>
      <c r="Y219" t="n">
        <v>939</v>
      </c>
      <c r="Z219" t="n">
        <v>734</v>
      </c>
      <c r="AA219" t="n">
        <v>744</v>
      </c>
      <c r="AB219" t="n">
        <v>7</v>
      </c>
      <c r="AC219" t="n">
        <v>7</v>
      </c>
      <c r="AD219" t="n">
        <v>32</v>
      </c>
      <c r="AE219" t="n">
        <v>32</v>
      </c>
      <c r="AF219" t="n">
        <v>10</v>
      </c>
      <c r="AG219" t="n">
        <v>10</v>
      </c>
      <c r="AH219" t="n">
        <v>7</v>
      </c>
      <c r="AI219" t="n">
        <v>7</v>
      </c>
      <c r="AJ219" t="n">
        <v>18</v>
      </c>
      <c r="AK219" t="n">
        <v>18</v>
      </c>
      <c r="AL219" t="n">
        <v>5</v>
      </c>
      <c r="AM219" t="n">
        <v>5</v>
      </c>
      <c r="AN219" t="n">
        <v>0</v>
      </c>
      <c r="AO219" t="n">
        <v>0</v>
      </c>
      <c r="AP219" t="inlineStr">
        <is>
          <t>No</t>
        </is>
      </c>
      <c r="AQ219" t="inlineStr">
        <is>
          <t>Yes</t>
        </is>
      </c>
      <c r="AR219">
        <f>HYPERLINK("http://catalog.hathitrust.org/Record/001108068","HathiTrust Record")</f>
        <v/>
      </c>
      <c r="AS219">
        <f>HYPERLINK("https://creighton-primo.hosted.exlibrisgroup.com/primo-explore/search?tab=default_tab&amp;search_scope=EVERYTHING&amp;vid=01CRU&amp;lang=en_US&amp;offset=0&amp;query=any,contains,991005352819702656","Catalog Record")</f>
        <v/>
      </c>
      <c r="AT219">
        <f>HYPERLINK("http://www.worldcat.org/oclc/48227","WorldCat Record")</f>
        <v/>
      </c>
      <c r="AU219" t="inlineStr">
        <is>
          <t>1217772:eng</t>
        </is>
      </c>
      <c r="AV219" t="inlineStr">
        <is>
          <t>48227</t>
        </is>
      </c>
      <c r="AW219" t="inlineStr">
        <is>
          <t>991005352819702656</t>
        </is>
      </c>
      <c r="AX219" t="inlineStr">
        <is>
          <t>991005352819702656</t>
        </is>
      </c>
      <c r="AY219" t="inlineStr">
        <is>
          <t>2263149340002656</t>
        </is>
      </c>
      <c r="AZ219" t="inlineStr">
        <is>
          <t>BOOK</t>
        </is>
      </c>
      <c r="BB219" t="inlineStr">
        <is>
          <t>9780030804502</t>
        </is>
      </c>
      <c r="BC219" t="inlineStr">
        <is>
          <t>32285001790525</t>
        </is>
      </c>
      <c r="BD219" t="inlineStr">
        <is>
          <t>893443807</t>
        </is>
      </c>
    </row>
    <row r="220">
      <c r="A220" t="inlineStr">
        <is>
          <t>No</t>
        </is>
      </c>
      <c r="B220" t="inlineStr">
        <is>
          <t>HM133 .B343 1979</t>
        </is>
      </c>
      <c r="C220" t="inlineStr">
        <is>
          <t>0                      HM 0133000B  343         1979</t>
        </is>
      </c>
      <c r="D220" t="inlineStr">
        <is>
          <t>SYMLOG : a system for the multiple level observation of groups / Robert F. Bales and Stephen P. Cohen, with the assistance of Stephen A. Williamson.</t>
        </is>
      </c>
      <c r="F220" t="inlineStr">
        <is>
          <t>No</t>
        </is>
      </c>
      <c r="G220" t="inlineStr">
        <is>
          <t>1</t>
        </is>
      </c>
      <c r="H220" t="inlineStr">
        <is>
          <t>No</t>
        </is>
      </c>
      <c r="I220" t="inlineStr">
        <is>
          <t>No</t>
        </is>
      </c>
      <c r="J220" t="inlineStr">
        <is>
          <t>0</t>
        </is>
      </c>
      <c r="K220" t="inlineStr">
        <is>
          <t>Bales, Robert Freed, 1916-2004.</t>
        </is>
      </c>
      <c r="L220" t="inlineStr">
        <is>
          <t>New York : Free Press, c1979.</t>
        </is>
      </c>
      <c r="M220" t="inlineStr">
        <is>
          <t>1979</t>
        </is>
      </c>
      <c r="O220" t="inlineStr">
        <is>
          <t>eng</t>
        </is>
      </c>
      <c r="P220" t="inlineStr">
        <is>
          <t>nyu</t>
        </is>
      </c>
      <c r="R220" t="inlineStr">
        <is>
          <t xml:space="preserve">HM </t>
        </is>
      </c>
      <c r="S220" t="n">
        <v>2</v>
      </c>
      <c r="T220" t="n">
        <v>2</v>
      </c>
      <c r="U220" t="inlineStr">
        <is>
          <t>2000-06-01</t>
        </is>
      </c>
      <c r="V220" t="inlineStr">
        <is>
          <t>2000-06-01</t>
        </is>
      </c>
      <c r="W220" t="inlineStr">
        <is>
          <t>1992-08-25</t>
        </is>
      </c>
      <c r="X220" t="inlineStr">
        <is>
          <t>1992-08-25</t>
        </is>
      </c>
      <c r="Y220" t="n">
        <v>520</v>
      </c>
      <c r="Z220" t="n">
        <v>417</v>
      </c>
      <c r="AA220" t="n">
        <v>419</v>
      </c>
      <c r="AB220" t="n">
        <v>7</v>
      </c>
      <c r="AC220" t="n">
        <v>7</v>
      </c>
      <c r="AD220" t="n">
        <v>22</v>
      </c>
      <c r="AE220" t="n">
        <v>22</v>
      </c>
      <c r="AF220" t="n">
        <v>7</v>
      </c>
      <c r="AG220" t="n">
        <v>7</v>
      </c>
      <c r="AH220" t="n">
        <v>4</v>
      </c>
      <c r="AI220" t="n">
        <v>4</v>
      </c>
      <c r="AJ220" t="n">
        <v>11</v>
      </c>
      <c r="AK220" t="n">
        <v>11</v>
      </c>
      <c r="AL220" t="n">
        <v>6</v>
      </c>
      <c r="AM220" t="n">
        <v>6</v>
      </c>
      <c r="AN220" t="n">
        <v>0</v>
      </c>
      <c r="AO220" t="n">
        <v>0</v>
      </c>
      <c r="AP220" t="inlineStr">
        <is>
          <t>No</t>
        </is>
      </c>
      <c r="AQ220" t="inlineStr">
        <is>
          <t>Yes</t>
        </is>
      </c>
      <c r="AR220">
        <f>HYPERLINK("http://catalog.hathitrust.org/Record/000711605","HathiTrust Record")</f>
        <v/>
      </c>
      <c r="AS220">
        <f>HYPERLINK("https://creighton-primo.hosted.exlibrisgroup.com/primo-explore/search?tab=default_tab&amp;search_scope=EVERYTHING&amp;vid=01CRU&amp;lang=en_US&amp;offset=0&amp;query=any,contains,991005376679702656","Catalog Record")</f>
        <v/>
      </c>
      <c r="AT220">
        <f>HYPERLINK("http://www.worldcat.org/oclc/5102033","WorldCat Record")</f>
        <v/>
      </c>
      <c r="AU220" t="inlineStr">
        <is>
          <t>400350:eng</t>
        </is>
      </c>
      <c r="AV220" t="inlineStr">
        <is>
          <t>5102033</t>
        </is>
      </c>
      <c r="AW220" t="inlineStr">
        <is>
          <t>991005376679702656</t>
        </is>
      </c>
      <c r="AX220" t="inlineStr">
        <is>
          <t>991005376679702656</t>
        </is>
      </c>
      <c r="AY220" t="inlineStr">
        <is>
          <t>2269221160002656</t>
        </is>
      </c>
      <c r="AZ220" t="inlineStr">
        <is>
          <t>BOOK</t>
        </is>
      </c>
      <c r="BB220" t="inlineStr">
        <is>
          <t>9780029013007</t>
        </is>
      </c>
      <c r="BC220" t="inlineStr">
        <is>
          <t>32285001266484</t>
        </is>
      </c>
      <c r="BD220" t="inlineStr">
        <is>
          <t>893613602</t>
        </is>
      </c>
    </row>
    <row r="221">
      <c r="A221" t="inlineStr">
        <is>
          <t>No</t>
        </is>
      </c>
      <c r="B221" t="inlineStr">
        <is>
          <t>HM133 .B478 1996</t>
        </is>
      </c>
      <c r="C221" t="inlineStr">
        <is>
          <t>0                      HM 0133000B  478         1996</t>
        </is>
      </c>
      <c r="D221" t="inlineStr">
        <is>
          <t>Creating groups / Harvey J. Bertcher, Frank F. Maple.</t>
        </is>
      </c>
      <c r="F221" t="inlineStr">
        <is>
          <t>No</t>
        </is>
      </c>
      <c r="G221" t="inlineStr">
        <is>
          <t>1</t>
        </is>
      </c>
      <c r="H221" t="inlineStr">
        <is>
          <t>No</t>
        </is>
      </c>
      <c r="I221" t="inlineStr">
        <is>
          <t>No</t>
        </is>
      </c>
      <c r="J221" t="inlineStr">
        <is>
          <t>0</t>
        </is>
      </c>
      <c r="K221" t="inlineStr">
        <is>
          <t>Bertcher, Harvey J.</t>
        </is>
      </c>
      <c r="L221" t="inlineStr">
        <is>
          <t>Thousand Oaks, Calif. : Sage Publications, c1996.</t>
        </is>
      </c>
      <c r="M221" t="inlineStr">
        <is>
          <t>1996</t>
        </is>
      </c>
      <c r="N221" t="inlineStr">
        <is>
          <t>2nd ed.</t>
        </is>
      </c>
      <c r="O221" t="inlineStr">
        <is>
          <t>eng</t>
        </is>
      </c>
      <c r="P221" t="inlineStr">
        <is>
          <t>cau</t>
        </is>
      </c>
      <c r="Q221" t="inlineStr">
        <is>
          <t>Sage human services guides ; v. 2</t>
        </is>
      </c>
      <c r="R221" t="inlineStr">
        <is>
          <t xml:space="preserve">HM </t>
        </is>
      </c>
      <c r="S221" t="n">
        <v>4</v>
      </c>
      <c r="T221" t="n">
        <v>4</v>
      </c>
      <c r="U221" t="inlineStr">
        <is>
          <t>2009-11-11</t>
        </is>
      </c>
      <c r="V221" t="inlineStr">
        <is>
          <t>2009-11-11</t>
        </is>
      </c>
      <c r="W221" t="inlineStr">
        <is>
          <t>1997-01-21</t>
        </is>
      </c>
      <c r="X221" t="inlineStr">
        <is>
          <t>1997-01-21</t>
        </is>
      </c>
      <c r="Y221" t="n">
        <v>275</v>
      </c>
      <c r="Z221" t="n">
        <v>197</v>
      </c>
      <c r="AA221" t="n">
        <v>452</v>
      </c>
      <c r="AB221" t="n">
        <v>2</v>
      </c>
      <c r="AC221" t="n">
        <v>3</v>
      </c>
      <c r="AD221" t="n">
        <v>13</v>
      </c>
      <c r="AE221" t="n">
        <v>23</v>
      </c>
      <c r="AF221" t="n">
        <v>3</v>
      </c>
      <c r="AG221" t="n">
        <v>9</v>
      </c>
      <c r="AH221" t="n">
        <v>4</v>
      </c>
      <c r="AI221" t="n">
        <v>6</v>
      </c>
      <c r="AJ221" t="n">
        <v>7</v>
      </c>
      <c r="AK221" t="n">
        <v>14</v>
      </c>
      <c r="AL221" t="n">
        <v>1</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HYPERLINK("https://creighton-primo.hosted.exlibrisgroup.com/primo-explore/search?tab=default_tab&amp;search_scope=EVERYTHING&amp;vid=01CRU&amp;lang=en_US&amp;offset=0&amp;query=any,contains,991005422809702656","Catalog Record")</f>
        <v/>
      </c>
      <c r="AT221">
        <f>HYPERLINK("http://www.worldcat.org/oclc/33865370","WorldCat Record")</f>
        <v/>
      </c>
      <c r="AU221" t="inlineStr">
        <is>
          <t>9975021298:eng</t>
        </is>
      </c>
      <c r="AV221" t="inlineStr">
        <is>
          <t>33865370</t>
        </is>
      </c>
      <c r="AW221" t="inlineStr">
        <is>
          <t>991005422809702656</t>
        </is>
      </c>
      <c r="AX221" t="inlineStr">
        <is>
          <t>991005422809702656</t>
        </is>
      </c>
      <c r="AY221" t="inlineStr">
        <is>
          <t>2266201600002656</t>
        </is>
      </c>
      <c r="AZ221" t="inlineStr">
        <is>
          <t>BOOK</t>
        </is>
      </c>
      <c r="BB221" t="inlineStr">
        <is>
          <t>9780803954915</t>
        </is>
      </c>
      <c r="BC221" t="inlineStr">
        <is>
          <t>32285002409794</t>
        </is>
      </c>
      <c r="BD221" t="inlineStr">
        <is>
          <t>893695299</t>
        </is>
      </c>
    </row>
    <row r="222">
      <c r="A222" t="inlineStr">
        <is>
          <t>No</t>
        </is>
      </c>
      <c r="B222" t="inlineStr">
        <is>
          <t>HM133 .B483 1994</t>
        </is>
      </c>
      <c r="C222" t="inlineStr">
        <is>
          <t>0                      HM 0133000B  483         1994</t>
        </is>
      </c>
      <c r="D222" t="inlineStr">
        <is>
          <t>Group participation : techniques for leaders and members / Harvey J. Bertcher.</t>
        </is>
      </c>
      <c r="F222" t="inlineStr">
        <is>
          <t>No</t>
        </is>
      </c>
      <c r="G222" t="inlineStr">
        <is>
          <t>1</t>
        </is>
      </c>
      <c r="H222" t="inlineStr">
        <is>
          <t>No</t>
        </is>
      </c>
      <c r="I222" t="inlineStr">
        <is>
          <t>Yes</t>
        </is>
      </c>
      <c r="J222" t="inlineStr">
        <is>
          <t>0</t>
        </is>
      </c>
      <c r="K222" t="inlineStr">
        <is>
          <t>Bertcher, Harvey J.</t>
        </is>
      </c>
      <c r="L222" t="inlineStr">
        <is>
          <t>Thousand Oaks, Calif. : Published in cooperation with the University of Michigan School of Social Work [by] Sage Publications, c1994.</t>
        </is>
      </c>
      <c r="M222" t="inlineStr">
        <is>
          <t>1994</t>
        </is>
      </c>
      <c r="N222" t="inlineStr">
        <is>
          <t>2nd ed.</t>
        </is>
      </c>
      <c r="O222" t="inlineStr">
        <is>
          <t>eng</t>
        </is>
      </c>
      <c r="P222" t="inlineStr">
        <is>
          <t>cau</t>
        </is>
      </c>
      <c r="Q222" t="inlineStr">
        <is>
          <t>Sage human services guide ; v. 10</t>
        </is>
      </c>
      <c r="R222" t="inlineStr">
        <is>
          <t xml:space="preserve">HM </t>
        </is>
      </c>
      <c r="S222" t="n">
        <v>3</v>
      </c>
      <c r="T222" t="n">
        <v>3</v>
      </c>
      <c r="U222" t="inlineStr">
        <is>
          <t>2006-09-21</t>
        </is>
      </c>
      <c r="V222" t="inlineStr">
        <is>
          <t>2006-09-21</t>
        </is>
      </c>
      <c r="W222" t="inlineStr">
        <is>
          <t>1999-04-22</t>
        </is>
      </c>
      <c r="X222" t="inlineStr">
        <is>
          <t>1999-04-22</t>
        </is>
      </c>
      <c r="Y222" t="n">
        <v>353</v>
      </c>
      <c r="Z222" t="n">
        <v>245</v>
      </c>
      <c r="AA222" t="n">
        <v>556</v>
      </c>
      <c r="AB222" t="n">
        <v>3</v>
      </c>
      <c r="AC222" t="n">
        <v>8</v>
      </c>
      <c r="AD222" t="n">
        <v>10</v>
      </c>
      <c r="AE222" t="n">
        <v>30</v>
      </c>
      <c r="AF222" t="n">
        <v>4</v>
      </c>
      <c r="AG222" t="n">
        <v>13</v>
      </c>
      <c r="AH222" t="n">
        <v>1</v>
      </c>
      <c r="AI222" t="n">
        <v>3</v>
      </c>
      <c r="AJ222" t="n">
        <v>4</v>
      </c>
      <c r="AK222" t="n">
        <v>15</v>
      </c>
      <c r="AL222" t="n">
        <v>2</v>
      </c>
      <c r="AM222" t="n">
        <v>6</v>
      </c>
      <c r="AN222" t="n">
        <v>0</v>
      </c>
      <c r="AO222" t="n">
        <v>0</v>
      </c>
      <c r="AP222" t="inlineStr">
        <is>
          <t>No</t>
        </is>
      </c>
      <c r="AQ222" t="inlineStr">
        <is>
          <t>Yes</t>
        </is>
      </c>
      <c r="AR222">
        <f>HYPERLINK("http://catalog.hathitrust.org/Record/002736978","HathiTrust Record")</f>
        <v/>
      </c>
      <c r="AS222">
        <f>HYPERLINK("https://creighton-primo.hosted.exlibrisgroup.com/primo-explore/search?tab=default_tab&amp;search_scope=EVERYTHING&amp;vid=01CRU&amp;lang=en_US&amp;offset=0&amp;query=any,contains,991005417469702656","Catalog Record")</f>
        <v/>
      </c>
      <c r="AT222">
        <f>HYPERLINK("http://www.worldcat.org/oclc/28665502","WorldCat Record")</f>
        <v/>
      </c>
      <c r="AU222" t="inlineStr">
        <is>
          <t>14919324:eng</t>
        </is>
      </c>
      <c r="AV222" t="inlineStr">
        <is>
          <t>28665502</t>
        </is>
      </c>
      <c r="AW222" t="inlineStr">
        <is>
          <t>991005417469702656</t>
        </is>
      </c>
      <c r="AX222" t="inlineStr">
        <is>
          <t>991005417469702656</t>
        </is>
      </c>
      <c r="AY222" t="inlineStr">
        <is>
          <t>2267728280002656</t>
        </is>
      </c>
      <c r="AZ222" t="inlineStr">
        <is>
          <t>BOOK</t>
        </is>
      </c>
      <c r="BB222" t="inlineStr">
        <is>
          <t>9780803952133</t>
        </is>
      </c>
      <c r="BC222" t="inlineStr">
        <is>
          <t>32285003554655</t>
        </is>
      </c>
      <c r="BD222" t="inlineStr">
        <is>
          <t>893607362</t>
        </is>
      </c>
    </row>
    <row r="223">
      <c r="A223" t="inlineStr">
        <is>
          <t>No</t>
        </is>
      </c>
      <c r="B223" t="inlineStr">
        <is>
          <t>HM133 .B6 1978</t>
        </is>
      </c>
      <c r="C223" t="inlineStr">
        <is>
          <t>0                      HM 0133000B  6           1978</t>
        </is>
      </c>
      <c r="D223" t="inlineStr">
        <is>
          <t>Group development / edited by Leland P. Bradford.</t>
        </is>
      </c>
      <c r="F223" t="inlineStr">
        <is>
          <t>No</t>
        </is>
      </c>
      <c r="G223" t="inlineStr">
        <is>
          <t>1</t>
        </is>
      </c>
      <c r="H223" t="inlineStr">
        <is>
          <t>No</t>
        </is>
      </c>
      <c r="I223" t="inlineStr">
        <is>
          <t>No</t>
        </is>
      </c>
      <c r="J223" t="inlineStr">
        <is>
          <t>0</t>
        </is>
      </c>
      <c r="K223" t="inlineStr">
        <is>
          <t>Bradford, Leland P. (Leland Powers), 1905-1981 editor.</t>
        </is>
      </c>
      <c r="L223" t="inlineStr">
        <is>
          <t>La Jolla, Calif. : University Associates, c1978.</t>
        </is>
      </c>
      <c r="M223" t="inlineStr">
        <is>
          <t>1978</t>
        </is>
      </c>
      <c r="N223" t="inlineStr">
        <is>
          <t>2d ed., rev. and enl.</t>
        </is>
      </c>
      <c r="O223" t="inlineStr">
        <is>
          <t>eng</t>
        </is>
      </c>
      <c r="P223" t="inlineStr">
        <is>
          <t>cau</t>
        </is>
      </c>
      <c r="R223" t="inlineStr">
        <is>
          <t xml:space="preserve">HM </t>
        </is>
      </c>
      <c r="S223" t="n">
        <v>12</v>
      </c>
      <c r="T223" t="n">
        <v>12</v>
      </c>
      <c r="U223" t="inlineStr">
        <is>
          <t>2001-03-18</t>
        </is>
      </c>
      <c r="V223" t="inlineStr">
        <is>
          <t>2001-03-18</t>
        </is>
      </c>
      <c r="W223" t="inlineStr">
        <is>
          <t>1990-08-09</t>
        </is>
      </c>
      <c r="X223" t="inlineStr">
        <is>
          <t>1990-08-09</t>
        </is>
      </c>
      <c r="Y223" t="n">
        <v>496</v>
      </c>
      <c r="Z223" t="n">
        <v>392</v>
      </c>
      <c r="AA223" t="n">
        <v>459</v>
      </c>
      <c r="AB223" t="n">
        <v>4</v>
      </c>
      <c r="AC223" t="n">
        <v>7</v>
      </c>
      <c r="AD223" t="n">
        <v>14</v>
      </c>
      <c r="AE223" t="n">
        <v>19</v>
      </c>
      <c r="AF223" t="n">
        <v>4</v>
      </c>
      <c r="AG223" t="n">
        <v>5</v>
      </c>
      <c r="AH223" t="n">
        <v>2</v>
      </c>
      <c r="AI223" t="n">
        <v>4</v>
      </c>
      <c r="AJ223" t="n">
        <v>8</v>
      </c>
      <c r="AK223" t="n">
        <v>9</v>
      </c>
      <c r="AL223" t="n">
        <v>3</v>
      </c>
      <c r="AM223" t="n">
        <v>5</v>
      </c>
      <c r="AN223" t="n">
        <v>0</v>
      </c>
      <c r="AO223" t="n">
        <v>0</v>
      </c>
      <c r="AP223" t="inlineStr">
        <is>
          <t>No</t>
        </is>
      </c>
      <c r="AQ223" t="inlineStr">
        <is>
          <t>Yes</t>
        </is>
      </c>
      <c r="AR223">
        <f>HYPERLINK("http://catalog.hathitrust.org/Record/000176076","HathiTrust Record")</f>
        <v/>
      </c>
      <c r="AS223">
        <f>HYPERLINK("https://creighton-primo.hosted.exlibrisgroup.com/primo-explore/search?tab=default_tab&amp;search_scope=EVERYTHING&amp;vid=01CRU&amp;lang=en_US&amp;offset=0&amp;query=any,contains,991004560309702656","Catalog Record")</f>
        <v/>
      </c>
      <c r="AT223">
        <f>HYPERLINK("http://www.worldcat.org/oclc/3995408","WorldCat Record")</f>
        <v/>
      </c>
      <c r="AU223" t="inlineStr">
        <is>
          <t>1351106:eng</t>
        </is>
      </c>
      <c r="AV223" t="inlineStr">
        <is>
          <t>3995408</t>
        </is>
      </c>
      <c r="AW223" t="inlineStr">
        <is>
          <t>991004560309702656</t>
        </is>
      </c>
      <c r="AX223" t="inlineStr">
        <is>
          <t>991004560309702656</t>
        </is>
      </c>
      <c r="AY223" t="inlineStr">
        <is>
          <t>2264630810002656</t>
        </is>
      </c>
      <c r="AZ223" t="inlineStr">
        <is>
          <t>BOOK</t>
        </is>
      </c>
      <c r="BB223" t="inlineStr">
        <is>
          <t>9780883901441</t>
        </is>
      </c>
      <c r="BC223" t="inlineStr">
        <is>
          <t>32285000272988</t>
        </is>
      </c>
      <c r="BD223" t="inlineStr">
        <is>
          <t>893519801</t>
        </is>
      </c>
    </row>
    <row r="224">
      <c r="A224" t="inlineStr">
        <is>
          <t>No</t>
        </is>
      </c>
      <c r="B224" t="inlineStr">
        <is>
          <t>HM133 .B63</t>
        </is>
      </c>
      <c r="C224" t="inlineStr">
        <is>
          <t>0                      HM 0133000B  63</t>
        </is>
      </c>
      <c r="D224" t="inlineStr">
        <is>
          <t>Making meetings work : a guide for leaders and group members / Leland P. Bradford.</t>
        </is>
      </c>
      <c r="F224" t="inlineStr">
        <is>
          <t>No</t>
        </is>
      </c>
      <c r="G224" t="inlineStr">
        <is>
          <t>1</t>
        </is>
      </c>
      <c r="H224" t="inlineStr">
        <is>
          <t>No</t>
        </is>
      </c>
      <c r="I224" t="inlineStr">
        <is>
          <t>No</t>
        </is>
      </c>
      <c r="J224" t="inlineStr">
        <is>
          <t>0</t>
        </is>
      </c>
      <c r="K224" t="inlineStr">
        <is>
          <t>Bradford, Leland P. (Leland Powers), 1905-1981.</t>
        </is>
      </c>
      <c r="L224" t="inlineStr">
        <is>
          <t>La Jolla, Calif. : University Associates, c1976.</t>
        </is>
      </c>
      <c r="M224" t="inlineStr">
        <is>
          <t>1976</t>
        </is>
      </c>
      <c r="O224" t="inlineStr">
        <is>
          <t>eng</t>
        </is>
      </c>
      <c r="P224" t="inlineStr">
        <is>
          <t>cau</t>
        </is>
      </c>
      <c r="R224" t="inlineStr">
        <is>
          <t xml:space="preserve">HM </t>
        </is>
      </c>
      <c r="S224" t="n">
        <v>7</v>
      </c>
      <c r="T224" t="n">
        <v>7</v>
      </c>
      <c r="U224" t="inlineStr">
        <is>
          <t>2002-03-25</t>
        </is>
      </c>
      <c r="V224" t="inlineStr">
        <is>
          <t>2002-03-25</t>
        </is>
      </c>
      <c r="W224" t="inlineStr">
        <is>
          <t>1993-07-01</t>
        </is>
      </c>
      <c r="X224" t="inlineStr">
        <is>
          <t>1993-07-01</t>
        </is>
      </c>
      <c r="Y224" t="n">
        <v>680</v>
      </c>
      <c r="Z224" t="n">
        <v>559</v>
      </c>
      <c r="AA224" t="n">
        <v>583</v>
      </c>
      <c r="AB224" t="n">
        <v>8</v>
      </c>
      <c r="AC224" t="n">
        <v>8</v>
      </c>
      <c r="AD224" t="n">
        <v>22</v>
      </c>
      <c r="AE224" t="n">
        <v>24</v>
      </c>
      <c r="AF224" t="n">
        <v>6</v>
      </c>
      <c r="AG224" t="n">
        <v>7</v>
      </c>
      <c r="AH224" t="n">
        <v>2</v>
      </c>
      <c r="AI224" t="n">
        <v>3</v>
      </c>
      <c r="AJ224" t="n">
        <v>12</v>
      </c>
      <c r="AK224" t="n">
        <v>12</v>
      </c>
      <c r="AL224" t="n">
        <v>6</v>
      </c>
      <c r="AM224" t="n">
        <v>6</v>
      </c>
      <c r="AN224" t="n">
        <v>0</v>
      </c>
      <c r="AO224" t="n">
        <v>0</v>
      </c>
      <c r="AP224" t="inlineStr">
        <is>
          <t>No</t>
        </is>
      </c>
      <c r="AQ224" t="inlineStr">
        <is>
          <t>Yes</t>
        </is>
      </c>
      <c r="AR224">
        <f>HYPERLINK("http://catalog.hathitrust.org/Record/000170790","HathiTrust Record")</f>
        <v/>
      </c>
      <c r="AS224">
        <f>HYPERLINK("https://creighton-primo.hosted.exlibrisgroup.com/primo-explore/search?tab=default_tab&amp;search_scope=EVERYTHING&amp;vid=01CRU&amp;lang=en_US&amp;offset=0&amp;query=any,contains,991004214579702656","Catalog Record")</f>
        <v/>
      </c>
      <c r="AT224">
        <f>HYPERLINK("http://www.worldcat.org/oclc/2694878","WorldCat Record")</f>
        <v/>
      </c>
      <c r="AU224" t="inlineStr">
        <is>
          <t>544185:eng</t>
        </is>
      </c>
      <c r="AV224" t="inlineStr">
        <is>
          <t>2694878</t>
        </is>
      </c>
      <c r="AW224" t="inlineStr">
        <is>
          <t>991004214579702656</t>
        </is>
      </c>
      <c r="AX224" t="inlineStr">
        <is>
          <t>991004214579702656</t>
        </is>
      </c>
      <c r="AY224" t="inlineStr">
        <is>
          <t>2265041640002656</t>
        </is>
      </c>
      <c r="AZ224" t="inlineStr">
        <is>
          <t>BOOK</t>
        </is>
      </c>
      <c r="BB224" t="inlineStr">
        <is>
          <t>9780883901229</t>
        </is>
      </c>
      <c r="BC224" t="inlineStr">
        <is>
          <t>32285001699858</t>
        </is>
      </c>
      <c r="BD224" t="inlineStr">
        <is>
          <t>893229067</t>
        </is>
      </c>
    </row>
    <row r="225">
      <c r="A225" t="inlineStr">
        <is>
          <t>No</t>
        </is>
      </c>
      <c r="B225" t="inlineStr">
        <is>
          <t>HM133 .C35 1968</t>
        </is>
      </c>
      <c r="C225" t="inlineStr">
        <is>
          <t>0                      HM 0133000C  35          1968</t>
        </is>
      </c>
      <c r="D225" t="inlineStr">
        <is>
          <t>Group dynamics; research and theory, edited by Dorwin Cartwright [and] Alvin Zander.</t>
        </is>
      </c>
      <c r="F225" t="inlineStr">
        <is>
          <t>No</t>
        </is>
      </c>
      <c r="G225" t="inlineStr">
        <is>
          <t>1</t>
        </is>
      </c>
      <c r="H225" t="inlineStr">
        <is>
          <t>No</t>
        </is>
      </c>
      <c r="I225" t="inlineStr">
        <is>
          <t>Yes</t>
        </is>
      </c>
      <c r="J225" t="inlineStr">
        <is>
          <t>0</t>
        </is>
      </c>
      <c r="K225" t="inlineStr">
        <is>
          <t>Cartwright, Dorwin, editor.</t>
        </is>
      </c>
      <c r="L225" t="inlineStr">
        <is>
          <t>New York, Harper &amp; Row [1968]</t>
        </is>
      </c>
      <c r="M225" t="inlineStr">
        <is>
          <t>1968</t>
        </is>
      </c>
      <c r="N225" t="inlineStr">
        <is>
          <t>3d ed.</t>
        </is>
      </c>
      <c r="O225" t="inlineStr">
        <is>
          <t>eng</t>
        </is>
      </c>
      <c r="P225" t="inlineStr">
        <is>
          <t>nyu</t>
        </is>
      </c>
      <c r="R225" t="inlineStr">
        <is>
          <t xml:space="preserve">HM </t>
        </is>
      </c>
      <c r="S225" t="n">
        <v>8</v>
      </c>
      <c r="T225" t="n">
        <v>8</v>
      </c>
      <c r="U225" t="inlineStr">
        <is>
          <t>2003-10-28</t>
        </is>
      </c>
      <c r="V225" t="inlineStr">
        <is>
          <t>2003-10-28</t>
        </is>
      </c>
      <c r="W225" t="inlineStr">
        <is>
          <t>1997-07-29</t>
        </is>
      </c>
      <c r="X225" t="inlineStr">
        <is>
          <t>1997-07-29</t>
        </is>
      </c>
      <c r="Y225" t="n">
        <v>1151</v>
      </c>
      <c r="Z225" t="n">
        <v>944</v>
      </c>
      <c r="AA225" t="n">
        <v>1269</v>
      </c>
      <c r="AB225" t="n">
        <v>3</v>
      </c>
      <c r="AC225" t="n">
        <v>8</v>
      </c>
      <c r="AD225" t="n">
        <v>40</v>
      </c>
      <c r="AE225" t="n">
        <v>48</v>
      </c>
      <c r="AF225" t="n">
        <v>19</v>
      </c>
      <c r="AG225" t="n">
        <v>21</v>
      </c>
      <c r="AH225" t="n">
        <v>8</v>
      </c>
      <c r="AI225" t="n">
        <v>9</v>
      </c>
      <c r="AJ225" t="n">
        <v>20</v>
      </c>
      <c r="AK225" t="n">
        <v>22</v>
      </c>
      <c r="AL225" t="n">
        <v>2</v>
      </c>
      <c r="AM225" t="n">
        <v>6</v>
      </c>
      <c r="AN225" t="n">
        <v>1</v>
      </c>
      <c r="AO225" t="n">
        <v>2</v>
      </c>
      <c r="AP225" t="inlineStr">
        <is>
          <t>No</t>
        </is>
      </c>
      <c r="AQ225" t="inlineStr">
        <is>
          <t>Yes</t>
        </is>
      </c>
      <c r="AR225">
        <f>HYPERLINK("http://catalog.hathitrust.org/Record/000965232","HathiTrust Record")</f>
        <v/>
      </c>
      <c r="AS225">
        <f>HYPERLINK("https://creighton-primo.hosted.exlibrisgroup.com/primo-explore/search?tab=default_tab&amp;search_scope=EVERYTHING&amp;vid=01CRU&amp;lang=en_US&amp;offset=0&amp;query=any,contains,991005355409702656","Catalog Record")</f>
        <v/>
      </c>
      <c r="AT225">
        <f>HYPERLINK("http://www.worldcat.org/oclc/437148","WorldCat Record")</f>
        <v/>
      </c>
      <c r="AU225" t="inlineStr">
        <is>
          <t>365398629:eng</t>
        </is>
      </c>
      <c r="AV225" t="inlineStr">
        <is>
          <t>437148</t>
        </is>
      </c>
      <c r="AW225" t="inlineStr">
        <is>
          <t>991005355409702656</t>
        </is>
      </c>
      <c r="AX225" t="inlineStr">
        <is>
          <t>991005355409702656</t>
        </is>
      </c>
      <c r="AY225" t="inlineStr">
        <is>
          <t>2267911270002656</t>
        </is>
      </c>
      <c r="AZ225" t="inlineStr">
        <is>
          <t>BOOK</t>
        </is>
      </c>
      <c r="BC225" t="inlineStr">
        <is>
          <t>32285003015970</t>
        </is>
      </c>
      <c r="BD225" t="inlineStr">
        <is>
          <t>893890079</t>
        </is>
      </c>
    </row>
    <row r="226">
      <c r="A226" t="inlineStr">
        <is>
          <t>No</t>
        </is>
      </c>
      <c r="B226" t="inlineStr">
        <is>
          <t>HM133 .D64 1986</t>
        </is>
      </c>
      <c r="C226" t="inlineStr">
        <is>
          <t>0                      HM 0133000D  64          1986</t>
        </is>
      </c>
      <c r="D226" t="inlineStr">
        <is>
          <t>Human resource development : the new trainer's guide / Les Donaldson, Edward E. Scannell.</t>
        </is>
      </c>
      <c r="F226" t="inlineStr">
        <is>
          <t>No</t>
        </is>
      </c>
      <c r="G226" t="inlineStr">
        <is>
          <t>1</t>
        </is>
      </c>
      <c r="H226" t="inlineStr">
        <is>
          <t>No</t>
        </is>
      </c>
      <c r="I226" t="inlineStr">
        <is>
          <t>No</t>
        </is>
      </c>
      <c r="J226" t="inlineStr">
        <is>
          <t>0</t>
        </is>
      </c>
      <c r="K226" t="inlineStr">
        <is>
          <t>Donaldson, Les, 1928-</t>
        </is>
      </c>
      <c r="L226" t="inlineStr">
        <is>
          <t>Reading, Mass. : Addison-Wesley, c1986.</t>
        </is>
      </c>
      <c r="M226" t="inlineStr">
        <is>
          <t>1986</t>
        </is>
      </c>
      <c r="N226" t="inlineStr">
        <is>
          <t>2nd ed.</t>
        </is>
      </c>
      <c r="O226" t="inlineStr">
        <is>
          <t>eng</t>
        </is>
      </c>
      <c r="P226" t="inlineStr">
        <is>
          <t>mau</t>
        </is>
      </c>
      <c r="R226" t="inlineStr">
        <is>
          <t xml:space="preserve">HM </t>
        </is>
      </c>
      <c r="S226" t="n">
        <v>4</v>
      </c>
      <c r="T226" t="n">
        <v>4</v>
      </c>
      <c r="U226" t="inlineStr">
        <is>
          <t>2002-12-05</t>
        </is>
      </c>
      <c r="V226" t="inlineStr">
        <is>
          <t>2002-12-05</t>
        </is>
      </c>
      <c r="W226" t="inlineStr">
        <is>
          <t>1992-08-28</t>
        </is>
      </c>
      <c r="X226" t="inlineStr">
        <is>
          <t>1992-08-28</t>
        </is>
      </c>
      <c r="Y226" t="n">
        <v>208</v>
      </c>
      <c r="Z226" t="n">
        <v>121</v>
      </c>
      <c r="AA226" t="n">
        <v>393</v>
      </c>
      <c r="AB226" t="n">
        <v>1</v>
      </c>
      <c r="AC226" t="n">
        <v>5</v>
      </c>
      <c r="AD226" t="n">
        <v>5</v>
      </c>
      <c r="AE226" t="n">
        <v>22</v>
      </c>
      <c r="AF226" t="n">
        <v>4</v>
      </c>
      <c r="AG226" t="n">
        <v>9</v>
      </c>
      <c r="AH226" t="n">
        <v>1</v>
      </c>
      <c r="AI226" t="n">
        <v>4</v>
      </c>
      <c r="AJ226" t="n">
        <v>3</v>
      </c>
      <c r="AK226" t="n">
        <v>14</v>
      </c>
      <c r="AL226" t="n">
        <v>0</v>
      </c>
      <c r="AM226" t="n">
        <v>3</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HYPERLINK("https://creighton-primo.hosted.exlibrisgroup.com/primo-explore/search?tab=default_tab&amp;search_scope=EVERYTHING&amp;vid=01CRU&amp;lang=en_US&amp;offset=0&amp;query=any,contains,991000825639702656","Catalog Record")</f>
        <v/>
      </c>
      <c r="AT226">
        <f>HYPERLINK("http://www.worldcat.org/oclc/13423130","WorldCat Record")</f>
        <v/>
      </c>
      <c r="AU226" t="inlineStr">
        <is>
          <t>7231787:eng</t>
        </is>
      </c>
      <c r="AV226" t="inlineStr">
        <is>
          <t>13423130</t>
        </is>
      </c>
      <c r="AW226" t="inlineStr">
        <is>
          <t>991000825639702656</t>
        </is>
      </c>
      <c r="AX226" t="inlineStr">
        <is>
          <t>991000825639702656</t>
        </is>
      </c>
      <c r="AY226" t="inlineStr">
        <is>
          <t>2266165520002656</t>
        </is>
      </c>
      <c r="AZ226" t="inlineStr">
        <is>
          <t>BOOK</t>
        </is>
      </c>
      <c r="BB226" t="inlineStr">
        <is>
          <t>9780201030877</t>
        </is>
      </c>
      <c r="BC226" t="inlineStr">
        <is>
          <t>32285001266500</t>
        </is>
      </c>
      <c r="BD226" t="inlineStr">
        <is>
          <t>893595923</t>
        </is>
      </c>
    </row>
    <row r="227">
      <c r="A227" t="inlineStr">
        <is>
          <t>No</t>
        </is>
      </c>
      <c r="B227" t="inlineStr">
        <is>
          <t>HM133 .D84</t>
        </is>
      </c>
      <c r="C227" t="inlineStr">
        <is>
          <t>0                      HM 0133000D  84</t>
        </is>
      </c>
      <c r="D227" t="inlineStr">
        <is>
          <t>The primary group; a handbook for analysis and field research [by] Dexter C. Dunphy. With the collaboration of David Fraser, Eric Neilsen &amp; Ricardo Zuniga.</t>
        </is>
      </c>
      <c r="F227" t="inlineStr">
        <is>
          <t>No</t>
        </is>
      </c>
      <c r="G227" t="inlineStr">
        <is>
          <t>1</t>
        </is>
      </c>
      <c r="H227" t="inlineStr">
        <is>
          <t>No</t>
        </is>
      </c>
      <c r="I227" t="inlineStr">
        <is>
          <t>No</t>
        </is>
      </c>
      <c r="J227" t="inlineStr">
        <is>
          <t>0</t>
        </is>
      </c>
      <c r="K227" t="inlineStr">
        <is>
          <t>Dunphy, Dexter C. (Dexter Colboyd), 1934-</t>
        </is>
      </c>
      <c r="L227" t="inlineStr">
        <is>
          <t>New York, Appleton-Century-Crofts, [1972]</t>
        </is>
      </c>
      <c r="M227" t="inlineStr">
        <is>
          <t>1972</t>
        </is>
      </c>
      <c r="O227" t="inlineStr">
        <is>
          <t>eng</t>
        </is>
      </c>
      <c r="P227" t="inlineStr">
        <is>
          <t>nyu</t>
        </is>
      </c>
      <c r="R227" t="inlineStr">
        <is>
          <t xml:space="preserve">HM </t>
        </is>
      </c>
      <c r="S227" t="n">
        <v>1</v>
      </c>
      <c r="T227" t="n">
        <v>1</v>
      </c>
      <c r="U227" t="inlineStr">
        <is>
          <t>2008-03-11</t>
        </is>
      </c>
      <c r="V227" t="inlineStr">
        <is>
          <t>2008-03-11</t>
        </is>
      </c>
      <c r="W227" t="inlineStr">
        <is>
          <t>1997-07-29</t>
        </is>
      </c>
      <c r="X227" t="inlineStr">
        <is>
          <t>1997-07-29</t>
        </is>
      </c>
      <c r="Y227" t="n">
        <v>372</v>
      </c>
      <c r="Z227" t="n">
        <v>302</v>
      </c>
      <c r="AA227" t="n">
        <v>308</v>
      </c>
      <c r="AB227" t="n">
        <v>4</v>
      </c>
      <c r="AC227" t="n">
        <v>4</v>
      </c>
      <c r="AD227" t="n">
        <v>16</v>
      </c>
      <c r="AE227" t="n">
        <v>16</v>
      </c>
      <c r="AF227" t="n">
        <v>3</v>
      </c>
      <c r="AG227" t="n">
        <v>3</v>
      </c>
      <c r="AH227" t="n">
        <v>3</v>
      </c>
      <c r="AI227" t="n">
        <v>3</v>
      </c>
      <c r="AJ227" t="n">
        <v>10</v>
      </c>
      <c r="AK227" t="n">
        <v>10</v>
      </c>
      <c r="AL227" t="n">
        <v>3</v>
      </c>
      <c r="AM227" t="n">
        <v>3</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HYPERLINK("https://creighton-primo.hosted.exlibrisgroup.com/primo-explore/search?tab=default_tab&amp;search_scope=EVERYTHING&amp;vid=01CRU&amp;lang=en_US&amp;offset=0&amp;query=any,contains,991002395449702656","Catalog Record")</f>
        <v/>
      </c>
      <c r="AT227">
        <f>HYPERLINK("http://www.worldcat.org/oclc/334473","WorldCat Record")</f>
        <v/>
      </c>
      <c r="AU227" t="inlineStr">
        <is>
          <t>199160764:eng</t>
        </is>
      </c>
      <c r="AV227" t="inlineStr">
        <is>
          <t>334473</t>
        </is>
      </c>
      <c r="AW227" t="inlineStr">
        <is>
          <t>991002395449702656</t>
        </is>
      </c>
      <c r="AX227" t="inlineStr">
        <is>
          <t>991002395449702656</t>
        </is>
      </c>
      <c r="AY227" t="inlineStr">
        <is>
          <t>2257403910002656</t>
        </is>
      </c>
      <c r="AZ227" t="inlineStr">
        <is>
          <t>BOOK</t>
        </is>
      </c>
      <c r="BC227" t="inlineStr">
        <is>
          <t>32285003015996</t>
        </is>
      </c>
      <c r="BD227" t="inlineStr">
        <is>
          <t>893873459</t>
        </is>
      </c>
    </row>
    <row r="228">
      <c r="A228" t="inlineStr">
        <is>
          <t>No</t>
        </is>
      </c>
      <c r="B228" t="inlineStr">
        <is>
          <t>HM133 .E45</t>
        </is>
      </c>
      <c r="C228" t="inlineStr">
        <is>
          <t>0                      HM 0133000E  45</t>
        </is>
      </c>
      <c r="D228" t="inlineStr">
        <is>
          <t>Encounter : group processes for interpersonal growth / [by] Gerard Egan.</t>
        </is>
      </c>
      <c r="F228" t="inlineStr">
        <is>
          <t>No</t>
        </is>
      </c>
      <c r="G228" t="inlineStr">
        <is>
          <t>1</t>
        </is>
      </c>
      <c r="H228" t="inlineStr">
        <is>
          <t>No</t>
        </is>
      </c>
      <c r="I228" t="inlineStr">
        <is>
          <t>No</t>
        </is>
      </c>
      <c r="J228" t="inlineStr">
        <is>
          <t>0</t>
        </is>
      </c>
      <c r="K228" t="inlineStr">
        <is>
          <t>Egan, Gerard.</t>
        </is>
      </c>
      <c r="L228" t="inlineStr">
        <is>
          <t>Belmont, Calif. : Brooks/Cole Pub. Co., [1970]</t>
        </is>
      </c>
      <c r="M228" t="inlineStr">
        <is>
          <t>1970</t>
        </is>
      </c>
      <c r="O228" t="inlineStr">
        <is>
          <t>eng</t>
        </is>
      </c>
      <c r="P228" t="inlineStr">
        <is>
          <t>cau</t>
        </is>
      </c>
      <c r="R228" t="inlineStr">
        <is>
          <t xml:space="preserve">HM </t>
        </is>
      </c>
      <c r="S228" t="n">
        <v>1</v>
      </c>
      <c r="T228" t="n">
        <v>1</v>
      </c>
      <c r="U228" t="inlineStr">
        <is>
          <t>2008-01-15</t>
        </is>
      </c>
      <c r="V228" t="inlineStr">
        <is>
          <t>2008-01-15</t>
        </is>
      </c>
      <c r="W228" t="inlineStr">
        <is>
          <t>1990-07-31</t>
        </is>
      </c>
      <c r="X228" t="inlineStr">
        <is>
          <t>1990-07-31</t>
        </is>
      </c>
      <c r="Y228" t="n">
        <v>719</v>
      </c>
      <c r="Z228" t="n">
        <v>594</v>
      </c>
      <c r="AA228" t="n">
        <v>600</v>
      </c>
      <c r="AB228" t="n">
        <v>3</v>
      </c>
      <c r="AC228" t="n">
        <v>3</v>
      </c>
      <c r="AD228" t="n">
        <v>20</v>
      </c>
      <c r="AE228" t="n">
        <v>20</v>
      </c>
      <c r="AF228" t="n">
        <v>8</v>
      </c>
      <c r="AG228" t="n">
        <v>8</v>
      </c>
      <c r="AH228" t="n">
        <v>5</v>
      </c>
      <c r="AI228" t="n">
        <v>5</v>
      </c>
      <c r="AJ228" t="n">
        <v>10</v>
      </c>
      <c r="AK228" t="n">
        <v>10</v>
      </c>
      <c r="AL228" t="n">
        <v>2</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HYPERLINK("https://creighton-primo.hosted.exlibrisgroup.com/primo-explore/search?tab=default_tab&amp;search_scope=EVERYTHING&amp;vid=01CRU&amp;lang=en_US&amp;offset=0&amp;query=any,contains,991000436359702656","Catalog Record")</f>
        <v/>
      </c>
      <c r="AT228">
        <f>HYPERLINK("http://www.worldcat.org/oclc/76076","WorldCat Record")</f>
        <v/>
      </c>
      <c r="AU228" t="inlineStr">
        <is>
          <t>292663454:eng</t>
        </is>
      </c>
      <c r="AV228" t="inlineStr">
        <is>
          <t>76076</t>
        </is>
      </c>
      <c r="AW228" t="inlineStr">
        <is>
          <t>991000436359702656</t>
        </is>
      </c>
      <c r="AX228" t="inlineStr">
        <is>
          <t>991000436359702656</t>
        </is>
      </c>
      <c r="AY228" t="inlineStr">
        <is>
          <t>2255441870002656</t>
        </is>
      </c>
      <c r="AZ228" t="inlineStr">
        <is>
          <t>BOOK</t>
        </is>
      </c>
      <c r="BC228" t="inlineStr">
        <is>
          <t>32285000252378</t>
        </is>
      </c>
      <c r="BD228" t="inlineStr">
        <is>
          <t>893345654</t>
        </is>
      </c>
    </row>
    <row r="229">
      <c r="A229" t="inlineStr">
        <is>
          <t>No</t>
        </is>
      </c>
      <c r="B229" t="inlineStr">
        <is>
          <t>HM133 .G5</t>
        </is>
      </c>
      <c r="C229" t="inlineStr">
        <is>
          <t>0                      HM 0133000G  5</t>
        </is>
      </c>
      <c r="D229" t="inlineStr">
        <is>
          <t>Analysis of groups, Graham S. Gibbard, John J. Hartman [and] Richard D. Mann, editors.</t>
        </is>
      </c>
      <c r="F229" t="inlineStr">
        <is>
          <t>No</t>
        </is>
      </c>
      <c r="G229" t="inlineStr">
        <is>
          <t>1</t>
        </is>
      </c>
      <c r="H229" t="inlineStr">
        <is>
          <t>No</t>
        </is>
      </c>
      <c r="I229" t="inlineStr">
        <is>
          <t>No</t>
        </is>
      </c>
      <c r="J229" t="inlineStr">
        <is>
          <t>0</t>
        </is>
      </c>
      <c r="K229" t="inlineStr">
        <is>
          <t>Gibbard, Graham S., compiler.</t>
        </is>
      </c>
      <c r="L229" t="inlineStr">
        <is>
          <t>San Francisco, Jossey-Bass Publishers, 1974.</t>
        </is>
      </c>
      <c r="M229" t="inlineStr">
        <is>
          <t>1974</t>
        </is>
      </c>
      <c r="N229" t="inlineStr">
        <is>
          <t>[1st ed.]</t>
        </is>
      </c>
      <c r="O229" t="inlineStr">
        <is>
          <t>eng</t>
        </is>
      </c>
      <c r="P229" t="inlineStr">
        <is>
          <t>cau</t>
        </is>
      </c>
      <c r="Q229" t="inlineStr">
        <is>
          <t>Jossey-Bass behavioral science series</t>
        </is>
      </c>
      <c r="R229" t="inlineStr">
        <is>
          <t xml:space="preserve">HM </t>
        </is>
      </c>
      <c r="S229" t="n">
        <v>6</v>
      </c>
      <c r="T229" t="n">
        <v>6</v>
      </c>
      <c r="U229" t="inlineStr">
        <is>
          <t>2008-01-15</t>
        </is>
      </c>
      <c r="V229" t="inlineStr">
        <is>
          <t>2008-01-15</t>
        </is>
      </c>
      <c r="W229" t="inlineStr">
        <is>
          <t>1997-07-29</t>
        </is>
      </c>
      <c r="X229" t="inlineStr">
        <is>
          <t>1997-07-29</t>
        </is>
      </c>
      <c r="Y229" t="n">
        <v>589</v>
      </c>
      <c r="Z229" t="n">
        <v>497</v>
      </c>
      <c r="AA229" t="n">
        <v>533</v>
      </c>
      <c r="AB229" t="n">
        <v>2</v>
      </c>
      <c r="AC229" t="n">
        <v>2</v>
      </c>
      <c r="AD229" t="n">
        <v>26</v>
      </c>
      <c r="AE229" t="n">
        <v>27</v>
      </c>
      <c r="AF229" t="n">
        <v>11</v>
      </c>
      <c r="AG229" t="n">
        <v>12</v>
      </c>
      <c r="AH229" t="n">
        <v>5</v>
      </c>
      <c r="AI229" t="n">
        <v>5</v>
      </c>
      <c r="AJ229" t="n">
        <v>17</v>
      </c>
      <c r="AK229" t="n">
        <v>18</v>
      </c>
      <c r="AL229" t="n">
        <v>1</v>
      </c>
      <c r="AM229" t="n">
        <v>1</v>
      </c>
      <c r="AN229" t="n">
        <v>0</v>
      </c>
      <c r="AO229" t="n">
        <v>0</v>
      </c>
      <c r="AP229" t="inlineStr">
        <is>
          <t>No</t>
        </is>
      </c>
      <c r="AQ229" t="inlineStr">
        <is>
          <t>Yes</t>
        </is>
      </c>
      <c r="AR229">
        <f>HYPERLINK("http://catalog.hathitrust.org/Record/000015075","HathiTrust Record")</f>
        <v/>
      </c>
      <c r="AS229">
        <f>HYPERLINK("https://creighton-primo.hosted.exlibrisgroup.com/primo-explore/search?tab=default_tab&amp;search_scope=EVERYTHING&amp;vid=01CRU&amp;lang=en_US&amp;offset=0&amp;query=any,contains,991003400259702656","Catalog Record")</f>
        <v/>
      </c>
      <c r="AT229">
        <f>HYPERLINK("http://www.worldcat.org/oclc/940281","WorldCat Record")</f>
        <v/>
      </c>
      <c r="AU229" t="inlineStr">
        <is>
          <t>351515176:eng</t>
        </is>
      </c>
      <c r="AV229" t="inlineStr">
        <is>
          <t>940281</t>
        </is>
      </c>
      <c r="AW229" t="inlineStr">
        <is>
          <t>991003400259702656</t>
        </is>
      </c>
      <c r="AX229" t="inlineStr">
        <is>
          <t>991003400259702656</t>
        </is>
      </c>
      <c r="AY229" t="inlineStr">
        <is>
          <t>2261665880002656</t>
        </is>
      </c>
      <c r="AZ229" t="inlineStr">
        <is>
          <t>BOOK</t>
        </is>
      </c>
      <c r="BB229" t="inlineStr">
        <is>
          <t>9780875892054</t>
        </is>
      </c>
      <c r="BC229" t="inlineStr">
        <is>
          <t>32285003016002</t>
        </is>
      </c>
      <c r="BD229" t="inlineStr">
        <is>
          <t>893240178</t>
        </is>
      </c>
    </row>
    <row r="230">
      <c r="A230" t="inlineStr">
        <is>
          <t>No</t>
        </is>
      </c>
      <c r="B230" t="inlineStr">
        <is>
          <t>HM133 .G758 1990</t>
        </is>
      </c>
      <c r="C230" t="inlineStr">
        <is>
          <t>0                      HM 0133000G  758         1990</t>
        </is>
      </c>
      <c r="D230" t="inlineStr">
        <is>
          <t>Groups in context : a new perspective on group dynamics / Jonathon Gillette and Marion McCollom, editors.</t>
        </is>
      </c>
      <c r="F230" t="inlineStr">
        <is>
          <t>No</t>
        </is>
      </c>
      <c r="G230" t="inlineStr">
        <is>
          <t>1</t>
        </is>
      </c>
      <c r="H230" t="inlineStr">
        <is>
          <t>No</t>
        </is>
      </c>
      <c r="I230" t="inlineStr">
        <is>
          <t>No</t>
        </is>
      </c>
      <c r="J230" t="inlineStr">
        <is>
          <t>0</t>
        </is>
      </c>
      <c r="L230" t="inlineStr">
        <is>
          <t>Reading, Mass. : Addison-Wesley Pub. Co., c1990.</t>
        </is>
      </c>
      <c r="M230" t="inlineStr">
        <is>
          <t>1990</t>
        </is>
      </c>
      <c r="O230" t="inlineStr">
        <is>
          <t>eng</t>
        </is>
      </c>
      <c r="P230" t="inlineStr">
        <is>
          <t>mau</t>
        </is>
      </c>
      <c r="R230" t="inlineStr">
        <is>
          <t xml:space="preserve">HM </t>
        </is>
      </c>
      <c r="S230" t="n">
        <v>13</v>
      </c>
      <c r="T230" t="n">
        <v>13</v>
      </c>
      <c r="U230" t="inlineStr">
        <is>
          <t>2001-03-07</t>
        </is>
      </c>
      <c r="V230" t="inlineStr">
        <is>
          <t>2001-03-07</t>
        </is>
      </c>
      <c r="W230" t="inlineStr">
        <is>
          <t>1990-11-27</t>
        </is>
      </c>
      <c r="X230" t="inlineStr">
        <is>
          <t>1990-11-27</t>
        </is>
      </c>
      <c r="Y230" t="n">
        <v>247</v>
      </c>
      <c r="Z230" t="n">
        <v>185</v>
      </c>
      <c r="AA230" t="n">
        <v>246</v>
      </c>
      <c r="AB230" t="n">
        <v>3</v>
      </c>
      <c r="AC230" t="n">
        <v>3</v>
      </c>
      <c r="AD230" t="n">
        <v>6</v>
      </c>
      <c r="AE230" t="n">
        <v>10</v>
      </c>
      <c r="AF230" t="n">
        <v>0</v>
      </c>
      <c r="AG230" t="n">
        <v>1</v>
      </c>
      <c r="AH230" t="n">
        <v>1</v>
      </c>
      <c r="AI230" t="n">
        <v>1</v>
      </c>
      <c r="AJ230" t="n">
        <v>3</v>
      </c>
      <c r="AK230" t="n">
        <v>7</v>
      </c>
      <c r="AL230" t="n">
        <v>2</v>
      </c>
      <c r="AM230" t="n">
        <v>2</v>
      </c>
      <c r="AN230" t="n">
        <v>0</v>
      </c>
      <c r="AO230" t="n">
        <v>0</v>
      </c>
      <c r="AP230" t="inlineStr">
        <is>
          <t>No</t>
        </is>
      </c>
      <c r="AQ230" t="inlineStr">
        <is>
          <t>Yes</t>
        </is>
      </c>
      <c r="AR230">
        <f>HYPERLINK("http://catalog.hathitrust.org/Record/002205003","HathiTrust Record")</f>
        <v/>
      </c>
      <c r="AS230">
        <f>HYPERLINK("https://creighton-primo.hosted.exlibrisgroup.com/primo-explore/search?tab=default_tab&amp;search_scope=EVERYTHING&amp;vid=01CRU&amp;lang=en_US&amp;offset=0&amp;query=any,contains,991001591869702656","Catalog Record")</f>
        <v/>
      </c>
      <c r="AT230">
        <f>HYPERLINK("http://www.worldcat.org/oclc/20593128","WorldCat Record")</f>
        <v/>
      </c>
      <c r="AU230" t="inlineStr">
        <is>
          <t>889802991:eng</t>
        </is>
      </c>
      <c r="AV230" t="inlineStr">
        <is>
          <t>20593128</t>
        </is>
      </c>
      <c r="AW230" t="inlineStr">
        <is>
          <t>991001591869702656</t>
        </is>
      </c>
      <c r="AX230" t="inlineStr">
        <is>
          <t>991001591869702656</t>
        </is>
      </c>
      <c r="AY230" t="inlineStr">
        <is>
          <t>2267026660002656</t>
        </is>
      </c>
      <c r="AZ230" t="inlineStr">
        <is>
          <t>BOOK</t>
        </is>
      </c>
      <c r="BB230" t="inlineStr">
        <is>
          <t>9780201095043</t>
        </is>
      </c>
      <c r="BC230" t="inlineStr">
        <is>
          <t>32285000357128</t>
        </is>
      </c>
      <c r="BD230" t="inlineStr">
        <is>
          <t>893250316</t>
        </is>
      </c>
    </row>
    <row r="231">
      <c r="A231" t="inlineStr">
        <is>
          <t>No</t>
        </is>
      </c>
      <c r="B231" t="inlineStr">
        <is>
          <t>HM133 .H354 1999</t>
        </is>
      </c>
      <c r="C231" t="inlineStr">
        <is>
          <t>0                      HM 0133000H  354         1999</t>
        </is>
      </c>
      <c r="D231" t="inlineStr">
        <is>
          <t>The handbook of group communication theory &amp; research / editor, Lawrence R. Frey ; associate editors, Dennis S. Gouran, Marshall Scott Poole.</t>
        </is>
      </c>
      <c r="F231" t="inlineStr">
        <is>
          <t>No</t>
        </is>
      </c>
      <c r="G231" t="inlineStr">
        <is>
          <t>1</t>
        </is>
      </c>
      <c r="H231" t="inlineStr">
        <is>
          <t>No</t>
        </is>
      </c>
      <c r="I231" t="inlineStr">
        <is>
          <t>No</t>
        </is>
      </c>
      <c r="J231" t="inlineStr">
        <is>
          <t>0</t>
        </is>
      </c>
      <c r="L231" t="inlineStr">
        <is>
          <t>Thousand Oaks, Calif. : Sage Publications, Inc., c1999.</t>
        </is>
      </c>
      <c r="M231" t="inlineStr">
        <is>
          <t>1999</t>
        </is>
      </c>
      <c r="O231" t="inlineStr">
        <is>
          <t>eng</t>
        </is>
      </c>
      <c r="P231" t="inlineStr">
        <is>
          <t>cau</t>
        </is>
      </c>
      <c r="R231" t="inlineStr">
        <is>
          <t xml:space="preserve">HM </t>
        </is>
      </c>
      <c r="S231" t="n">
        <v>2</v>
      </c>
      <c r="T231" t="n">
        <v>2</v>
      </c>
      <c r="U231" t="inlineStr">
        <is>
          <t>2008-01-15</t>
        </is>
      </c>
      <c r="V231" t="inlineStr">
        <is>
          <t>2008-01-15</t>
        </is>
      </c>
      <c r="W231" t="inlineStr">
        <is>
          <t>2002-04-04</t>
        </is>
      </c>
      <c r="X231" t="inlineStr">
        <is>
          <t>2002-04-04</t>
        </is>
      </c>
      <c r="Y231" t="n">
        <v>515</v>
      </c>
      <c r="Z231" t="n">
        <v>428</v>
      </c>
      <c r="AA231" t="n">
        <v>716</v>
      </c>
      <c r="AB231" t="n">
        <v>7</v>
      </c>
      <c r="AC231" t="n">
        <v>8</v>
      </c>
      <c r="AD231" t="n">
        <v>29</v>
      </c>
      <c r="AE231" t="n">
        <v>30</v>
      </c>
      <c r="AF231" t="n">
        <v>13</v>
      </c>
      <c r="AG231" t="n">
        <v>13</v>
      </c>
      <c r="AH231" t="n">
        <v>5</v>
      </c>
      <c r="AI231" t="n">
        <v>5</v>
      </c>
      <c r="AJ231" t="n">
        <v>12</v>
      </c>
      <c r="AK231" t="n">
        <v>12</v>
      </c>
      <c r="AL231" t="n">
        <v>6</v>
      </c>
      <c r="AM231" t="n">
        <v>7</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HYPERLINK("https://creighton-primo.hosted.exlibrisgroup.com/primo-explore/search?tab=default_tab&amp;search_scope=EVERYTHING&amp;vid=01CRU&amp;lang=en_US&amp;offset=0&amp;query=any,contains,991003769649702656","Catalog Record")</f>
        <v/>
      </c>
      <c r="AT231">
        <f>HYPERLINK("http://www.worldcat.org/oclc/40543002","WorldCat Record")</f>
        <v/>
      </c>
      <c r="AU231" t="inlineStr">
        <is>
          <t>350202099:eng</t>
        </is>
      </c>
      <c r="AV231" t="inlineStr">
        <is>
          <t>40543002</t>
        </is>
      </c>
      <c r="AW231" t="inlineStr">
        <is>
          <t>991003769649702656</t>
        </is>
      </c>
      <c r="AX231" t="inlineStr">
        <is>
          <t>991003769649702656</t>
        </is>
      </c>
      <c r="AY231" t="inlineStr">
        <is>
          <t>2266551270002656</t>
        </is>
      </c>
      <c r="AZ231" t="inlineStr">
        <is>
          <t>BOOK</t>
        </is>
      </c>
      <c r="BB231" t="inlineStr">
        <is>
          <t>9780761910275</t>
        </is>
      </c>
      <c r="BC231" t="inlineStr">
        <is>
          <t>32285004477252</t>
        </is>
      </c>
      <c r="BD231" t="inlineStr">
        <is>
          <t>893441711</t>
        </is>
      </c>
    </row>
    <row r="232">
      <c r="A232" t="inlineStr">
        <is>
          <t>No</t>
        </is>
      </c>
      <c r="B232" t="inlineStr">
        <is>
          <t>HM133 .H359</t>
        </is>
      </c>
      <c r="C232" t="inlineStr">
        <is>
          <t>0                      HM 0133000H  359</t>
        </is>
      </c>
      <c r="D232" t="inlineStr">
        <is>
          <t>Creativity in small groups / A. Paul Hare.</t>
        </is>
      </c>
      <c r="F232" t="inlineStr">
        <is>
          <t>No</t>
        </is>
      </c>
      <c r="G232" t="inlineStr">
        <is>
          <t>1</t>
        </is>
      </c>
      <c r="H232" t="inlineStr">
        <is>
          <t>No</t>
        </is>
      </c>
      <c r="I232" t="inlineStr">
        <is>
          <t>No</t>
        </is>
      </c>
      <c r="J232" t="inlineStr">
        <is>
          <t>0</t>
        </is>
      </c>
      <c r="K232" t="inlineStr">
        <is>
          <t>Hare, A. Paul (Alexander Paul), 1923-2009.</t>
        </is>
      </c>
      <c r="L232" t="inlineStr">
        <is>
          <t>Beverly Hills, Calif. : Sage Publications, c1982.</t>
        </is>
      </c>
      <c r="M232" t="inlineStr">
        <is>
          <t>1981</t>
        </is>
      </c>
      <c r="O232" t="inlineStr">
        <is>
          <t>eng</t>
        </is>
      </c>
      <c r="P232" t="inlineStr">
        <is>
          <t>cau</t>
        </is>
      </c>
      <c r="R232" t="inlineStr">
        <is>
          <t xml:space="preserve">HM </t>
        </is>
      </c>
      <c r="S232" t="n">
        <v>4</v>
      </c>
      <c r="T232" t="n">
        <v>4</v>
      </c>
      <c r="U232" t="inlineStr">
        <is>
          <t>2004-03-31</t>
        </is>
      </c>
      <c r="V232" t="inlineStr">
        <is>
          <t>2004-03-31</t>
        </is>
      </c>
      <c r="W232" t="inlineStr">
        <is>
          <t>1992-04-22</t>
        </is>
      </c>
      <c r="X232" t="inlineStr">
        <is>
          <t>1992-04-22</t>
        </is>
      </c>
      <c r="Y232" t="n">
        <v>566</v>
      </c>
      <c r="Z232" t="n">
        <v>446</v>
      </c>
      <c r="AA232" t="n">
        <v>465</v>
      </c>
      <c r="AB232" t="n">
        <v>5</v>
      </c>
      <c r="AC232" t="n">
        <v>5</v>
      </c>
      <c r="AD232" t="n">
        <v>26</v>
      </c>
      <c r="AE232" t="n">
        <v>26</v>
      </c>
      <c r="AF232" t="n">
        <v>9</v>
      </c>
      <c r="AG232" t="n">
        <v>9</v>
      </c>
      <c r="AH232" t="n">
        <v>6</v>
      </c>
      <c r="AI232" t="n">
        <v>6</v>
      </c>
      <c r="AJ232" t="n">
        <v>14</v>
      </c>
      <c r="AK232" t="n">
        <v>14</v>
      </c>
      <c r="AL232" t="n">
        <v>4</v>
      </c>
      <c r="AM232" t="n">
        <v>4</v>
      </c>
      <c r="AN232" t="n">
        <v>0</v>
      </c>
      <c r="AO232" t="n">
        <v>0</v>
      </c>
      <c r="AP232" t="inlineStr">
        <is>
          <t>No</t>
        </is>
      </c>
      <c r="AQ232" t="inlineStr">
        <is>
          <t>Yes</t>
        </is>
      </c>
      <c r="AR232">
        <f>HYPERLINK("http://catalog.hathitrust.org/Record/004397172","HathiTrust Record")</f>
        <v/>
      </c>
      <c r="AS232">
        <f>HYPERLINK("https://creighton-primo.hosted.exlibrisgroup.com/primo-explore/search?tab=default_tab&amp;search_scope=EVERYTHING&amp;vid=01CRU&amp;lang=en_US&amp;offset=0&amp;query=any,contains,991005157559702656","Catalog Record")</f>
        <v/>
      </c>
      <c r="AT232">
        <f>HYPERLINK("http://www.worldcat.org/oclc/7741634","WorldCat Record")</f>
        <v/>
      </c>
      <c r="AU232" t="inlineStr">
        <is>
          <t>29809701:eng</t>
        </is>
      </c>
      <c r="AV232" t="inlineStr">
        <is>
          <t>7741634</t>
        </is>
      </c>
      <c r="AW232" t="inlineStr">
        <is>
          <t>991005157559702656</t>
        </is>
      </c>
      <c r="AX232" t="inlineStr">
        <is>
          <t>991005157559702656</t>
        </is>
      </c>
      <c r="AY232" t="inlineStr">
        <is>
          <t>2262438530002656</t>
        </is>
      </c>
      <c r="AZ232" t="inlineStr">
        <is>
          <t>BOOK</t>
        </is>
      </c>
      <c r="BB232" t="inlineStr">
        <is>
          <t>9780803917125</t>
        </is>
      </c>
      <c r="BC232" t="inlineStr">
        <is>
          <t>32285001085561</t>
        </is>
      </c>
      <c r="BD232" t="inlineStr">
        <is>
          <t>893514138</t>
        </is>
      </c>
    </row>
    <row r="233">
      <c r="A233" t="inlineStr">
        <is>
          <t>No</t>
        </is>
      </c>
      <c r="B233" t="inlineStr">
        <is>
          <t>HM133 .H3594 1992</t>
        </is>
      </c>
      <c r="C233" t="inlineStr">
        <is>
          <t>0                      HM 0133000H  3594        1992</t>
        </is>
      </c>
      <c r="D233" t="inlineStr">
        <is>
          <t>Groups, teams, and social interaction : theories and applications / A. Paul Hare.</t>
        </is>
      </c>
      <c r="F233" t="inlineStr">
        <is>
          <t>No</t>
        </is>
      </c>
      <c r="G233" t="inlineStr">
        <is>
          <t>1</t>
        </is>
      </c>
      <c r="H233" t="inlineStr">
        <is>
          <t>No</t>
        </is>
      </c>
      <c r="I233" t="inlineStr">
        <is>
          <t>No</t>
        </is>
      </c>
      <c r="J233" t="inlineStr">
        <is>
          <t>0</t>
        </is>
      </c>
      <c r="K233" t="inlineStr">
        <is>
          <t>Hare, A. Paul (Alexander Paul), 1923-2009.</t>
        </is>
      </c>
      <c r="L233" t="inlineStr">
        <is>
          <t>New York : Praeger, 1992.</t>
        </is>
      </c>
      <c r="M233" t="inlineStr">
        <is>
          <t>1992</t>
        </is>
      </c>
      <c r="O233" t="inlineStr">
        <is>
          <t>eng</t>
        </is>
      </c>
      <c r="P233" t="inlineStr">
        <is>
          <t>nyu</t>
        </is>
      </c>
      <c r="R233" t="inlineStr">
        <is>
          <t xml:space="preserve">HM </t>
        </is>
      </c>
      <c r="S233" t="n">
        <v>5</v>
      </c>
      <c r="T233" t="n">
        <v>5</v>
      </c>
      <c r="U233" t="inlineStr">
        <is>
          <t>2008-01-15</t>
        </is>
      </c>
      <c r="V233" t="inlineStr">
        <is>
          <t>2008-01-15</t>
        </is>
      </c>
      <c r="W233" t="inlineStr">
        <is>
          <t>1992-09-14</t>
        </is>
      </c>
      <c r="X233" t="inlineStr">
        <is>
          <t>1992-09-14</t>
        </is>
      </c>
      <c r="Y233" t="n">
        <v>276</v>
      </c>
      <c r="Z233" t="n">
        <v>193</v>
      </c>
      <c r="AA233" t="n">
        <v>195</v>
      </c>
      <c r="AB233" t="n">
        <v>3</v>
      </c>
      <c r="AC233" t="n">
        <v>3</v>
      </c>
      <c r="AD233" t="n">
        <v>14</v>
      </c>
      <c r="AE233" t="n">
        <v>14</v>
      </c>
      <c r="AF233" t="n">
        <v>6</v>
      </c>
      <c r="AG233" t="n">
        <v>6</v>
      </c>
      <c r="AH233" t="n">
        <v>2</v>
      </c>
      <c r="AI233" t="n">
        <v>2</v>
      </c>
      <c r="AJ233" t="n">
        <v>8</v>
      </c>
      <c r="AK233" t="n">
        <v>8</v>
      </c>
      <c r="AL233" t="n">
        <v>2</v>
      </c>
      <c r="AM233" t="n">
        <v>2</v>
      </c>
      <c r="AN233" t="n">
        <v>0</v>
      </c>
      <c r="AO233" t="n">
        <v>0</v>
      </c>
      <c r="AP233" t="inlineStr">
        <is>
          <t>No</t>
        </is>
      </c>
      <c r="AQ233" t="inlineStr">
        <is>
          <t>Yes</t>
        </is>
      </c>
      <c r="AR233">
        <f>HYPERLINK("http://catalog.hathitrust.org/Record/002536364","HathiTrust Record")</f>
        <v/>
      </c>
      <c r="AS233">
        <f>HYPERLINK("https://creighton-primo.hosted.exlibrisgroup.com/primo-explore/search?tab=default_tab&amp;search_scope=EVERYTHING&amp;vid=01CRU&amp;lang=en_US&amp;offset=0&amp;query=any,contains,991001916909702656","Catalog Record")</f>
        <v/>
      </c>
      <c r="AT233">
        <f>HYPERLINK("http://www.worldcat.org/oclc/24212982","WorldCat Record")</f>
        <v/>
      </c>
      <c r="AU233" t="inlineStr">
        <is>
          <t>476168066:eng</t>
        </is>
      </c>
      <c r="AV233" t="inlineStr">
        <is>
          <t>24212982</t>
        </is>
      </c>
      <c r="AW233" t="inlineStr">
        <is>
          <t>991001916909702656</t>
        </is>
      </c>
      <c r="AX233" t="inlineStr">
        <is>
          <t>991001916909702656</t>
        </is>
      </c>
      <c r="AY233" t="inlineStr">
        <is>
          <t>2255071450002656</t>
        </is>
      </c>
      <c r="AZ233" t="inlineStr">
        <is>
          <t>BOOK</t>
        </is>
      </c>
      <c r="BB233" t="inlineStr">
        <is>
          <t>9780275938901</t>
        </is>
      </c>
      <c r="BC233" t="inlineStr">
        <is>
          <t>32285001287035</t>
        </is>
      </c>
      <c r="BD233" t="inlineStr">
        <is>
          <t>893779192</t>
        </is>
      </c>
    </row>
    <row r="234">
      <c r="A234" t="inlineStr">
        <is>
          <t>No</t>
        </is>
      </c>
      <c r="B234" t="inlineStr">
        <is>
          <t>HM133 .H36 1976</t>
        </is>
      </c>
      <c r="C234" t="inlineStr">
        <is>
          <t>0                      HM 0133000H  36          1976</t>
        </is>
      </c>
      <c r="D234" t="inlineStr">
        <is>
          <t>Handbook of small group research / A. Paul Hare.</t>
        </is>
      </c>
      <c r="F234" t="inlineStr">
        <is>
          <t>No</t>
        </is>
      </c>
      <c r="G234" t="inlineStr">
        <is>
          <t>1</t>
        </is>
      </c>
      <c r="H234" t="inlineStr">
        <is>
          <t>No</t>
        </is>
      </c>
      <c r="I234" t="inlineStr">
        <is>
          <t>No</t>
        </is>
      </c>
      <c r="J234" t="inlineStr">
        <is>
          <t>0</t>
        </is>
      </c>
      <c r="K234" t="inlineStr">
        <is>
          <t>Hare, A. Paul (Alexander Paul), 1923-2009.</t>
        </is>
      </c>
      <c r="L234" t="inlineStr">
        <is>
          <t>New York : Free Press, c1976.</t>
        </is>
      </c>
      <c r="M234" t="inlineStr">
        <is>
          <t>1976</t>
        </is>
      </c>
      <c r="N234" t="inlineStr">
        <is>
          <t>2d ed.</t>
        </is>
      </c>
      <c r="O234" t="inlineStr">
        <is>
          <t>eng</t>
        </is>
      </c>
      <c r="P234" t="inlineStr">
        <is>
          <t>nyu</t>
        </is>
      </c>
      <c r="R234" t="inlineStr">
        <is>
          <t xml:space="preserve">HM </t>
        </is>
      </c>
      <c r="S234" t="n">
        <v>2</v>
      </c>
      <c r="T234" t="n">
        <v>2</v>
      </c>
      <c r="U234" t="inlineStr">
        <is>
          <t>2001-03-22</t>
        </is>
      </c>
      <c r="V234" t="inlineStr">
        <is>
          <t>2001-03-22</t>
        </is>
      </c>
      <c r="W234" t="inlineStr">
        <is>
          <t>1997-07-30</t>
        </is>
      </c>
      <c r="X234" t="inlineStr">
        <is>
          <t>1997-07-30</t>
        </is>
      </c>
      <c r="Y234" t="n">
        <v>831</v>
      </c>
      <c r="Z234" t="n">
        <v>676</v>
      </c>
      <c r="AA234" t="n">
        <v>955</v>
      </c>
      <c r="AB234" t="n">
        <v>9</v>
      </c>
      <c r="AC234" t="n">
        <v>11</v>
      </c>
      <c r="AD234" t="n">
        <v>30</v>
      </c>
      <c r="AE234" t="n">
        <v>46</v>
      </c>
      <c r="AF234" t="n">
        <v>8</v>
      </c>
      <c r="AG234" t="n">
        <v>18</v>
      </c>
      <c r="AH234" t="n">
        <v>6</v>
      </c>
      <c r="AI234" t="n">
        <v>7</v>
      </c>
      <c r="AJ234" t="n">
        <v>16</v>
      </c>
      <c r="AK234" t="n">
        <v>22</v>
      </c>
      <c r="AL234" t="n">
        <v>7</v>
      </c>
      <c r="AM234" t="n">
        <v>9</v>
      </c>
      <c r="AN234" t="n">
        <v>0</v>
      </c>
      <c r="AO234" t="n">
        <v>1</v>
      </c>
      <c r="AP234" t="inlineStr">
        <is>
          <t>No</t>
        </is>
      </c>
      <c r="AQ234" t="inlineStr">
        <is>
          <t>Yes</t>
        </is>
      </c>
      <c r="AR234">
        <f>HYPERLINK("http://catalog.hathitrust.org/Record/000709551","HathiTrust Record")</f>
        <v/>
      </c>
      <c r="AS234">
        <f>HYPERLINK("https://creighton-primo.hosted.exlibrisgroup.com/primo-explore/search?tab=default_tab&amp;search_scope=EVERYTHING&amp;vid=01CRU&amp;lang=en_US&amp;offset=0&amp;query=any,contains,991005369489702656","Catalog Record")</f>
        <v/>
      </c>
      <c r="AT234">
        <f>HYPERLINK("http://www.worldcat.org/oclc/2201911","WorldCat Record")</f>
        <v/>
      </c>
      <c r="AU234" t="inlineStr">
        <is>
          <t>400548:eng</t>
        </is>
      </c>
      <c r="AV234" t="inlineStr">
        <is>
          <t>2201911</t>
        </is>
      </c>
      <c r="AW234" t="inlineStr">
        <is>
          <t>991005369489702656</t>
        </is>
      </c>
      <c r="AX234" t="inlineStr">
        <is>
          <t>991005369489702656</t>
        </is>
      </c>
      <c r="AY234" t="inlineStr">
        <is>
          <t>2255945800002656</t>
        </is>
      </c>
      <c r="AZ234" t="inlineStr">
        <is>
          <t>BOOK</t>
        </is>
      </c>
      <c r="BB234" t="inlineStr">
        <is>
          <t>9780029138410</t>
        </is>
      </c>
      <c r="BC234" t="inlineStr">
        <is>
          <t>32285003016036</t>
        </is>
      </c>
      <c r="BD234" t="inlineStr">
        <is>
          <t>893625908</t>
        </is>
      </c>
    </row>
    <row r="235">
      <c r="A235" t="inlineStr">
        <is>
          <t>No</t>
        </is>
      </c>
      <c r="B235" t="inlineStr">
        <is>
          <t>HM133 .I525</t>
        </is>
      </c>
      <c r="C235" t="inlineStr">
        <is>
          <t>0                      HM 0133000I  525</t>
        </is>
      </c>
      <c r="D235" t="inlineStr">
        <is>
          <t>The Intensive group experience / [edited by] Max Rosenbaum, Alvin Snadowsky ; with contributions by Martin Lakin ... [et al.].</t>
        </is>
      </c>
      <c r="F235" t="inlineStr">
        <is>
          <t>No</t>
        </is>
      </c>
      <c r="G235" t="inlineStr">
        <is>
          <t>1</t>
        </is>
      </c>
      <c r="H235" t="inlineStr">
        <is>
          <t>No</t>
        </is>
      </c>
      <c r="I235" t="inlineStr">
        <is>
          <t>No</t>
        </is>
      </c>
      <c r="J235" t="inlineStr">
        <is>
          <t>0</t>
        </is>
      </c>
      <c r="L235" t="inlineStr">
        <is>
          <t>New York : Free Press, c1976.</t>
        </is>
      </c>
      <c r="M235" t="inlineStr">
        <is>
          <t>1976</t>
        </is>
      </c>
      <c r="O235" t="inlineStr">
        <is>
          <t>eng</t>
        </is>
      </c>
      <c r="P235" t="inlineStr">
        <is>
          <t>nyu</t>
        </is>
      </c>
      <c r="R235" t="inlineStr">
        <is>
          <t xml:space="preserve">HM </t>
        </is>
      </c>
      <c r="S235" t="n">
        <v>1</v>
      </c>
      <c r="T235" t="n">
        <v>1</v>
      </c>
      <c r="U235" t="inlineStr">
        <is>
          <t>2001-03-18</t>
        </is>
      </c>
      <c r="V235" t="inlineStr">
        <is>
          <t>2001-03-18</t>
        </is>
      </c>
      <c r="W235" t="inlineStr">
        <is>
          <t>1997-07-30</t>
        </is>
      </c>
      <c r="X235" t="inlineStr">
        <is>
          <t>1997-07-30</t>
        </is>
      </c>
      <c r="Y235" t="n">
        <v>658</v>
      </c>
      <c r="Z235" t="n">
        <v>568</v>
      </c>
      <c r="AA235" t="n">
        <v>571</v>
      </c>
      <c r="AB235" t="n">
        <v>5</v>
      </c>
      <c r="AC235" t="n">
        <v>5</v>
      </c>
      <c r="AD235" t="n">
        <v>23</v>
      </c>
      <c r="AE235" t="n">
        <v>23</v>
      </c>
      <c r="AF235" t="n">
        <v>9</v>
      </c>
      <c r="AG235" t="n">
        <v>9</v>
      </c>
      <c r="AH235" t="n">
        <v>6</v>
      </c>
      <c r="AI235" t="n">
        <v>6</v>
      </c>
      <c r="AJ235" t="n">
        <v>11</v>
      </c>
      <c r="AK235" t="n">
        <v>11</v>
      </c>
      <c r="AL235" t="n">
        <v>4</v>
      </c>
      <c r="AM235" t="n">
        <v>4</v>
      </c>
      <c r="AN235" t="n">
        <v>0</v>
      </c>
      <c r="AO235" t="n">
        <v>0</v>
      </c>
      <c r="AP235" t="inlineStr">
        <is>
          <t>No</t>
        </is>
      </c>
      <c r="AQ235" t="inlineStr">
        <is>
          <t>Yes</t>
        </is>
      </c>
      <c r="AR235">
        <f>HYPERLINK("http://catalog.hathitrust.org/Record/000724279","HathiTrust Record")</f>
        <v/>
      </c>
      <c r="AS235">
        <f>HYPERLINK("https://creighton-primo.hosted.exlibrisgroup.com/primo-explore/search?tab=default_tab&amp;search_scope=EVERYTHING&amp;vid=01CRU&amp;lang=en_US&amp;offset=0&amp;query=any,contains,991004090769702656","Catalog Record")</f>
        <v/>
      </c>
      <c r="AT235">
        <f>HYPERLINK("http://www.worldcat.org/oclc/2345596","WorldCat Record")</f>
        <v/>
      </c>
      <c r="AU235" t="inlineStr">
        <is>
          <t>400767:eng</t>
        </is>
      </c>
      <c r="AV235" t="inlineStr">
        <is>
          <t>2345596</t>
        </is>
      </c>
      <c r="AW235" t="inlineStr">
        <is>
          <t>991004090769702656</t>
        </is>
      </c>
      <c r="AX235" t="inlineStr">
        <is>
          <t>991004090769702656</t>
        </is>
      </c>
      <c r="AY235" t="inlineStr">
        <is>
          <t>2261929200002656</t>
        </is>
      </c>
      <c r="AZ235" t="inlineStr">
        <is>
          <t>BOOK</t>
        </is>
      </c>
      <c r="BB235" t="inlineStr">
        <is>
          <t>9780029269503</t>
        </is>
      </c>
      <c r="BC235" t="inlineStr">
        <is>
          <t>32285003016051</t>
        </is>
      </c>
      <c r="BD235" t="inlineStr">
        <is>
          <t>893525644</t>
        </is>
      </c>
    </row>
    <row r="236">
      <c r="A236" t="inlineStr">
        <is>
          <t>No</t>
        </is>
      </c>
      <c r="B236" t="inlineStr">
        <is>
          <t>HM133 .K48</t>
        </is>
      </c>
      <c r="C236" t="inlineStr">
        <is>
          <t>0                      HM 0133000K  48</t>
        </is>
      </c>
      <c r="D236" t="inlineStr">
        <is>
          <t>Developing support groups : a manual for facilitators and participants / Howard Kirschenbaum, Barbara Glaser.</t>
        </is>
      </c>
      <c r="F236" t="inlineStr">
        <is>
          <t>No</t>
        </is>
      </c>
      <c r="G236" t="inlineStr">
        <is>
          <t>1</t>
        </is>
      </c>
      <c r="H236" t="inlineStr">
        <is>
          <t>No</t>
        </is>
      </c>
      <c r="I236" t="inlineStr">
        <is>
          <t>No</t>
        </is>
      </c>
      <c r="J236" t="inlineStr">
        <is>
          <t>0</t>
        </is>
      </c>
      <c r="K236" t="inlineStr">
        <is>
          <t>Kirschenbaum, Howard.</t>
        </is>
      </c>
      <c r="L236" t="inlineStr">
        <is>
          <t>La Jolla, Calif. : University Associates, 1978.</t>
        </is>
      </c>
      <c r="M236" t="inlineStr">
        <is>
          <t>1978</t>
        </is>
      </c>
      <c r="O236" t="inlineStr">
        <is>
          <t>eng</t>
        </is>
      </c>
      <c r="P236" t="inlineStr">
        <is>
          <t xml:space="preserve">xx </t>
        </is>
      </c>
      <c r="R236" t="inlineStr">
        <is>
          <t xml:space="preserve">HM </t>
        </is>
      </c>
      <c r="S236" t="n">
        <v>13</v>
      </c>
      <c r="T236" t="n">
        <v>13</v>
      </c>
      <c r="U236" t="inlineStr">
        <is>
          <t>2010-04-27</t>
        </is>
      </c>
      <c r="V236" t="inlineStr">
        <is>
          <t>2010-04-27</t>
        </is>
      </c>
      <c r="W236" t="inlineStr">
        <is>
          <t>1992-02-11</t>
        </is>
      </c>
      <c r="X236" t="inlineStr">
        <is>
          <t>1992-02-11</t>
        </is>
      </c>
      <c r="Y236" t="n">
        <v>310</v>
      </c>
      <c r="Z236" t="n">
        <v>257</v>
      </c>
      <c r="AA236" t="n">
        <v>259</v>
      </c>
      <c r="AB236" t="n">
        <v>3</v>
      </c>
      <c r="AC236" t="n">
        <v>3</v>
      </c>
      <c r="AD236" t="n">
        <v>10</v>
      </c>
      <c r="AE236" t="n">
        <v>10</v>
      </c>
      <c r="AF236" t="n">
        <v>3</v>
      </c>
      <c r="AG236" t="n">
        <v>3</v>
      </c>
      <c r="AH236" t="n">
        <v>3</v>
      </c>
      <c r="AI236" t="n">
        <v>3</v>
      </c>
      <c r="AJ236" t="n">
        <v>5</v>
      </c>
      <c r="AK236" t="n">
        <v>5</v>
      </c>
      <c r="AL236" t="n">
        <v>2</v>
      </c>
      <c r="AM236" t="n">
        <v>2</v>
      </c>
      <c r="AN236" t="n">
        <v>0</v>
      </c>
      <c r="AO236" t="n">
        <v>0</v>
      </c>
      <c r="AP236" t="inlineStr">
        <is>
          <t>No</t>
        </is>
      </c>
      <c r="AQ236" t="inlineStr">
        <is>
          <t>Yes</t>
        </is>
      </c>
      <c r="AR236">
        <f>HYPERLINK("http://catalog.hathitrust.org/Record/000267970","HathiTrust Record")</f>
        <v/>
      </c>
      <c r="AS236">
        <f>HYPERLINK("https://creighton-primo.hosted.exlibrisgroup.com/primo-explore/search?tab=default_tab&amp;search_scope=EVERYTHING&amp;vid=01CRU&amp;lang=en_US&amp;offset=0&amp;query=any,contains,991004626439702656","Catalog Record")</f>
        <v/>
      </c>
      <c r="AT236">
        <f>HYPERLINK("http://www.worldcat.org/oclc/4343597","WorldCat Record")</f>
        <v/>
      </c>
      <c r="AU236" t="inlineStr">
        <is>
          <t>864881976:eng</t>
        </is>
      </c>
      <c r="AV236" t="inlineStr">
        <is>
          <t>4343597</t>
        </is>
      </c>
      <c r="AW236" t="inlineStr">
        <is>
          <t>991004626439702656</t>
        </is>
      </c>
      <c r="AX236" t="inlineStr">
        <is>
          <t>991004626439702656</t>
        </is>
      </c>
      <c r="AY236" t="inlineStr">
        <is>
          <t>2267756590002656</t>
        </is>
      </c>
      <c r="AZ236" t="inlineStr">
        <is>
          <t>BOOK</t>
        </is>
      </c>
      <c r="BB236" t="inlineStr">
        <is>
          <t>9780883901458</t>
        </is>
      </c>
      <c r="BC236" t="inlineStr">
        <is>
          <t>32285000956143</t>
        </is>
      </c>
      <c r="BD236" t="inlineStr">
        <is>
          <t>893436502</t>
        </is>
      </c>
    </row>
    <row r="237">
      <c r="A237" t="inlineStr">
        <is>
          <t>No</t>
        </is>
      </c>
      <c r="B237" t="inlineStr">
        <is>
          <t>HM133 .K52</t>
        </is>
      </c>
      <c r="C237" t="inlineStr">
        <is>
          <t>0                      HM 0133000K  52</t>
        </is>
      </c>
      <c r="D237" t="inlineStr">
        <is>
          <t>The sociology of minority group relations / Graham C. Kinloch.</t>
        </is>
      </c>
      <c r="F237" t="inlineStr">
        <is>
          <t>No</t>
        </is>
      </c>
      <c r="G237" t="inlineStr">
        <is>
          <t>1</t>
        </is>
      </c>
      <c r="H237" t="inlineStr">
        <is>
          <t>No</t>
        </is>
      </c>
      <c r="I237" t="inlineStr">
        <is>
          <t>No</t>
        </is>
      </c>
      <c r="J237" t="inlineStr">
        <is>
          <t>0</t>
        </is>
      </c>
      <c r="K237" t="inlineStr">
        <is>
          <t>Kinloch, Graham C. (Graham Charles), 1943-</t>
        </is>
      </c>
      <c r="L237" t="inlineStr">
        <is>
          <t>Englewood Cliffs, N.J. : Prentice-Hall, c1979.</t>
        </is>
      </c>
      <c r="M237" t="inlineStr">
        <is>
          <t>1979</t>
        </is>
      </c>
      <c r="O237" t="inlineStr">
        <is>
          <t>eng</t>
        </is>
      </c>
      <c r="P237" t="inlineStr">
        <is>
          <t>nju</t>
        </is>
      </c>
      <c r="Q237" t="inlineStr">
        <is>
          <t>Prentice-Hall series in sociology</t>
        </is>
      </c>
      <c r="R237" t="inlineStr">
        <is>
          <t xml:space="preserve">HM </t>
        </is>
      </c>
      <c r="S237" t="n">
        <v>6</v>
      </c>
      <c r="T237" t="n">
        <v>6</v>
      </c>
      <c r="U237" t="inlineStr">
        <is>
          <t>2001-11-08</t>
        </is>
      </c>
      <c r="V237" t="inlineStr">
        <is>
          <t>2001-11-08</t>
        </is>
      </c>
      <c r="W237" t="inlineStr">
        <is>
          <t>1992-04-30</t>
        </is>
      </c>
      <c r="X237" t="inlineStr">
        <is>
          <t>1992-04-30</t>
        </is>
      </c>
      <c r="Y237" t="n">
        <v>314</v>
      </c>
      <c r="Z237" t="n">
        <v>211</v>
      </c>
      <c r="AA237" t="n">
        <v>213</v>
      </c>
      <c r="AB237" t="n">
        <v>1</v>
      </c>
      <c r="AC237" t="n">
        <v>1</v>
      </c>
      <c r="AD237" t="n">
        <v>2</v>
      </c>
      <c r="AE237" t="n">
        <v>2</v>
      </c>
      <c r="AF237" t="n">
        <v>0</v>
      </c>
      <c r="AG237" t="n">
        <v>0</v>
      </c>
      <c r="AH237" t="n">
        <v>1</v>
      </c>
      <c r="AI237" t="n">
        <v>1</v>
      </c>
      <c r="AJ237" t="n">
        <v>2</v>
      </c>
      <c r="AK237" t="n">
        <v>2</v>
      </c>
      <c r="AL237" t="n">
        <v>0</v>
      </c>
      <c r="AM237" t="n">
        <v>0</v>
      </c>
      <c r="AN237" t="n">
        <v>0</v>
      </c>
      <c r="AO237" t="n">
        <v>0</v>
      </c>
      <c r="AP237" t="inlineStr">
        <is>
          <t>No</t>
        </is>
      </c>
      <c r="AQ237" t="inlineStr">
        <is>
          <t>Yes</t>
        </is>
      </c>
      <c r="AR237">
        <f>HYPERLINK("http://catalog.hathitrust.org/Record/000262159","HathiTrust Record")</f>
        <v/>
      </c>
      <c r="AS237">
        <f>HYPERLINK("https://creighton-primo.hosted.exlibrisgroup.com/primo-explore/search?tab=default_tab&amp;search_scope=EVERYTHING&amp;vid=01CRU&amp;lang=en_US&amp;offset=0&amp;query=any,contains,991004607189702656","Catalog Record")</f>
        <v/>
      </c>
      <c r="AT237">
        <f>HYPERLINK("http://www.worldcat.org/oclc/4195175","WorldCat Record")</f>
        <v/>
      </c>
      <c r="AU237" t="inlineStr">
        <is>
          <t>14613370:eng</t>
        </is>
      </c>
      <c r="AV237" t="inlineStr">
        <is>
          <t>4195175</t>
        </is>
      </c>
      <c r="AW237" t="inlineStr">
        <is>
          <t>991004607189702656</t>
        </is>
      </c>
      <c r="AX237" t="inlineStr">
        <is>
          <t>991004607189702656</t>
        </is>
      </c>
      <c r="AY237" t="inlineStr">
        <is>
          <t>2261105840002656</t>
        </is>
      </c>
      <c r="AZ237" t="inlineStr">
        <is>
          <t>BOOK</t>
        </is>
      </c>
      <c r="BB237" t="inlineStr">
        <is>
          <t>9780138210175</t>
        </is>
      </c>
      <c r="BC237" t="inlineStr">
        <is>
          <t>32285001104149</t>
        </is>
      </c>
      <c r="BD237" t="inlineStr">
        <is>
          <t>893325546</t>
        </is>
      </c>
    </row>
    <row r="238">
      <c r="A238" t="inlineStr">
        <is>
          <t>No</t>
        </is>
      </c>
      <c r="B238" t="inlineStr">
        <is>
          <t>HM133 .L8</t>
        </is>
      </c>
      <c r="C238" t="inlineStr">
        <is>
          <t>0                      HM 0133000L  8</t>
        </is>
      </c>
      <c r="D238" t="inlineStr">
        <is>
          <t>Group processes : an introduction to group dynamics.</t>
        </is>
      </c>
      <c r="F238" t="inlineStr">
        <is>
          <t>No</t>
        </is>
      </c>
      <c r="G238" t="inlineStr">
        <is>
          <t>1</t>
        </is>
      </c>
      <c r="H238" t="inlineStr">
        <is>
          <t>No</t>
        </is>
      </c>
      <c r="I238" t="inlineStr">
        <is>
          <t>Yes</t>
        </is>
      </c>
      <c r="J238" t="inlineStr">
        <is>
          <t>0</t>
        </is>
      </c>
      <c r="K238" t="inlineStr">
        <is>
          <t>Luft, Joseph.</t>
        </is>
      </c>
      <c r="L238" t="inlineStr">
        <is>
          <t>Palo Alto, Calif. : National Press Books, [c1963]</t>
        </is>
      </c>
      <c r="M238" t="inlineStr">
        <is>
          <t>1963</t>
        </is>
      </c>
      <c r="O238" t="inlineStr">
        <is>
          <t>eng</t>
        </is>
      </c>
      <c r="P238" t="inlineStr">
        <is>
          <t xml:space="preserve">xx </t>
        </is>
      </c>
      <c r="R238" t="inlineStr">
        <is>
          <t xml:space="preserve">HM </t>
        </is>
      </c>
      <c r="S238" t="n">
        <v>3</v>
      </c>
      <c r="T238" t="n">
        <v>3</v>
      </c>
      <c r="U238" t="inlineStr">
        <is>
          <t>2008-03-15</t>
        </is>
      </c>
      <c r="V238" t="inlineStr">
        <is>
          <t>2008-03-15</t>
        </is>
      </c>
      <c r="W238" t="inlineStr">
        <is>
          <t>1992-03-16</t>
        </is>
      </c>
      <c r="X238" t="inlineStr">
        <is>
          <t>1992-03-16</t>
        </is>
      </c>
      <c r="Y238" t="n">
        <v>155</v>
      </c>
      <c r="Z238" t="n">
        <v>135</v>
      </c>
      <c r="AA238" t="n">
        <v>879</v>
      </c>
      <c r="AB238" t="n">
        <v>3</v>
      </c>
      <c r="AC238" t="n">
        <v>8</v>
      </c>
      <c r="AD238" t="n">
        <v>5</v>
      </c>
      <c r="AE238" t="n">
        <v>36</v>
      </c>
      <c r="AF238" t="n">
        <v>2</v>
      </c>
      <c r="AG238" t="n">
        <v>13</v>
      </c>
      <c r="AH238" t="n">
        <v>1</v>
      </c>
      <c r="AI238" t="n">
        <v>7</v>
      </c>
      <c r="AJ238" t="n">
        <v>1</v>
      </c>
      <c r="AK238" t="n">
        <v>19</v>
      </c>
      <c r="AL238" t="n">
        <v>2</v>
      </c>
      <c r="AM238" t="n">
        <v>6</v>
      </c>
      <c r="AN238" t="n">
        <v>0</v>
      </c>
      <c r="AO238" t="n">
        <v>0</v>
      </c>
      <c r="AP238" t="inlineStr">
        <is>
          <t>Yes</t>
        </is>
      </c>
      <c r="AQ238" t="inlineStr">
        <is>
          <t>No</t>
        </is>
      </c>
      <c r="AR238">
        <f>HYPERLINK("http://catalog.hathitrust.org/Record/000732360","HathiTrust Record")</f>
        <v/>
      </c>
      <c r="AS238">
        <f>HYPERLINK("https://creighton-primo.hosted.exlibrisgroup.com/primo-explore/search?tab=default_tab&amp;search_scope=EVERYTHING&amp;vid=01CRU&amp;lang=en_US&amp;offset=0&amp;query=any,contains,991003728639702656","Catalog Record")</f>
        <v/>
      </c>
      <c r="AT238">
        <f>HYPERLINK("http://www.worldcat.org/oclc/1378585","WorldCat Record")</f>
        <v/>
      </c>
      <c r="AU238" t="inlineStr">
        <is>
          <t>12723934:eng</t>
        </is>
      </c>
      <c r="AV238" t="inlineStr">
        <is>
          <t>1378585</t>
        </is>
      </c>
      <c r="AW238" t="inlineStr">
        <is>
          <t>991003728639702656</t>
        </is>
      </c>
      <c r="AX238" t="inlineStr">
        <is>
          <t>991003728639702656</t>
        </is>
      </c>
      <c r="AY238" t="inlineStr">
        <is>
          <t>2255133410002656</t>
        </is>
      </c>
      <c r="AZ238" t="inlineStr">
        <is>
          <t>BOOK</t>
        </is>
      </c>
      <c r="BC238" t="inlineStr">
        <is>
          <t>32285001020998</t>
        </is>
      </c>
      <c r="BD238" t="inlineStr">
        <is>
          <t>893435358</t>
        </is>
      </c>
    </row>
    <row r="239">
      <c r="A239" t="inlineStr">
        <is>
          <t>No</t>
        </is>
      </c>
      <c r="B239" t="inlineStr">
        <is>
          <t>HM133 .L8 1970</t>
        </is>
      </c>
      <c r="C239" t="inlineStr">
        <is>
          <t>0                      HM 0133000L  8           1970</t>
        </is>
      </c>
      <c r="D239" t="inlineStr">
        <is>
          <t>Group processes : an introduction to group dynamics.</t>
        </is>
      </c>
      <c r="F239" t="inlineStr">
        <is>
          <t>No</t>
        </is>
      </c>
      <c r="G239" t="inlineStr">
        <is>
          <t>1</t>
        </is>
      </c>
      <c r="H239" t="inlineStr">
        <is>
          <t>No</t>
        </is>
      </c>
      <c r="I239" t="inlineStr">
        <is>
          <t>Yes</t>
        </is>
      </c>
      <c r="J239" t="inlineStr">
        <is>
          <t>0</t>
        </is>
      </c>
      <c r="K239" t="inlineStr">
        <is>
          <t>Luft, Joseph.</t>
        </is>
      </c>
      <c r="L239" t="inlineStr">
        <is>
          <t>Palo Alto, Calif. : National Press Books, [1970]</t>
        </is>
      </c>
      <c r="M239" t="inlineStr">
        <is>
          <t>1970</t>
        </is>
      </c>
      <c r="N239" t="inlineStr">
        <is>
          <t>[2d ed.]</t>
        </is>
      </c>
      <c r="O239" t="inlineStr">
        <is>
          <t>eng</t>
        </is>
      </c>
      <c r="P239" t="inlineStr">
        <is>
          <t>cau</t>
        </is>
      </c>
      <c r="R239" t="inlineStr">
        <is>
          <t xml:space="preserve">HM </t>
        </is>
      </c>
      <c r="S239" t="n">
        <v>7</v>
      </c>
      <c r="T239" t="n">
        <v>7</v>
      </c>
      <c r="U239" t="inlineStr">
        <is>
          <t>2008-03-15</t>
        </is>
      </c>
      <c r="V239" t="inlineStr">
        <is>
          <t>2008-03-15</t>
        </is>
      </c>
      <c r="W239" t="inlineStr">
        <is>
          <t>1992-04-23</t>
        </is>
      </c>
      <c r="X239" t="inlineStr">
        <is>
          <t>1992-04-23</t>
        </is>
      </c>
      <c r="Y239" t="n">
        <v>632</v>
      </c>
      <c r="Z239" t="n">
        <v>533</v>
      </c>
      <c r="AA239" t="n">
        <v>879</v>
      </c>
      <c r="AB239" t="n">
        <v>4</v>
      </c>
      <c r="AC239" t="n">
        <v>8</v>
      </c>
      <c r="AD239" t="n">
        <v>22</v>
      </c>
      <c r="AE239" t="n">
        <v>36</v>
      </c>
      <c r="AF239" t="n">
        <v>8</v>
      </c>
      <c r="AG239" t="n">
        <v>13</v>
      </c>
      <c r="AH239" t="n">
        <v>5</v>
      </c>
      <c r="AI239" t="n">
        <v>7</v>
      </c>
      <c r="AJ239" t="n">
        <v>10</v>
      </c>
      <c r="AK239" t="n">
        <v>19</v>
      </c>
      <c r="AL239" t="n">
        <v>2</v>
      </c>
      <c r="AM239" t="n">
        <v>6</v>
      </c>
      <c r="AN239" t="n">
        <v>0</v>
      </c>
      <c r="AO239" t="n">
        <v>0</v>
      </c>
      <c r="AP239" t="inlineStr">
        <is>
          <t>No</t>
        </is>
      </c>
      <c r="AQ239" t="inlineStr">
        <is>
          <t>Yes</t>
        </is>
      </c>
      <c r="AR239">
        <f>HYPERLINK("http://catalog.hathitrust.org/Record/001109306","HathiTrust Record")</f>
        <v/>
      </c>
      <c r="AS239">
        <f>HYPERLINK("https://creighton-primo.hosted.exlibrisgroup.com/primo-explore/search?tab=default_tab&amp;search_scope=EVERYTHING&amp;vid=01CRU&amp;lang=en_US&amp;offset=0&amp;query=any,contains,991005254579702656","Catalog Record")</f>
        <v/>
      </c>
      <c r="AT239">
        <f>HYPERLINK("http://www.worldcat.org/oclc/115638","WorldCat Record")</f>
        <v/>
      </c>
      <c r="AU239" t="inlineStr">
        <is>
          <t>12723934:eng</t>
        </is>
      </c>
      <c r="AV239" t="inlineStr">
        <is>
          <t>115638</t>
        </is>
      </c>
      <c r="AW239" t="inlineStr">
        <is>
          <t>991005254579702656</t>
        </is>
      </c>
      <c r="AX239" t="inlineStr">
        <is>
          <t>991005254579702656</t>
        </is>
      </c>
      <c r="AY239" t="inlineStr">
        <is>
          <t>2260317330002656</t>
        </is>
      </c>
      <c r="AZ239" t="inlineStr">
        <is>
          <t>BOOK</t>
        </is>
      </c>
      <c r="BB239" t="inlineStr">
        <is>
          <t>9780874841466</t>
        </is>
      </c>
      <c r="BC239" t="inlineStr">
        <is>
          <t>32285001085553</t>
        </is>
      </c>
      <c r="BD239" t="inlineStr">
        <is>
          <t>893600890</t>
        </is>
      </c>
    </row>
    <row r="240">
      <c r="A240" t="inlineStr">
        <is>
          <t>No</t>
        </is>
      </c>
      <c r="B240" t="inlineStr">
        <is>
          <t>HM133 .L8 1984</t>
        </is>
      </c>
      <c r="C240" t="inlineStr">
        <is>
          <t>0                      HM 0133000L  8           1984</t>
        </is>
      </c>
      <c r="D240" t="inlineStr">
        <is>
          <t>Group processes : an introduction to group dynamics / Joseph Luft.</t>
        </is>
      </c>
      <c r="F240" t="inlineStr">
        <is>
          <t>No</t>
        </is>
      </c>
      <c r="G240" t="inlineStr">
        <is>
          <t>1</t>
        </is>
      </c>
      <c r="H240" t="inlineStr">
        <is>
          <t>No</t>
        </is>
      </c>
      <c r="I240" t="inlineStr">
        <is>
          <t>Yes</t>
        </is>
      </c>
      <c r="J240" t="inlineStr">
        <is>
          <t>0</t>
        </is>
      </c>
      <c r="K240" t="inlineStr">
        <is>
          <t>Luft, Joseph.</t>
        </is>
      </c>
      <c r="L240" t="inlineStr">
        <is>
          <t>Palo Alto, Calif. : Mayfield Pub. Co., c1984.</t>
        </is>
      </c>
      <c r="M240" t="inlineStr">
        <is>
          <t>1984</t>
        </is>
      </c>
      <c r="N240" t="inlineStr">
        <is>
          <t>3rd ed.</t>
        </is>
      </c>
      <c r="O240" t="inlineStr">
        <is>
          <t>eng</t>
        </is>
      </c>
      <c r="P240" t="inlineStr">
        <is>
          <t>cau</t>
        </is>
      </c>
      <c r="R240" t="inlineStr">
        <is>
          <t xml:space="preserve">HM </t>
        </is>
      </c>
      <c r="S240" t="n">
        <v>14</v>
      </c>
      <c r="T240" t="n">
        <v>14</v>
      </c>
      <c r="U240" t="inlineStr">
        <is>
          <t>2008-01-15</t>
        </is>
      </c>
      <c r="V240" t="inlineStr">
        <is>
          <t>2008-01-15</t>
        </is>
      </c>
      <c r="W240" t="inlineStr">
        <is>
          <t>1990-03-19</t>
        </is>
      </c>
      <c r="X240" t="inlineStr">
        <is>
          <t>1990-03-19</t>
        </is>
      </c>
      <c r="Y240" t="n">
        <v>423</v>
      </c>
      <c r="Z240" t="n">
        <v>304</v>
      </c>
      <c r="AA240" t="n">
        <v>879</v>
      </c>
      <c r="AB240" t="n">
        <v>3</v>
      </c>
      <c r="AC240" t="n">
        <v>8</v>
      </c>
      <c r="AD240" t="n">
        <v>11</v>
      </c>
      <c r="AE240" t="n">
        <v>36</v>
      </c>
      <c r="AF240" t="n">
        <v>3</v>
      </c>
      <c r="AG240" t="n">
        <v>13</v>
      </c>
      <c r="AH240" t="n">
        <v>3</v>
      </c>
      <c r="AI240" t="n">
        <v>7</v>
      </c>
      <c r="AJ240" t="n">
        <v>8</v>
      </c>
      <c r="AK240" t="n">
        <v>19</v>
      </c>
      <c r="AL240" t="n">
        <v>2</v>
      </c>
      <c r="AM240" t="n">
        <v>6</v>
      </c>
      <c r="AN240" t="n">
        <v>0</v>
      </c>
      <c r="AO240" t="n">
        <v>0</v>
      </c>
      <c r="AP240" t="inlineStr">
        <is>
          <t>No</t>
        </is>
      </c>
      <c r="AQ240" t="inlineStr">
        <is>
          <t>Yes</t>
        </is>
      </c>
      <c r="AR240">
        <f>HYPERLINK("http://catalog.hathitrust.org/Record/000648947","HathiTrust Record")</f>
        <v/>
      </c>
      <c r="AS240">
        <f>HYPERLINK("https://creighton-primo.hosted.exlibrisgroup.com/primo-explore/search?tab=default_tab&amp;search_scope=EVERYTHING&amp;vid=01CRU&amp;lang=en_US&amp;offset=0&amp;query=any,contains,991000413399702656","Catalog Record")</f>
        <v/>
      </c>
      <c r="AT240">
        <f>HYPERLINK("http://www.worldcat.org/oclc/10721206","WorldCat Record")</f>
        <v/>
      </c>
      <c r="AU240" t="inlineStr">
        <is>
          <t>12723934:eng</t>
        </is>
      </c>
      <c r="AV240" t="inlineStr">
        <is>
          <t>10721206</t>
        </is>
      </c>
      <c r="AW240" t="inlineStr">
        <is>
          <t>991000413399702656</t>
        </is>
      </c>
      <c r="AX240" t="inlineStr">
        <is>
          <t>991000413399702656</t>
        </is>
      </c>
      <c r="AY240" t="inlineStr">
        <is>
          <t>2255385990002656</t>
        </is>
      </c>
      <c r="AZ240" t="inlineStr">
        <is>
          <t>BOOK</t>
        </is>
      </c>
      <c r="BB240" t="inlineStr">
        <is>
          <t>9780874845426</t>
        </is>
      </c>
      <c r="BC240" t="inlineStr">
        <is>
          <t>32285000086032</t>
        </is>
      </c>
      <c r="BD240" t="inlineStr">
        <is>
          <t>893333446</t>
        </is>
      </c>
    </row>
    <row r="241">
      <c r="A241" t="inlineStr">
        <is>
          <t>No</t>
        </is>
      </c>
      <c r="B241" t="inlineStr">
        <is>
          <t>HM133 .L83</t>
        </is>
      </c>
      <c r="C241" t="inlineStr">
        <is>
          <t>0                      HM 0133000L  83</t>
        </is>
      </c>
      <c r="D241" t="inlineStr">
        <is>
          <t>Of human interaction.</t>
        </is>
      </c>
      <c r="F241" t="inlineStr">
        <is>
          <t>No</t>
        </is>
      </c>
      <c r="G241" t="inlineStr">
        <is>
          <t>1</t>
        </is>
      </c>
      <c r="H241" t="inlineStr">
        <is>
          <t>No</t>
        </is>
      </c>
      <c r="I241" t="inlineStr">
        <is>
          <t>No</t>
        </is>
      </c>
      <c r="J241" t="inlineStr">
        <is>
          <t>0</t>
        </is>
      </c>
      <c r="K241" t="inlineStr">
        <is>
          <t>Luft, Joseph.</t>
        </is>
      </c>
      <c r="L241" t="inlineStr">
        <is>
          <t>Palo Alto, Calif., National Press Books [1969]</t>
        </is>
      </c>
      <c r="M241" t="inlineStr">
        <is>
          <t>1969</t>
        </is>
      </c>
      <c r="O241" t="inlineStr">
        <is>
          <t>eng</t>
        </is>
      </c>
      <c r="P241" t="inlineStr">
        <is>
          <t>cau</t>
        </is>
      </c>
      <c r="R241" t="inlineStr">
        <is>
          <t xml:space="preserve">HM </t>
        </is>
      </c>
      <c r="S241" t="n">
        <v>4</v>
      </c>
      <c r="T241" t="n">
        <v>4</v>
      </c>
      <c r="U241" t="inlineStr">
        <is>
          <t>2008-03-15</t>
        </is>
      </c>
      <c r="V241" t="inlineStr">
        <is>
          <t>2008-03-15</t>
        </is>
      </c>
      <c r="W241" t="inlineStr">
        <is>
          <t>1997-07-30</t>
        </is>
      </c>
      <c r="X241" t="inlineStr">
        <is>
          <t>1997-07-30</t>
        </is>
      </c>
      <c r="Y241" t="n">
        <v>574</v>
      </c>
      <c r="Z241" t="n">
        <v>491</v>
      </c>
      <c r="AA241" t="n">
        <v>583</v>
      </c>
      <c r="AB241" t="n">
        <v>5</v>
      </c>
      <c r="AC241" t="n">
        <v>7</v>
      </c>
      <c r="AD241" t="n">
        <v>22</v>
      </c>
      <c r="AE241" t="n">
        <v>26</v>
      </c>
      <c r="AF241" t="n">
        <v>10</v>
      </c>
      <c r="AG241" t="n">
        <v>13</v>
      </c>
      <c r="AH241" t="n">
        <v>2</v>
      </c>
      <c r="AI241" t="n">
        <v>2</v>
      </c>
      <c r="AJ241" t="n">
        <v>12</v>
      </c>
      <c r="AK241" t="n">
        <v>15</v>
      </c>
      <c r="AL241" t="n">
        <v>4</v>
      </c>
      <c r="AM241" t="n">
        <v>4</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HYPERLINK("https://creighton-primo.hosted.exlibrisgroup.com/primo-explore/search?tab=default_tab&amp;search_scope=EVERYTHING&amp;vid=01CRU&amp;lang=en_US&amp;offset=0&amp;query=any,contains,991000080659702656","Catalog Record")</f>
        <v/>
      </c>
      <c r="AT241">
        <f>HYPERLINK("http://www.worldcat.org/oclc/31427","WorldCat Record")</f>
        <v/>
      </c>
      <c r="AU241" t="inlineStr">
        <is>
          <t>522488:eng</t>
        </is>
      </c>
      <c r="AV241" t="inlineStr">
        <is>
          <t>31427</t>
        </is>
      </c>
      <c r="AW241" t="inlineStr">
        <is>
          <t>991000080659702656</t>
        </is>
      </c>
      <c r="AX241" t="inlineStr">
        <is>
          <t>991000080659702656</t>
        </is>
      </c>
      <c r="AY241" t="inlineStr">
        <is>
          <t>2261012300002656</t>
        </is>
      </c>
      <c r="AZ241" t="inlineStr">
        <is>
          <t>BOOK</t>
        </is>
      </c>
      <c r="BB241" t="inlineStr">
        <is>
          <t>9780874841343</t>
        </is>
      </c>
      <c r="BC241" t="inlineStr">
        <is>
          <t>32285003016085</t>
        </is>
      </c>
      <c r="BD241" t="inlineStr">
        <is>
          <t>893783940</t>
        </is>
      </c>
    </row>
    <row r="242">
      <c r="A242" t="inlineStr">
        <is>
          <t>No</t>
        </is>
      </c>
      <c r="B242" t="inlineStr">
        <is>
          <t>HM133 .M36</t>
        </is>
      </c>
      <c r="C242" t="inlineStr">
        <is>
          <t>0                      HM 0133000M  36</t>
        </is>
      </c>
      <c r="D242" t="inlineStr">
        <is>
          <t>Interpersonal growth and self actualization in groups. Edited by Raymond M. Maslowski [and] Lewis B. Morgan.</t>
        </is>
      </c>
      <c r="F242" t="inlineStr">
        <is>
          <t>No</t>
        </is>
      </c>
      <c r="G242" t="inlineStr">
        <is>
          <t>1</t>
        </is>
      </c>
      <c r="H242" t="inlineStr">
        <is>
          <t>No</t>
        </is>
      </c>
      <c r="I242" t="inlineStr">
        <is>
          <t>No</t>
        </is>
      </c>
      <c r="J242" t="inlineStr">
        <is>
          <t>0</t>
        </is>
      </c>
      <c r="K242" t="inlineStr">
        <is>
          <t>Maslowski, Raymond M., compiler.</t>
        </is>
      </c>
      <c r="L242" t="inlineStr">
        <is>
          <t>New York, MSS Information Corp. [1973]</t>
        </is>
      </c>
      <c r="M242" t="inlineStr">
        <is>
          <t>1973</t>
        </is>
      </c>
      <c r="O242" t="inlineStr">
        <is>
          <t>eng</t>
        </is>
      </c>
      <c r="P242" t="inlineStr">
        <is>
          <t>nyu</t>
        </is>
      </c>
      <c r="R242" t="inlineStr">
        <is>
          <t xml:space="preserve">HM </t>
        </is>
      </c>
      <c r="S242" t="n">
        <v>2</v>
      </c>
      <c r="T242" t="n">
        <v>2</v>
      </c>
      <c r="U242" t="inlineStr">
        <is>
          <t>1997-09-23</t>
        </is>
      </c>
      <c r="V242" t="inlineStr">
        <is>
          <t>1997-09-23</t>
        </is>
      </c>
      <c r="W242" t="inlineStr">
        <is>
          <t>1997-07-30</t>
        </is>
      </c>
      <c r="X242" t="inlineStr">
        <is>
          <t>1997-07-30</t>
        </is>
      </c>
      <c r="Y242" t="n">
        <v>232</v>
      </c>
      <c r="Z242" t="n">
        <v>204</v>
      </c>
      <c r="AA242" t="n">
        <v>204</v>
      </c>
      <c r="AB242" t="n">
        <v>1</v>
      </c>
      <c r="AC242" t="n">
        <v>1</v>
      </c>
      <c r="AD242" t="n">
        <v>9</v>
      </c>
      <c r="AE242" t="n">
        <v>9</v>
      </c>
      <c r="AF242" t="n">
        <v>2</v>
      </c>
      <c r="AG242" t="n">
        <v>2</v>
      </c>
      <c r="AH242" t="n">
        <v>4</v>
      </c>
      <c r="AI242" t="n">
        <v>4</v>
      </c>
      <c r="AJ242" t="n">
        <v>8</v>
      </c>
      <c r="AK242" t="n">
        <v>8</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HYPERLINK("https://creighton-primo.hosted.exlibrisgroup.com/primo-explore/search?tab=default_tab&amp;search_scope=EVERYTHING&amp;vid=01CRU&amp;lang=en_US&amp;offset=0&amp;query=any,contains,991002951149702656","Catalog Record")</f>
        <v/>
      </c>
      <c r="AT242">
        <f>HYPERLINK("http://www.worldcat.org/oclc/538898","WorldCat Record")</f>
        <v/>
      </c>
      <c r="AU242" t="inlineStr">
        <is>
          <t>1563299:eng</t>
        </is>
      </c>
      <c r="AV242" t="inlineStr">
        <is>
          <t>538898</t>
        </is>
      </c>
      <c r="AW242" t="inlineStr">
        <is>
          <t>991002951149702656</t>
        </is>
      </c>
      <c r="AX242" t="inlineStr">
        <is>
          <t>991002951149702656</t>
        </is>
      </c>
      <c r="AY242" t="inlineStr">
        <is>
          <t>2262502790002656</t>
        </is>
      </c>
      <c r="AZ242" t="inlineStr">
        <is>
          <t>BOOK</t>
        </is>
      </c>
      <c r="BB242" t="inlineStr">
        <is>
          <t>9780842202893</t>
        </is>
      </c>
      <c r="BC242" t="inlineStr">
        <is>
          <t>32285003016119</t>
        </is>
      </c>
      <c r="BD242" t="inlineStr">
        <is>
          <t>893227490</t>
        </is>
      </c>
    </row>
    <row r="243">
      <c r="A243" t="inlineStr">
        <is>
          <t>No</t>
        </is>
      </c>
      <c r="B243" t="inlineStr">
        <is>
          <t>HM133 .M47</t>
        </is>
      </c>
      <c r="C243" t="inlineStr">
        <is>
          <t>0                      HM 0133000M  47</t>
        </is>
      </c>
      <c r="D243" t="inlineStr">
        <is>
          <t>Activities for trainers : 50 useful designs / by Cyril R. Mill.</t>
        </is>
      </c>
      <c r="F243" t="inlineStr">
        <is>
          <t>No</t>
        </is>
      </c>
      <c r="G243" t="inlineStr">
        <is>
          <t>1</t>
        </is>
      </c>
      <c r="H243" t="inlineStr">
        <is>
          <t>No</t>
        </is>
      </c>
      <c r="I243" t="inlineStr">
        <is>
          <t>No</t>
        </is>
      </c>
      <c r="J243" t="inlineStr">
        <is>
          <t>0</t>
        </is>
      </c>
      <c r="K243" t="inlineStr">
        <is>
          <t>Mill, Cyril R., 1919-</t>
        </is>
      </c>
      <c r="L243" t="inlineStr">
        <is>
          <t>San Diego, Calif. : University Associates, c1980.</t>
        </is>
      </c>
      <c r="M243" t="inlineStr">
        <is>
          <t>1980</t>
        </is>
      </c>
      <c r="O243" t="inlineStr">
        <is>
          <t>eng</t>
        </is>
      </c>
      <c r="P243" t="inlineStr">
        <is>
          <t>cau</t>
        </is>
      </c>
      <c r="R243" t="inlineStr">
        <is>
          <t xml:space="preserve">HM </t>
        </is>
      </c>
      <c r="S243" t="n">
        <v>16</v>
      </c>
      <c r="T243" t="n">
        <v>16</v>
      </c>
      <c r="U243" t="inlineStr">
        <is>
          <t>2000-03-22</t>
        </is>
      </c>
      <c r="V243" t="inlineStr">
        <is>
          <t>2000-03-22</t>
        </is>
      </c>
      <c r="W243" t="inlineStr">
        <is>
          <t>1992-02-04</t>
        </is>
      </c>
      <c r="X243" t="inlineStr">
        <is>
          <t>1992-02-04</t>
        </is>
      </c>
      <c r="Y243" t="n">
        <v>309</v>
      </c>
      <c r="Z243" t="n">
        <v>221</v>
      </c>
      <c r="AA243" t="n">
        <v>223</v>
      </c>
      <c r="AB243" t="n">
        <v>4</v>
      </c>
      <c r="AC243" t="n">
        <v>4</v>
      </c>
      <c r="AD243" t="n">
        <v>10</v>
      </c>
      <c r="AE243" t="n">
        <v>10</v>
      </c>
      <c r="AF243" t="n">
        <v>1</v>
      </c>
      <c r="AG243" t="n">
        <v>1</v>
      </c>
      <c r="AH243" t="n">
        <v>2</v>
      </c>
      <c r="AI243" t="n">
        <v>2</v>
      </c>
      <c r="AJ243" t="n">
        <v>6</v>
      </c>
      <c r="AK243" t="n">
        <v>6</v>
      </c>
      <c r="AL243" t="n">
        <v>3</v>
      </c>
      <c r="AM243" t="n">
        <v>3</v>
      </c>
      <c r="AN243" t="n">
        <v>0</v>
      </c>
      <c r="AO243" t="n">
        <v>0</v>
      </c>
      <c r="AP243" t="inlineStr">
        <is>
          <t>No</t>
        </is>
      </c>
      <c r="AQ243" t="inlineStr">
        <is>
          <t>Yes</t>
        </is>
      </c>
      <c r="AR243">
        <f>HYPERLINK("http://catalog.hathitrust.org/Record/000614303","HathiTrust Record")</f>
        <v/>
      </c>
      <c r="AS243">
        <f>HYPERLINK("https://creighton-primo.hosted.exlibrisgroup.com/primo-explore/search?tab=default_tab&amp;search_scope=EVERYTHING&amp;vid=01CRU&amp;lang=en_US&amp;offset=0&amp;query=any,contains,991005069129702656","Catalog Record")</f>
        <v/>
      </c>
      <c r="AT243">
        <f>HYPERLINK("http://www.worldcat.org/oclc/6991776","WorldCat Record")</f>
        <v/>
      </c>
      <c r="AU243" t="inlineStr">
        <is>
          <t>143302862:eng</t>
        </is>
      </c>
      <c r="AV243" t="inlineStr">
        <is>
          <t>6991776</t>
        </is>
      </c>
      <c r="AW243" t="inlineStr">
        <is>
          <t>991005069129702656</t>
        </is>
      </c>
      <c r="AX243" t="inlineStr">
        <is>
          <t>991005069129702656</t>
        </is>
      </c>
      <c r="AY243" t="inlineStr">
        <is>
          <t>2262587220002656</t>
        </is>
      </c>
      <c r="AZ243" t="inlineStr">
        <is>
          <t>BOOK</t>
        </is>
      </c>
      <c r="BB243" t="inlineStr">
        <is>
          <t>9780883901595</t>
        </is>
      </c>
      <c r="BC243" t="inlineStr">
        <is>
          <t>32285000950047</t>
        </is>
      </c>
      <c r="BD243" t="inlineStr">
        <is>
          <t>893319963</t>
        </is>
      </c>
    </row>
    <row r="244">
      <c r="A244" t="inlineStr">
        <is>
          <t>No</t>
        </is>
      </c>
      <c r="B244" t="inlineStr">
        <is>
          <t>HM133 .N58</t>
        </is>
      </c>
      <c r="C244" t="inlineStr">
        <is>
          <t>0                      HM 0133000N  58</t>
        </is>
      </c>
      <c r="D244" t="inlineStr">
        <is>
          <t>The small group / Howard L. Nixon II.</t>
        </is>
      </c>
      <c r="F244" t="inlineStr">
        <is>
          <t>No</t>
        </is>
      </c>
      <c r="G244" t="inlineStr">
        <is>
          <t>1</t>
        </is>
      </c>
      <c r="H244" t="inlineStr">
        <is>
          <t>No</t>
        </is>
      </c>
      <c r="I244" t="inlineStr">
        <is>
          <t>No</t>
        </is>
      </c>
      <c r="J244" t="inlineStr">
        <is>
          <t>0</t>
        </is>
      </c>
      <c r="K244" t="inlineStr">
        <is>
          <t>Nixon, Howard L., 1944-</t>
        </is>
      </c>
      <c r="L244" t="inlineStr">
        <is>
          <t>Englewood Cliffs, N.J. : Prentice-Hall, c1979.</t>
        </is>
      </c>
      <c r="M244" t="inlineStr">
        <is>
          <t>1979</t>
        </is>
      </c>
      <c r="O244" t="inlineStr">
        <is>
          <t>eng</t>
        </is>
      </c>
      <c r="P244" t="inlineStr">
        <is>
          <t>nju</t>
        </is>
      </c>
      <c r="Q244" t="inlineStr">
        <is>
          <t>Prentice-Hall series in sociology</t>
        </is>
      </c>
      <c r="R244" t="inlineStr">
        <is>
          <t xml:space="preserve">HM </t>
        </is>
      </c>
      <c r="S244" t="n">
        <v>9</v>
      </c>
      <c r="T244" t="n">
        <v>9</v>
      </c>
      <c r="U244" t="inlineStr">
        <is>
          <t>2008-01-15</t>
        </is>
      </c>
      <c r="V244" t="inlineStr">
        <is>
          <t>2008-01-15</t>
        </is>
      </c>
      <c r="W244" t="inlineStr">
        <is>
          <t>1991-12-06</t>
        </is>
      </c>
      <c r="X244" t="inlineStr">
        <is>
          <t>1991-12-06</t>
        </is>
      </c>
      <c r="Y244" t="n">
        <v>302</v>
      </c>
      <c r="Z244" t="n">
        <v>240</v>
      </c>
      <c r="AA244" t="n">
        <v>247</v>
      </c>
      <c r="AB244" t="n">
        <v>4</v>
      </c>
      <c r="AC244" t="n">
        <v>4</v>
      </c>
      <c r="AD244" t="n">
        <v>13</v>
      </c>
      <c r="AE244" t="n">
        <v>13</v>
      </c>
      <c r="AF244" t="n">
        <v>4</v>
      </c>
      <c r="AG244" t="n">
        <v>4</v>
      </c>
      <c r="AH244" t="n">
        <v>3</v>
      </c>
      <c r="AI244" t="n">
        <v>3</v>
      </c>
      <c r="AJ244" t="n">
        <v>5</v>
      </c>
      <c r="AK244" t="n">
        <v>5</v>
      </c>
      <c r="AL244" t="n">
        <v>3</v>
      </c>
      <c r="AM244" t="n">
        <v>3</v>
      </c>
      <c r="AN244" t="n">
        <v>0</v>
      </c>
      <c r="AO244" t="n">
        <v>0</v>
      </c>
      <c r="AP244" t="inlineStr">
        <is>
          <t>No</t>
        </is>
      </c>
      <c r="AQ244" t="inlineStr">
        <is>
          <t>Yes</t>
        </is>
      </c>
      <c r="AR244">
        <f>HYPERLINK("http://catalog.hathitrust.org/Record/000215989","HathiTrust Record")</f>
        <v/>
      </c>
      <c r="AS244">
        <f>HYPERLINK("https://creighton-primo.hosted.exlibrisgroup.com/primo-explore/search?tab=default_tab&amp;search_scope=EVERYTHING&amp;vid=01CRU&amp;lang=en_US&amp;offset=0&amp;query=any,contains,991004605339702656","Catalog Record")</f>
        <v/>
      </c>
      <c r="AT244">
        <f>HYPERLINK("http://www.worldcat.org/oclc/4194164","WorldCat Record")</f>
        <v/>
      </c>
      <c r="AU244" t="inlineStr">
        <is>
          <t>3858115259:eng</t>
        </is>
      </c>
      <c r="AV244" t="inlineStr">
        <is>
          <t>4194164</t>
        </is>
      </c>
      <c r="AW244" t="inlineStr">
        <is>
          <t>991004605339702656</t>
        </is>
      </c>
      <c r="AX244" t="inlineStr">
        <is>
          <t>991004605339702656</t>
        </is>
      </c>
      <c r="AY244" t="inlineStr">
        <is>
          <t>2262355470002656</t>
        </is>
      </c>
      <c r="AZ244" t="inlineStr">
        <is>
          <t>BOOK</t>
        </is>
      </c>
      <c r="BB244" t="inlineStr">
        <is>
          <t>9780138142445</t>
        </is>
      </c>
      <c r="BC244" t="inlineStr">
        <is>
          <t>32285000829159</t>
        </is>
      </c>
      <c r="BD244" t="inlineStr">
        <is>
          <t>893519839</t>
        </is>
      </c>
    </row>
    <row r="245">
      <c r="A245" t="inlineStr">
        <is>
          <t>No</t>
        </is>
      </c>
      <c r="B245" t="inlineStr">
        <is>
          <t>HM133 .O18</t>
        </is>
      </c>
      <c r="C245" t="inlineStr">
        <is>
          <t>0                      HM 0133000O  18</t>
        </is>
      </c>
      <c r="D245" t="inlineStr">
        <is>
          <t>The shared journey : an introduction to encounter / [by] Terry O'Banion [and] April O'Connell.</t>
        </is>
      </c>
      <c r="F245" t="inlineStr">
        <is>
          <t>No</t>
        </is>
      </c>
      <c r="G245" t="inlineStr">
        <is>
          <t>1</t>
        </is>
      </c>
      <c r="H245" t="inlineStr">
        <is>
          <t>No</t>
        </is>
      </c>
      <c r="I245" t="inlineStr">
        <is>
          <t>No</t>
        </is>
      </c>
      <c r="J245" t="inlineStr">
        <is>
          <t>0</t>
        </is>
      </c>
      <c r="K245" t="inlineStr">
        <is>
          <t>O'Banion, Terry, 1936-</t>
        </is>
      </c>
      <c r="L245" t="inlineStr">
        <is>
          <t>Englewood Cliffs, N.J. : Prentice-Hall, [1970]</t>
        </is>
      </c>
      <c r="M245" t="inlineStr">
        <is>
          <t>1970</t>
        </is>
      </c>
      <c r="O245" t="inlineStr">
        <is>
          <t>eng</t>
        </is>
      </c>
      <c r="P245" t="inlineStr">
        <is>
          <t>nju</t>
        </is>
      </c>
      <c r="R245" t="inlineStr">
        <is>
          <t xml:space="preserve">HM </t>
        </is>
      </c>
      <c r="S245" t="n">
        <v>2</v>
      </c>
      <c r="T245" t="n">
        <v>2</v>
      </c>
      <c r="U245" t="inlineStr">
        <is>
          <t>2001-02-11</t>
        </is>
      </c>
      <c r="V245" t="inlineStr">
        <is>
          <t>2001-02-11</t>
        </is>
      </c>
      <c r="W245" t="inlineStr">
        <is>
          <t>1993-05-26</t>
        </is>
      </c>
      <c r="X245" t="inlineStr">
        <is>
          <t>1993-05-26</t>
        </is>
      </c>
      <c r="Y245" t="n">
        <v>504</v>
      </c>
      <c r="Z245" t="n">
        <v>461</v>
      </c>
      <c r="AA245" t="n">
        <v>468</v>
      </c>
      <c r="AB245" t="n">
        <v>3</v>
      </c>
      <c r="AC245" t="n">
        <v>3</v>
      </c>
      <c r="AD245" t="n">
        <v>9</v>
      </c>
      <c r="AE245" t="n">
        <v>9</v>
      </c>
      <c r="AF245" t="n">
        <v>4</v>
      </c>
      <c r="AG245" t="n">
        <v>4</v>
      </c>
      <c r="AH245" t="n">
        <v>0</v>
      </c>
      <c r="AI245" t="n">
        <v>0</v>
      </c>
      <c r="AJ245" t="n">
        <v>6</v>
      </c>
      <c r="AK245" t="n">
        <v>6</v>
      </c>
      <c r="AL245" t="n">
        <v>2</v>
      </c>
      <c r="AM245" t="n">
        <v>2</v>
      </c>
      <c r="AN245" t="n">
        <v>0</v>
      </c>
      <c r="AO245" t="n">
        <v>0</v>
      </c>
      <c r="AP245" t="inlineStr">
        <is>
          <t>No</t>
        </is>
      </c>
      <c r="AQ245" t="inlineStr">
        <is>
          <t>Yes</t>
        </is>
      </c>
      <c r="AR245">
        <f>HYPERLINK("http://catalog.hathitrust.org/Record/001348526","HathiTrust Record")</f>
        <v/>
      </c>
      <c r="AS245">
        <f>HYPERLINK("https://creighton-primo.hosted.exlibrisgroup.com/primo-explore/search?tab=default_tab&amp;search_scope=EVERYTHING&amp;vid=01CRU&amp;lang=en_US&amp;offset=0&amp;query=any,contains,991000259709702656","Catalog Record")</f>
        <v/>
      </c>
      <c r="AT245">
        <f>HYPERLINK("http://www.worldcat.org/oclc/68285","WorldCat Record")</f>
        <v/>
      </c>
      <c r="AU245" t="inlineStr">
        <is>
          <t>221679499:eng</t>
        </is>
      </c>
      <c r="AV245" t="inlineStr">
        <is>
          <t>68285</t>
        </is>
      </c>
      <c r="AW245" t="inlineStr">
        <is>
          <t>991000259709702656</t>
        </is>
      </c>
      <c r="AX245" t="inlineStr">
        <is>
          <t>991000259709702656</t>
        </is>
      </c>
      <c r="AY245" t="inlineStr">
        <is>
          <t>2257678090002656</t>
        </is>
      </c>
      <c r="AZ245" t="inlineStr">
        <is>
          <t>BOOK</t>
        </is>
      </c>
      <c r="BB245" t="inlineStr">
        <is>
          <t>9780138078348</t>
        </is>
      </c>
      <c r="BC245" t="inlineStr">
        <is>
          <t>32285001693224</t>
        </is>
      </c>
      <c r="BD245" t="inlineStr">
        <is>
          <t>893614054</t>
        </is>
      </c>
    </row>
    <row r="246">
      <c r="A246" t="inlineStr">
        <is>
          <t>No</t>
        </is>
      </c>
      <c r="B246" t="inlineStr">
        <is>
          <t>HM133 .P345</t>
        </is>
      </c>
      <c r="C246" t="inlineStr">
        <is>
          <t>0                      HM 0133000P  345</t>
        </is>
      </c>
      <c r="D246" t="inlineStr">
        <is>
          <t>Small groups : an introduction / Charles S. Palazzolo.</t>
        </is>
      </c>
      <c r="F246" t="inlineStr">
        <is>
          <t>No</t>
        </is>
      </c>
      <c r="G246" t="inlineStr">
        <is>
          <t>1</t>
        </is>
      </c>
      <c r="H246" t="inlineStr">
        <is>
          <t>No</t>
        </is>
      </c>
      <c r="I246" t="inlineStr">
        <is>
          <t>No</t>
        </is>
      </c>
      <c r="J246" t="inlineStr">
        <is>
          <t>0</t>
        </is>
      </c>
      <c r="K246" t="inlineStr">
        <is>
          <t>Palazzolo, Charles S.</t>
        </is>
      </c>
      <c r="L246" t="inlineStr">
        <is>
          <t>New York : D. Van Nostrand, 1981.</t>
        </is>
      </c>
      <c r="M246" t="inlineStr">
        <is>
          <t>1981</t>
        </is>
      </c>
      <c r="O246" t="inlineStr">
        <is>
          <t>eng</t>
        </is>
      </c>
      <c r="P246" t="inlineStr">
        <is>
          <t>nyu</t>
        </is>
      </c>
      <c r="R246" t="inlineStr">
        <is>
          <t xml:space="preserve">HM </t>
        </is>
      </c>
      <c r="S246" t="n">
        <v>3</v>
      </c>
      <c r="T246" t="n">
        <v>3</v>
      </c>
      <c r="U246" t="inlineStr">
        <is>
          <t>1995-07-09</t>
        </is>
      </c>
      <c r="V246" t="inlineStr">
        <is>
          <t>1995-07-09</t>
        </is>
      </c>
      <c r="W246" t="inlineStr">
        <is>
          <t>1990-05-23</t>
        </is>
      </c>
      <c r="X246" t="inlineStr">
        <is>
          <t>1990-05-23</t>
        </is>
      </c>
      <c r="Y246" t="n">
        <v>139</v>
      </c>
      <c r="Z246" t="n">
        <v>99</v>
      </c>
      <c r="AA246" t="n">
        <v>99</v>
      </c>
      <c r="AB246" t="n">
        <v>2</v>
      </c>
      <c r="AC246" t="n">
        <v>2</v>
      </c>
      <c r="AD246" t="n">
        <v>6</v>
      </c>
      <c r="AE246" t="n">
        <v>6</v>
      </c>
      <c r="AF246" t="n">
        <v>3</v>
      </c>
      <c r="AG246" t="n">
        <v>3</v>
      </c>
      <c r="AH246" t="n">
        <v>1</v>
      </c>
      <c r="AI246" t="n">
        <v>1</v>
      </c>
      <c r="AJ246" t="n">
        <v>2</v>
      </c>
      <c r="AK246" t="n">
        <v>2</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HYPERLINK("https://creighton-primo.hosted.exlibrisgroup.com/primo-explore/search?tab=default_tab&amp;search_scope=EVERYTHING&amp;vid=01CRU&amp;lang=en_US&amp;offset=0&amp;query=any,contains,991005112139702656","Catalog Record")</f>
        <v/>
      </c>
      <c r="AT246">
        <f>HYPERLINK("http://www.worldcat.org/oclc/7452937","WorldCat Record")</f>
        <v/>
      </c>
      <c r="AU246" t="inlineStr">
        <is>
          <t>375323545:eng</t>
        </is>
      </c>
      <c r="AV246" t="inlineStr">
        <is>
          <t>7452937</t>
        </is>
      </c>
      <c r="AW246" t="inlineStr">
        <is>
          <t>991005112139702656</t>
        </is>
      </c>
      <c r="AX246" t="inlineStr">
        <is>
          <t>991005112139702656</t>
        </is>
      </c>
      <c r="AY246" t="inlineStr">
        <is>
          <t>2260410650002656</t>
        </is>
      </c>
      <c r="AZ246" t="inlineStr">
        <is>
          <t>BOOK</t>
        </is>
      </c>
      <c r="BB246" t="inlineStr">
        <is>
          <t>9780442258689</t>
        </is>
      </c>
      <c r="BC246" t="inlineStr">
        <is>
          <t>32285000165315</t>
        </is>
      </c>
      <c r="BD246" t="inlineStr">
        <is>
          <t>893619468</t>
        </is>
      </c>
    </row>
    <row r="247">
      <c r="A247" t="inlineStr">
        <is>
          <t>No</t>
        </is>
      </c>
      <c r="B247" t="inlineStr">
        <is>
          <t>HM133 .P79 1989</t>
        </is>
      </c>
      <c r="C247" t="inlineStr">
        <is>
          <t>0                      HM 0133000P  79          1989</t>
        </is>
      </c>
      <c r="D247" t="inlineStr">
        <is>
          <t>Psychology of group influence / edited by Paul B. Paulus.</t>
        </is>
      </c>
      <c r="F247" t="inlineStr">
        <is>
          <t>No</t>
        </is>
      </c>
      <c r="G247" t="inlineStr">
        <is>
          <t>1</t>
        </is>
      </c>
      <c r="H247" t="inlineStr">
        <is>
          <t>No</t>
        </is>
      </c>
      <c r="I247" t="inlineStr">
        <is>
          <t>No</t>
        </is>
      </c>
      <c r="J247" t="inlineStr">
        <is>
          <t>0</t>
        </is>
      </c>
      <c r="L247" t="inlineStr">
        <is>
          <t>Hillsdale, N.J. : L. Erlbaum, 1989.</t>
        </is>
      </c>
      <c r="M247" t="inlineStr">
        <is>
          <t>1989</t>
        </is>
      </c>
      <c r="N247" t="inlineStr">
        <is>
          <t>2nd ed.</t>
        </is>
      </c>
      <c r="O247" t="inlineStr">
        <is>
          <t>eng</t>
        </is>
      </c>
      <c r="P247" t="inlineStr">
        <is>
          <t>nju</t>
        </is>
      </c>
      <c r="R247" t="inlineStr">
        <is>
          <t xml:space="preserve">HM </t>
        </is>
      </c>
      <c r="S247" t="n">
        <v>24</v>
      </c>
      <c r="T247" t="n">
        <v>24</v>
      </c>
      <c r="U247" t="inlineStr">
        <is>
          <t>2007-10-11</t>
        </is>
      </c>
      <c r="V247" t="inlineStr">
        <is>
          <t>2007-10-11</t>
        </is>
      </c>
      <c r="W247" t="inlineStr">
        <is>
          <t>1989-11-13</t>
        </is>
      </c>
      <c r="X247" t="inlineStr">
        <is>
          <t>1989-11-13</t>
        </is>
      </c>
      <c r="Y247" t="n">
        <v>352</v>
      </c>
      <c r="Z247" t="n">
        <v>248</v>
      </c>
      <c r="AA247" t="n">
        <v>448</v>
      </c>
      <c r="AB247" t="n">
        <v>3</v>
      </c>
      <c r="AC247" t="n">
        <v>3</v>
      </c>
      <c r="AD247" t="n">
        <v>8</v>
      </c>
      <c r="AE247" t="n">
        <v>15</v>
      </c>
      <c r="AF247" t="n">
        <v>3</v>
      </c>
      <c r="AG247" t="n">
        <v>6</v>
      </c>
      <c r="AH247" t="n">
        <v>0</v>
      </c>
      <c r="AI247" t="n">
        <v>2</v>
      </c>
      <c r="AJ247" t="n">
        <v>4</v>
      </c>
      <c r="AK247" t="n">
        <v>8</v>
      </c>
      <c r="AL247" t="n">
        <v>2</v>
      </c>
      <c r="AM247" t="n">
        <v>2</v>
      </c>
      <c r="AN247" t="n">
        <v>0</v>
      </c>
      <c r="AO247" t="n">
        <v>0</v>
      </c>
      <c r="AP247" t="inlineStr">
        <is>
          <t>No</t>
        </is>
      </c>
      <c r="AQ247" t="inlineStr">
        <is>
          <t>Yes</t>
        </is>
      </c>
      <c r="AR247">
        <f>HYPERLINK("http://catalog.hathitrust.org/Record/007136306","HathiTrust Record")</f>
        <v/>
      </c>
      <c r="AS247">
        <f>HYPERLINK("https://creighton-primo.hosted.exlibrisgroup.com/primo-explore/search?tab=default_tab&amp;search_scope=EVERYTHING&amp;vid=01CRU&amp;lang=en_US&amp;offset=0&amp;query=any,contains,991001421179702656","Catalog Record")</f>
        <v/>
      </c>
      <c r="AT247">
        <f>HYPERLINK("http://www.worldcat.org/oclc/18981429","WorldCat Record")</f>
        <v/>
      </c>
      <c r="AU247" t="inlineStr">
        <is>
          <t>54328444:eng</t>
        </is>
      </c>
      <c r="AV247" t="inlineStr">
        <is>
          <t>18981429</t>
        </is>
      </c>
      <c r="AW247" t="inlineStr">
        <is>
          <t>991001421179702656</t>
        </is>
      </c>
      <c r="AX247" t="inlineStr">
        <is>
          <t>991001421179702656</t>
        </is>
      </c>
      <c r="AY247" t="inlineStr">
        <is>
          <t>2270520500002656</t>
        </is>
      </c>
      <c r="AZ247" t="inlineStr">
        <is>
          <t>BOOK</t>
        </is>
      </c>
      <c r="BB247" t="inlineStr">
        <is>
          <t>9780805804454</t>
        </is>
      </c>
      <c r="BC247" t="inlineStr">
        <is>
          <t>32285000012707</t>
        </is>
      </c>
      <c r="BD247" t="inlineStr">
        <is>
          <t>893321925</t>
        </is>
      </c>
    </row>
    <row r="248">
      <c r="A248" t="inlineStr">
        <is>
          <t>No</t>
        </is>
      </c>
      <c r="B248" t="inlineStr">
        <is>
          <t>HM133 .S43 2004</t>
        </is>
      </c>
      <c r="C248" t="inlineStr">
        <is>
          <t>0                      HM 0133000S  43          2004</t>
        </is>
      </c>
      <c r="D248" t="inlineStr">
        <is>
          <t>Meetings / Paul Shambroom.</t>
        </is>
      </c>
      <c r="F248" t="inlineStr">
        <is>
          <t>No</t>
        </is>
      </c>
      <c r="G248" t="inlineStr">
        <is>
          <t>1</t>
        </is>
      </c>
      <c r="H248" t="inlineStr">
        <is>
          <t>No</t>
        </is>
      </c>
      <c r="I248" t="inlineStr">
        <is>
          <t>No</t>
        </is>
      </c>
      <c r="J248" t="inlineStr">
        <is>
          <t>0</t>
        </is>
      </c>
      <c r="K248" t="inlineStr">
        <is>
          <t>Shambroom, Paul, 1956-</t>
        </is>
      </c>
      <c r="L248" t="inlineStr">
        <is>
          <t>London : Chris Boot, 2004.</t>
        </is>
      </c>
      <c r="M248" t="inlineStr">
        <is>
          <t>2004</t>
        </is>
      </c>
      <c r="O248" t="inlineStr">
        <is>
          <t>eng</t>
        </is>
      </c>
      <c r="P248" t="inlineStr">
        <is>
          <t>enk</t>
        </is>
      </c>
      <c r="R248" t="inlineStr">
        <is>
          <t xml:space="preserve">HM </t>
        </is>
      </c>
      <c r="S248" t="n">
        <v>1</v>
      </c>
      <c r="T248" t="n">
        <v>1</v>
      </c>
      <c r="U248" t="inlineStr">
        <is>
          <t>2010-02-11</t>
        </is>
      </c>
      <c r="V248" t="inlineStr">
        <is>
          <t>2010-02-11</t>
        </is>
      </c>
      <c r="W248" t="inlineStr">
        <is>
          <t>2010-02-11</t>
        </is>
      </c>
      <c r="X248" t="inlineStr">
        <is>
          <t>2010-02-11</t>
        </is>
      </c>
      <c r="Y248" t="n">
        <v>128</v>
      </c>
      <c r="Z248" t="n">
        <v>114</v>
      </c>
      <c r="AA248" t="n">
        <v>114</v>
      </c>
      <c r="AB248" t="n">
        <v>1</v>
      </c>
      <c r="AC248" t="n">
        <v>1</v>
      </c>
      <c r="AD248" t="n">
        <v>2</v>
      </c>
      <c r="AE248" t="n">
        <v>2</v>
      </c>
      <c r="AF248" t="n">
        <v>1</v>
      </c>
      <c r="AG248" t="n">
        <v>1</v>
      </c>
      <c r="AH248" t="n">
        <v>0</v>
      </c>
      <c r="AI248" t="n">
        <v>0</v>
      </c>
      <c r="AJ248" t="n">
        <v>1</v>
      </c>
      <c r="AK248" t="n">
        <v>1</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HYPERLINK("https://creighton-primo.hosted.exlibrisgroup.com/primo-explore/search?tab=default_tab&amp;search_scope=EVERYTHING&amp;vid=01CRU&amp;lang=en_US&amp;offset=0&amp;query=any,contains,991005362279702656","Catalog Record")</f>
        <v/>
      </c>
      <c r="AT248">
        <f>HYPERLINK("http://www.worldcat.org/oclc/56640252","WorldCat Record")</f>
        <v/>
      </c>
      <c r="AU248" t="inlineStr">
        <is>
          <t>18064600:eng</t>
        </is>
      </c>
      <c r="AV248" t="inlineStr">
        <is>
          <t>56640252</t>
        </is>
      </c>
      <c r="AW248" t="inlineStr">
        <is>
          <t>991005362279702656</t>
        </is>
      </c>
      <c r="AX248" t="inlineStr">
        <is>
          <t>991005362279702656</t>
        </is>
      </c>
      <c r="AY248" t="inlineStr">
        <is>
          <t>2267470000002656</t>
        </is>
      </c>
      <c r="AZ248" t="inlineStr">
        <is>
          <t>BOOK</t>
        </is>
      </c>
      <c r="BB248" t="inlineStr">
        <is>
          <t>9780954281380</t>
        </is>
      </c>
      <c r="BC248" t="inlineStr">
        <is>
          <t>32285005573620</t>
        </is>
      </c>
      <c r="BD248" t="inlineStr">
        <is>
          <t>893527475</t>
        </is>
      </c>
    </row>
    <row r="249">
      <c r="A249" t="inlineStr">
        <is>
          <t>No</t>
        </is>
      </c>
      <c r="B249" t="inlineStr">
        <is>
          <t>HM133 .S5</t>
        </is>
      </c>
      <c r="C249" t="inlineStr">
        <is>
          <t>0                      HM 0133000S  5</t>
        </is>
      </c>
      <c r="D249" t="inlineStr">
        <is>
          <t>Small groups; some sociological perspectives, by Clovis R. Shepherd.</t>
        </is>
      </c>
      <c r="F249" t="inlineStr">
        <is>
          <t>No</t>
        </is>
      </c>
      <c r="G249" t="inlineStr">
        <is>
          <t>1</t>
        </is>
      </c>
      <c r="H249" t="inlineStr">
        <is>
          <t>No</t>
        </is>
      </c>
      <c r="I249" t="inlineStr">
        <is>
          <t>No</t>
        </is>
      </c>
      <c r="J249" t="inlineStr">
        <is>
          <t>0</t>
        </is>
      </c>
      <c r="K249" t="inlineStr">
        <is>
          <t>Shepherd, Clovis R.</t>
        </is>
      </c>
      <c r="L249" t="inlineStr">
        <is>
          <t>San Francisco, Chandler Pub. Co. [1964]</t>
        </is>
      </c>
      <c r="M249" t="inlineStr">
        <is>
          <t>1964</t>
        </is>
      </c>
      <c r="O249" t="inlineStr">
        <is>
          <t>eng</t>
        </is>
      </c>
      <c r="P249" t="inlineStr">
        <is>
          <t>cau</t>
        </is>
      </c>
      <c r="Q249" t="inlineStr">
        <is>
          <t>Chandler publications in anthropology and sociology</t>
        </is>
      </c>
      <c r="R249" t="inlineStr">
        <is>
          <t xml:space="preserve">HM </t>
        </is>
      </c>
      <c r="S249" t="n">
        <v>1</v>
      </c>
      <c r="T249" t="n">
        <v>1</v>
      </c>
      <c r="U249" t="inlineStr">
        <is>
          <t>2008-01-15</t>
        </is>
      </c>
      <c r="V249" t="inlineStr">
        <is>
          <t>2008-01-15</t>
        </is>
      </c>
      <c r="W249" t="inlineStr">
        <is>
          <t>1997-07-30</t>
        </is>
      </c>
      <c r="X249" t="inlineStr">
        <is>
          <t>1997-07-30</t>
        </is>
      </c>
      <c r="Y249" t="n">
        <v>821</v>
      </c>
      <c r="Z249" t="n">
        <v>709</v>
      </c>
      <c r="AA249" t="n">
        <v>727</v>
      </c>
      <c r="AB249" t="n">
        <v>6</v>
      </c>
      <c r="AC249" t="n">
        <v>6</v>
      </c>
      <c r="AD249" t="n">
        <v>31</v>
      </c>
      <c r="AE249" t="n">
        <v>33</v>
      </c>
      <c r="AF249" t="n">
        <v>11</v>
      </c>
      <c r="AG249" t="n">
        <v>12</v>
      </c>
      <c r="AH249" t="n">
        <v>5</v>
      </c>
      <c r="AI249" t="n">
        <v>6</v>
      </c>
      <c r="AJ249" t="n">
        <v>17</v>
      </c>
      <c r="AK249" t="n">
        <v>17</v>
      </c>
      <c r="AL249" t="n">
        <v>5</v>
      </c>
      <c r="AM249" t="n">
        <v>5</v>
      </c>
      <c r="AN249" t="n">
        <v>0</v>
      </c>
      <c r="AO249" t="n">
        <v>0</v>
      </c>
      <c r="AP249" t="inlineStr">
        <is>
          <t>No</t>
        </is>
      </c>
      <c r="AQ249" t="inlineStr">
        <is>
          <t>Yes</t>
        </is>
      </c>
      <c r="AR249">
        <f>HYPERLINK("http://catalog.hathitrust.org/Record/000148362","HathiTrust Record")</f>
        <v/>
      </c>
      <c r="AS249">
        <f>HYPERLINK("https://creighton-primo.hosted.exlibrisgroup.com/primo-explore/search?tab=default_tab&amp;search_scope=EVERYTHING&amp;vid=01CRU&amp;lang=en_US&amp;offset=0&amp;query=any,contains,991001990209702656","Catalog Record")</f>
        <v/>
      </c>
      <c r="AT249">
        <f>HYPERLINK("http://www.worldcat.org/oclc/255224","WorldCat Record")</f>
        <v/>
      </c>
      <c r="AU249" t="inlineStr">
        <is>
          <t>1351599:eng</t>
        </is>
      </c>
      <c r="AV249" t="inlineStr">
        <is>
          <t>255224</t>
        </is>
      </c>
      <c r="AW249" t="inlineStr">
        <is>
          <t>991001990209702656</t>
        </is>
      </c>
      <c r="AX249" t="inlineStr">
        <is>
          <t>991001990209702656</t>
        </is>
      </c>
      <c r="AY249" t="inlineStr">
        <is>
          <t>2268867270002656</t>
        </is>
      </c>
      <c r="AZ249" t="inlineStr">
        <is>
          <t>BOOK</t>
        </is>
      </c>
      <c r="BC249" t="inlineStr">
        <is>
          <t>32285003016176</t>
        </is>
      </c>
      <c r="BD249" t="inlineStr">
        <is>
          <t>893721225</t>
        </is>
      </c>
    </row>
    <row r="250">
      <c r="A250" t="inlineStr">
        <is>
          <t>No</t>
        </is>
      </c>
      <c r="B250" t="inlineStr">
        <is>
          <t>HM133 .S646 1994</t>
        </is>
      </c>
      <c r="C250" t="inlineStr">
        <is>
          <t>0                      HM 0133000S  646         1994</t>
        </is>
      </c>
      <c r="D250" t="inlineStr">
        <is>
          <t>Small group research : a handbook / A. Paul Hare ... [et al.].</t>
        </is>
      </c>
      <c r="F250" t="inlineStr">
        <is>
          <t>No</t>
        </is>
      </c>
      <c r="G250" t="inlineStr">
        <is>
          <t>1</t>
        </is>
      </c>
      <c r="H250" t="inlineStr">
        <is>
          <t>No</t>
        </is>
      </c>
      <c r="I250" t="inlineStr">
        <is>
          <t>No</t>
        </is>
      </c>
      <c r="J250" t="inlineStr">
        <is>
          <t>0</t>
        </is>
      </c>
      <c r="L250" t="inlineStr">
        <is>
          <t>Norwood, N.J. : Ablex Pub., c1994.</t>
        </is>
      </c>
      <c r="M250" t="inlineStr">
        <is>
          <t>1994</t>
        </is>
      </c>
      <c r="O250" t="inlineStr">
        <is>
          <t>eng</t>
        </is>
      </c>
      <c r="P250" t="inlineStr">
        <is>
          <t>nju</t>
        </is>
      </c>
      <c r="R250" t="inlineStr">
        <is>
          <t xml:space="preserve">HM </t>
        </is>
      </c>
      <c r="S250" t="n">
        <v>15</v>
      </c>
      <c r="T250" t="n">
        <v>15</v>
      </c>
      <c r="U250" t="inlineStr">
        <is>
          <t>2008-01-15</t>
        </is>
      </c>
      <c r="V250" t="inlineStr">
        <is>
          <t>2008-01-15</t>
        </is>
      </c>
      <c r="W250" t="inlineStr">
        <is>
          <t>1996-09-10</t>
        </is>
      </c>
      <c r="X250" t="inlineStr">
        <is>
          <t>1996-09-10</t>
        </is>
      </c>
      <c r="Y250" t="n">
        <v>287</v>
      </c>
      <c r="Z250" t="n">
        <v>227</v>
      </c>
      <c r="AA250" t="n">
        <v>240</v>
      </c>
      <c r="AB250" t="n">
        <v>2</v>
      </c>
      <c r="AC250" t="n">
        <v>2</v>
      </c>
      <c r="AD250" t="n">
        <v>15</v>
      </c>
      <c r="AE250" t="n">
        <v>15</v>
      </c>
      <c r="AF250" t="n">
        <v>6</v>
      </c>
      <c r="AG250" t="n">
        <v>6</v>
      </c>
      <c r="AH250" t="n">
        <v>3</v>
      </c>
      <c r="AI250" t="n">
        <v>3</v>
      </c>
      <c r="AJ250" t="n">
        <v>10</v>
      </c>
      <c r="AK250" t="n">
        <v>10</v>
      </c>
      <c r="AL250" t="n">
        <v>1</v>
      </c>
      <c r="AM250" t="n">
        <v>1</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HYPERLINK("https://creighton-primo.hosted.exlibrisgroup.com/primo-explore/search?tab=default_tab&amp;search_scope=EVERYTHING&amp;vid=01CRU&amp;lang=en_US&amp;offset=0&amp;query=any,contains,991005414479702656","Catalog Record")</f>
        <v/>
      </c>
      <c r="AT250">
        <f>HYPERLINK("http://www.worldcat.org/oclc/25049634","WorldCat Record")</f>
        <v/>
      </c>
      <c r="AU250" t="inlineStr">
        <is>
          <t>3901368380:eng</t>
        </is>
      </c>
      <c r="AV250" t="inlineStr">
        <is>
          <t>25049634</t>
        </is>
      </c>
      <c r="AW250" t="inlineStr">
        <is>
          <t>991005414479702656</t>
        </is>
      </c>
      <c r="AX250" t="inlineStr">
        <is>
          <t>991005414479702656</t>
        </is>
      </c>
      <c r="AY250" t="inlineStr">
        <is>
          <t>2264147990002656</t>
        </is>
      </c>
      <c r="AZ250" t="inlineStr">
        <is>
          <t>BOOK</t>
        </is>
      </c>
      <c r="BB250" t="inlineStr">
        <is>
          <t>9780893916923</t>
        </is>
      </c>
      <c r="BC250" t="inlineStr">
        <is>
          <t>32285002316353</t>
        </is>
      </c>
      <c r="BD250" t="inlineStr">
        <is>
          <t>893242707</t>
        </is>
      </c>
    </row>
    <row r="251">
      <c r="A251" t="inlineStr">
        <is>
          <t>No</t>
        </is>
      </c>
      <c r="B251" t="inlineStr">
        <is>
          <t>HM133 .T47 1998</t>
        </is>
      </c>
      <c r="C251" t="inlineStr">
        <is>
          <t>0                      HM 0133000T  47          1998</t>
        </is>
      </c>
      <c r="D251" t="inlineStr">
        <is>
          <t>Theory and research on small groups / edited by R. Scott Tindale ... [et al.].</t>
        </is>
      </c>
      <c r="F251" t="inlineStr">
        <is>
          <t>No</t>
        </is>
      </c>
      <c r="G251" t="inlineStr">
        <is>
          <t>1</t>
        </is>
      </c>
      <c r="H251" t="inlineStr">
        <is>
          <t>No</t>
        </is>
      </c>
      <c r="I251" t="inlineStr">
        <is>
          <t>No</t>
        </is>
      </c>
      <c r="J251" t="inlineStr">
        <is>
          <t>0</t>
        </is>
      </c>
      <c r="L251" t="inlineStr">
        <is>
          <t>New York : Plenum Press, c1998.</t>
        </is>
      </c>
      <c r="M251" t="inlineStr">
        <is>
          <t>1998</t>
        </is>
      </c>
      <c r="O251" t="inlineStr">
        <is>
          <t>eng</t>
        </is>
      </c>
      <c r="P251" t="inlineStr">
        <is>
          <t>nyu</t>
        </is>
      </c>
      <c r="Q251" t="inlineStr">
        <is>
          <t>Social psychological applications to social issues ; v. 4</t>
        </is>
      </c>
      <c r="R251" t="inlineStr">
        <is>
          <t xml:space="preserve">HM </t>
        </is>
      </c>
      <c r="S251" t="n">
        <v>2</v>
      </c>
      <c r="T251" t="n">
        <v>2</v>
      </c>
      <c r="U251" t="inlineStr">
        <is>
          <t>2008-01-15</t>
        </is>
      </c>
      <c r="V251" t="inlineStr">
        <is>
          <t>2008-01-15</t>
        </is>
      </c>
      <c r="W251" t="inlineStr">
        <is>
          <t>1999-01-07</t>
        </is>
      </c>
      <c r="X251" t="inlineStr">
        <is>
          <t>1999-01-07</t>
        </is>
      </c>
      <c r="Y251" t="n">
        <v>418</v>
      </c>
      <c r="Z251" t="n">
        <v>335</v>
      </c>
      <c r="AA251" t="n">
        <v>825</v>
      </c>
      <c r="AB251" t="n">
        <v>5</v>
      </c>
      <c r="AC251" t="n">
        <v>29</v>
      </c>
      <c r="AD251" t="n">
        <v>22</v>
      </c>
      <c r="AE251" t="n">
        <v>41</v>
      </c>
      <c r="AF251" t="n">
        <v>5</v>
      </c>
      <c r="AG251" t="n">
        <v>11</v>
      </c>
      <c r="AH251" t="n">
        <v>8</v>
      </c>
      <c r="AI251" t="n">
        <v>10</v>
      </c>
      <c r="AJ251" t="n">
        <v>10</v>
      </c>
      <c r="AK251" t="n">
        <v>15</v>
      </c>
      <c r="AL251" t="n">
        <v>4</v>
      </c>
      <c r="AM251" t="n">
        <v>14</v>
      </c>
      <c r="AN251" t="n">
        <v>0</v>
      </c>
      <c r="AO251" t="n">
        <v>0</v>
      </c>
      <c r="AP251" t="inlineStr">
        <is>
          <t>No</t>
        </is>
      </c>
      <c r="AQ251" t="inlineStr">
        <is>
          <t>Yes</t>
        </is>
      </c>
      <c r="AR251">
        <f>HYPERLINK("http://catalog.hathitrust.org/Record/003967713","HathiTrust Record")</f>
        <v/>
      </c>
      <c r="AS251">
        <f>HYPERLINK("https://creighton-primo.hosted.exlibrisgroup.com/primo-explore/search?tab=default_tab&amp;search_scope=EVERYTHING&amp;vid=01CRU&amp;lang=en_US&amp;offset=0&amp;query=any,contains,991005427249702656","Catalog Record")</f>
        <v/>
      </c>
      <c r="AT251">
        <f>HYPERLINK("http://www.worldcat.org/oclc/37761899","WorldCat Record")</f>
        <v/>
      </c>
      <c r="AU251" t="inlineStr">
        <is>
          <t>1044411815:eng</t>
        </is>
      </c>
      <c r="AV251" t="inlineStr">
        <is>
          <t>37761899</t>
        </is>
      </c>
      <c r="AW251" t="inlineStr">
        <is>
          <t>991005427249702656</t>
        </is>
      </c>
      <c r="AX251" t="inlineStr">
        <is>
          <t>991005427249702656</t>
        </is>
      </c>
      <c r="AY251" t="inlineStr">
        <is>
          <t>2272503570002656</t>
        </is>
      </c>
      <c r="AZ251" t="inlineStr">
        <is>
          <t>BOOK</t>
        </is>
      </c>
      <c r="BB251" t="inlineStr">
        <is>
          <t>9780306456794</t>
        </is>
      </c>
      <c r="BC251" t="inlineStr">
        <is>
          <t>32285003510152</t>
        </is>
      </c>
      <c r="BD251" t="inlineStr">
        <is>
          <t>893871181</t>
        </is>
      </c>
    </row>
    <row r="252">
      <c r="A252" t="inlineStr">
        <is>
          <t>No</t>
        </is>
      </c>
      <c r="B252" t="inlineStr">
        <is>
          <t>HM133 .U526 1996</t>
        </is>
      </c>
      <c r="C252" t="inlineStr">
        <is>
          <t>0                      HM 0133000U  526         1996</t>
        </is>
      </c>
      <c r="D252" t="inlineStr">
        <is>
          <t>Understanding group behavior / [edited by] Erich H. Witte, James H. Davis.</t>
        </is>
      </c>
      <c r="E252" t="inlineStr">
        <is>
          <t>V.1</t>
        </is>
      </c>
      <c r="F252" t="inlineStr">
        <is>
          <t>Yes</t>
        </is>
      </c>
      <c r="G252" t="inlineStr">
        <is>
          <t>1</t>
        </is>
      </c>
      <c r="H252" t="inlineStr">
        <is>
          <t>No</t>
        </is>
      </c>
      <c r="I252" t="inlineStr">
        <is>
          <t>No</t>
        </is>
      </c>
      <c r="J252" t="inlineStr">
        <is>
          <t>0</t>
        </is>
      </c>
      <c r="L252" t="inlineStr">
        <is>
          <t>Mahwah, N.J. : Lawrence Erlbaum Associates, 1996.</t>
        </is>
      </c>
      <c r="M252" t="inlineStr">
        <is>
          <t>1996</t>
        </is>
      </c>
      <c r="O252" t="inlineStr">
        <is>
          <t>eng</t>
        </is>
      </c>
      <c r="P252" t="inlineStr">
        <is>
          <t>nju</t>
        </is>
      </c>
      <c r="R252" t="inlineStr">
        <is>
          <t xml:space="preserve">HM </t>
        </is>
      </c>
      <c r="S252" t="n">
        <v>7</v>
      </c>
      <c r="T252" t="n">
        <v>15</v>
      </c>
      <c r="U252" t="inlineStr">
        <is>
          <t>2008-03-11</t>
        </is>
      </c>
      <c r="V252" t="inlineStr">
        <is>
          <t>2008-03-11</t>
        </is>
      </c>
      <c r="W252" t="inlineStr">
        <is>
          <t>1996-10-16</t>
        </is>
      </c>
      <c r="X252" t="inlineStr">
        <is>
          <t>1996-11-19</t>
        </is>
      </c>
      <c r="Y252" t="n">
        <v>319</v>
      </c>
      <c r="Z252" t="n">
        <v>241</v>
      </c>
      <c r="AA252" t="n">
        <v>261</v>
      </c>
      <c r="AB252" t="n">
        <v>2</v>
      </c>
      <c r="AC252" t="n">
        <v>2</v>
      </c>
      <c r="AD252" t="n">
        <v>9</v>
      </c>
      <c r="AE252" t="n">
        <v>9</v>
      </c>
      <c r="AF252" t="n">
        <v>0</v>
      </c>
      <c r="AG252" t="n">
        <v>0</v>
      </c>
      <c r="AH252" t="n">
        <v>4</v>
      </c>
      <c r="AI252" t="n">
        <v>4</v>
      </c>
      <c r="AJ252" t="n">
        <v>5</v>
      </c>
      <c r="AK252" t="n">
        <v>5</v>
      </c>
      <c r="AL252" t="n">
        <v>1</v>
      </c>
      <c r="AM252" t="n">
        <v>1</v>
      </c>
      <c r="AN252" t="n">
        <v>0</v>
      </c>
      <c r="AO252" t="n">
        <v>0</v>
      </c>
      <c r="AP252" t="inlineStr">
        <is>
          <t>No</t>
        </is>
      </c>
      <c r="AQ252" t="inlineStr">
        <is>
          <t>Yes</t>
        </is>
      </c>
      <c r="AR252">
        <f>HYPERLINK("http://catalog.hathitrust.org/Record/003097956","HathiTrust Record")</f>
        <v/>
      </c>
      <c r="AS252">
        <f>HYPERLINK("https://creighton-primo.hosted.exlibrisgroup.com/primo-explore/search?tab=default_tab&amp;search_scope=EVERYTHING&amp;vid=01CRU&amp;lang=en_US&amp;offset=0&amp;query=any,contains,991005423469702656","Catalog Record")</f>
        <v/>
      </c>
      <c r="AT252">
        <f>HYPERLINK("http://www.worldcat.org/oclc/34411713","WorldCat Record")</f>
        <v/>
      </c>
      <c r="AU252" t="inlineStr">
        <is>
          <t>2865264573:eng</t>
        </is>
      </c>
      <c r="AV252" t="inlineStr">
        <is>
          <t>34411713</t>
        </is>
      </c>
      <c r="AW252" t="inlineStr">
        <is>
          <t>991005423469702656</t>
        </is>
      </c>
      <c r="AX252" t="inlineStr">
        <is>
          <t>991005423469702656</t>
        </is>
      </c>
      <c r="AY252" t="inlineStr">
        <is>
          <t>2263136010002656</t>
        </is>
      </c>
      <c r="AZ252" t="inlineStr">
        <is>
          <t>BOOK</t>
        </is>
      </c>
      <c r="BB252" t="inlineStr">
        <is>
          <t>9780805816402</t>
        </is>
      </c>
      <c r="BC252" t="inlineStr">
        <is>
          <t>32285002366325</t>
        </is>
      </c>
      <c r="BD252" t="inlineStr">
        <is>
          <t>893418925</t>
        </is>
      </c>
    </row>
    <row r="253">
      <c r="A253" t="inlineStr">
        <is>
          <t>No</t>
        </is>
      </c>
      <c r="B253" t="inlineStr">
        <is>
          <t>HM133 .U526 1996</t>
        </is>
      </c>
      <c r="C253" t="inlineStr">
        <is>
          <t>0                      HM 0133000U  526         1996</t>
        </is>
      </c>
      <c r="D253" t="inlineStr">
        <is>
          <t>Understanding group behavior / [edited by] Erich H. Witte, James H. Davis.</t>
        </is>
      </c>
      <c r="E253" t="inlineStr">
        <is>
          <t>V.2</t>
        </is>
      </c>
      <c r="F253" t="inlineStr">
        <is>
          <t>Yes</t>
        </is>
      </c>
      <c r="G253" t="inlineStr">
        <is>
          <t>1</t>
        </is>
      </c>
      <c r="H253" t="inlineStr">
        <is>
          <t>No</t>
        </is>
      </c>
      <c r="I253" t="inlineStr">
        <is>
          <t>No</t>
        </is>
      </c>
      <c r="J253" t="inlineStr">
        <is>
          <t>0</t>
        </is>
      </c>
      <c r="L253" t="inlineStr">
        <is>
          <t>Mahwah, N.J. : Lawrence Erlbaum Associates, 1996.</t>
        </is>
      </c>
      <c r="M253" t="inlineStr">
        <is>
          <t>1996</t>
        </is>
      </c>
      <c r="O253" t="inlineStr">
        <is>
          <t>eng</t>
        </is>
      </c>
      <c r="P253" t="inlineStr">
        <is>
          <t>nju</t>
        </is>
      </c>
      <c r="R253" t="inlineStr">
        <is>
          <t xml:space="preserve">HM </t>
        </is>
      </c>
      <c r="S253" t="n">
        <v>8</v>
      </c>
      <c r="T253" t="n">
        <v>15</v>
      </c>
      <c r="U253" t="inlineStr">
        <is>
          <t>2008-01-15</t>
        </is>
      </c>
      <c r="V253" t="inlineStr">
        <is>
          <t>2008-03-11</t>
        </is>
      </c>
      <c r="W253" t="inlineStr">
        <is>
          <t>1996-11-19</t>
        </is>
      </c>
      <c r="X253" t="inlineStr">
        <is>
          <t>1996-11-19</t>
        </is>
      </c>
      <c r="Y253" t="n">
        <v>319</v>
      </c>
      <c r="Z253" t="n">
        <v>241</v>
      </c>
      <c r="AA253" t="n">
        <v>261</v>
      </c>
      <c r="AB253" t="n">
        <v>2</v>
      </c>
      <c r="AC253" t="n">
        <v>2</v>
      </c>
      <c r="AD253" t="n">
        <v>9</v>
      </c>
      <c r="AE253" t="n">
        <v>9</v>
      </c>
      <c r="AF253" t="n">
        <v>0</v>
      </c>
      <c r="AG253" t="n">
        <v>0</v>
      </c>
      <c r="AH253" t="n">
        <v>4</v>
      </c>
      <c r="AI253" t="n">
        <v>4</v>
      </c>
      <c r="AJ253" t="n">
        <v>5</v>
      </c>
      <c r="AK253" t="n">
        <v>5</v>
      </c>
      <c r="AL253" t="n">
        <v>1</v>
      </c>
      <c r="AM253" t="n">
        <v>1</v>
      </c>
      <c r="AN253" t="n">
        <v>0</v>
      </c>
      <c r="AO253" t="n">
        <v>0</v>
      </c>
      <c r="AP253" t="inlineStr">
        <is>
          <t>No</t>
        </is>
      </c>
      <c r="AQ253" t="inlineStr">
        <is>
          <t>Yes</t>
        </is>
      </c>
      <c r="AR253">
        <f>HYPERLINK("http://catalog.hathitrust.org/Record/003097956","HathiTrust Record")</f>
        <v/>
      </c>
      <c r="AS253">
        <f>HYPERLINK("https://creighton-primo.hosted.exlibrisgroup.com/primo-explore/search?tab=default_tab&amp;search_scope=EVERYTHING&amp;vid=01CRU&amp;lang=en_US&amp;offset=0&amp;query=any,contains,991005423469702656","Catalog Record")</f>
        <v/>
      </c>
      <c r="AT253">
        <f>HYPERLINK("http://www.worldcat.org/oclc/34411713","WorldCat Record")</f>
        <v/>
      </c>
      <c r="AU253" t="inlineStr">
        <is>
          <t>2865264573:eng</t>
        </is>
      </c>
      <c r="AV253" t="inlineStr">
        <is>
          <t>34411713</t>
        </is>
      </c>
      <c r="AW253" t="inlineStr">
        <is>
          <t>991005423469702656</t>
        </is>
      </c>
      <c r="AX253" t="inlineStr">
        <is>
          <t>991005423469702656</t>
        </is>
      </c>
      <c r="AY253" t="inlineStr">
        <is>
          <t>2263136010002656</t>
        </is>
      </c>
      <c r="AZ253" t="inlineStr">
        <is>
          <t>BOOK</t>
        </is>
      </c>
      <c r="BB253" t="inlineStr">
        <is>
          <t>9780805816402</t>
        </is>
      </c>
      <c r="BC253" t="inlineStr">
        <is>
          <t>32285002374220</t>
        </is>
      </c>
      <c r="BD253" t="inlineStr">
        <is>
          <t>893444010</t>
        </is>
      </c>
    </row>
    <row r="254">
      <c r="A254" t="inlineStr">
        <is>
          <t>No</t>
        </is>
      </c>
      <c r="B254" t="inlineStr">
        <is>
          <t>HM134 .H36 1974, v...</t>
        </is>
      </c>
      <c r="C254" t="inlineStr">
        <is>
          <t>0                      HM 0134000H  36          1974                                        v...</t>
        </is>
      </c>
      <c r="D254" t="inlineStr">
        <is>
          <t>A Handbook of structured experiences for human relations training / edited by J. William Pfeiffer, John E. Jones.</t>
        </is>
      </c>
      <c r="E254" t="inlineStr">
        <is>
          <t>V.5</t>
        </is>
      </c>
      <c r="F254" t="inlineStr">
        <is>
          <t>Yes</t>
        </is>
      </c>
      <c r="G254" t="inlineStr">
        <is>
          <t>1</t>
        </is>
      </c>
      <c r="H254" t="inlineStr">
        <is>
          <t>No</t>
        </is>
      </c>
      <c r="I254" t="inlineStr">
        <is>
          <t>No</t>
        </is>
      </c>
      <c r="J254" t="inlineStr">
        <is>
          <t>0</t>
        </is>
      </c>
      <c r="L254" t="inlineStr">
        <is>
          <t>San Diego, Calif. : University Associates, c1974-</t>
        </is>
      </c>
      <c r="M254" t="inlineStr">
        <is>
          <t>1974</t>
        </is>
      </c>
      <c r="O254" t="inlineStr">
        <is>
          <t>eng</t>
        </is>
      </c>
      <c r="P254" t="inlineStr">
        <is>
          <t>cau</t>
        </is>
      </c>
      <c r="Q254" t="inlineStr">
        <is>
          <t>Series in human relations training</t>
        </is>
      </c>
      <c r="R254" t="inlineStr">
        <is>
          <t xml:space="preserve">HM </t>
        </is>
      </c>
      <c r="S254" t="n">
        <v>3</v>
      </c>
      <c r="T254" t="n">
        <v>22</v>
      </c>
      <c r="U254" t="inlineStr">
        <is>
          <t>1996-06-11</t>
        </is>
      </c>
      <c r="V254" t="inlineStr">
        <is>
          <t>1997-01-09</t>
        </is>
      </c>
      <c r="W254" t="inlineStr">
        <is>
          <t>1992-10-23</t>
        </is>
      </c>
      <c r="X254" t="inlineStr">
        <is>
          <t>1994-07-12</t>
        </is>
      </c>
      <c r="Y254" t="n">
        <v>820</v>
      </c>
      <c r="Z254" t="n">
        <v>706</v>
      </c>
      <c r="AA254" t="n">
        <v>884</v>
      </c>
      <c r="AB254" t="n">
        <v>7</v>
      </c>
      <c r="AC254" t="n">
        <v>7</v>
      </c>
      <c r="AD254" t="n">
        <v>29</v>
      </c>
      <c r="AE254" t="n">
        <v>40</v>
      </c>
      <c r="AF254" t="n">
        <v>9</v>
      </c>
      <c r="AG254" t="n">
        <v>16</v>
      </c>
      <c r="AH254" t="n">
        <v>8</v>
      </c>
      <c r="AI254" t="n">
        <v>11</v>
      </c>
      <c r="AJ254" t="n">
        <v>12</v>
      </c>
      <c r="AK254" t="n">
        <v>19</v>
      </c>
      <c r="AL254" t="n">
        <v>5</v>
      </c>
      <c r="AM254" t="n">
        <v>5</v>
      </c>
      <c r="AN254" t="n">
        <v>1</v>
      </c>
      <c r="AO254" t="n">
        <v>1</v>
      </c>
      <c r="AP254" t="inlineStr">
        <is>
          <t>No</t>
        </is>
      </c>
      <c r="AQ254" t="inlineStr">
        <is>
          <t>Yes</t>
        </is>
      </c>
      <c r="AR254">
        <f>HYPERLINK("http://catalog.hathitrust.org/Record/000709769","HathiTrust Record")</f>
        <v/>
      </c>
      <c r="AS254">
        <f>HYPERLINK("https://creighton-primo.hosted.exlibrisgroup.com/primo-explore/search?tab=default_tab&amp;search_scope=EVERYTHING&amp;vid=01CRU&amp;lang=en_US&amp;offset=0&amp;query=any,contains,991003346059702656","Catalog Record")</f>
        <v/>
      </c>
      <c r="AT254">
        <f>HYPERLINK("http://www.worldcat.org/oclc/877926","WorldCat Record")</f>
        <v/>
      </c>
      <c r="AU254" t="inlineStr">
        <is>
          <t>375323639:eng</t>
        </is>
      </c>
      <c r="AV254" t="inlineStr">
        <is>
          <t>877926</t>
        </is>
      </c>
      <c r="AW254" t="inlineStr">
        <is>
          <t>991003346059702656</t>
        </is>
      </c>
      <c r="AX254" t="inlineStr">
        <is>
          <t>991003346059702656</t>
        </is>
      </c>
      <c r="AY254" t="inlineStr">
        <is>
          <t>2263371340002656</t>
        </is>
      </c>
      <c r="AZ254" t="inlineStr">
        <is>
          <t>BOOK</t>
        </is>
      </c>
      <c r="BB254" t="inlineStr">
        <is>
          <t>9780883900413</t>
        </is>
      </c>
      <c r="BC254" t="inlineStr">
        <is>
          <t>32285001375830</t>
        </is>
      </c>
      <c r="BD254" t="inlineStr">
        <is>
          <t>893868326</t>
        </is>
      </c>
    </row>
    <row r="255">
      <c r="A255" t="inlineStr">
        <is>
          <t>No</t>
        </is>
      </c>
      <c r="B255" t="inlineStr">
        <is>
          <t>HM134 .H36 1974, v...</t>
        </is>
      </c>
      <c r="C255" t="inlineStr">
        <is>
          <t>0                      HM 0134000H  36          1974                                        v...</t>
        </is>
      </c>
      <c r="D255" t="inlineStr">
        <is>
          <t>A Handbook of structured experiences for human relations training / edited by J. William Pfeiffer, John E. Jones.</t>
        </is>
      </c>
      <c r="E255" t="inlineStr">
        <is>
          <t>V.2</t>
        </is>
      </c>
      <c r="F255" t="inlineStr">
        <is>
          <t>Yes</t>
        </is>
      </c>
      <c r="G255" t="inlineStr">
        <is>
          <t>1</t>
        </is>
      </c>
      <c r="H255" t="inlineStr">
        <is>
          <t>No</t>
        </is>
      </c>
      <c r="I255" t="inlineStr">
        <is>
          <t>No</t>
        </is>
      </c>
      <c r="J255" t="inlineStr">
        <is>
          <t>0</t>
        </is>
      </c>
      <c r="L255" t="inlineStr">
        <is>
          <t>San Diego, Calif. : University Associates, c1974-</t>
        </is>
      </c>
      <c r="M255" t="inlineStr">
        <is>
          <t>1974</t>
        </is>
      </c>
      <c r="O255" t="inlineStr">
        <is>
          <t>eng</t>
        </is>
      </c>
      <c r="P255" t="inlineStr">
        <is>
          <t>cau</t>
        </is>
      </c>
      <c r="Q255" t="inlineStr">
        <is>
          <t>Series in human relations training</t>
        </is>
      </c>
      <c r="R255" t="inlineStr">
        <is>
          <t xml:space="preserve">HM </t>
        </is>
      </c>
      <c r="S255" t="n">
        <v>8</v>
      </c>
      <c r="T255" t="n">
        <v>22</v>
      </c>
      <c r="U255" t="inlineStr">
        <is>
          <t>1997-01-09</t>
        </is>
      </c>
      <c r="V255" t="inlineStr">
        <is>
          <t>1997-01-09</t>
        </is>
      </c>
      <c r="W255" t="inlineStr">
        <is>
          <t>1994-07-12</t>
        </is>
      </c>
      <c r="X255" t="inlineStr">
        <is>
          <t>1994-07-12</t>
        </is>
      </c>
      <c r="Y255" t="n">
        <v>820</v>
      </c>
      <c r="Z255" t="n">
        <v>706</v>
      </c>
      <c r="AA255" t="n">
        <v>884</v>
      </c>
      <c r="AB255" t="n">
        <v>7</v>
      </c>
      <c r="AC255" t="n">
        <v>7</v>
      </c>
      <c r="AD255" t="n">
        <v>29</v>
      </c>
      <c r="AE255" t="n">
        <v>40</v>
      </c>
      <c r="AF255" t="n">
        <v>9</v>
      </c>
      <c r="AG255" t="n">
        <v>16</v>
      </c>
      <c r="AH255" t="n">
        <v>8</v>
      </c>
      <c r="AI255" t="n">
        <v>11</v>
      </c>
      <c r="AJ255" t="n">
        <v>12</v>
      </c>
      <c r="AK255" t="n">
        <v>19</v>
      </c>
      <c r="AL255" t="n">
        <v>5</v>
      </c>
      <c r="AM255" t="n">
        <v>5</v>
      </c>
      <c r="AN255" t="n">
        <v>1</v>
      </c>
      <c r="AO255" t="n">
        <v>1</v>
      </c>
      <c r="AP255" t="inlineStr">
        <is>
          <t>No</t>
        </is>
      </c>
      <c r="AQ255" t="inlineStr">
        <is>
          <t>Yes</t>
        </is>
      </c>
      <c r="AR255">
        <f>HYPERLINK("http://catalog.hathitrust.org/Record/000709769","HathiTrust Record")</f>
        <v/>
      </c>
      <c r="AS255">
        <f>HYPERLINK("https://creighton-primo.hosted.exlibrisgroup.com/primo-explore/search?tab=default_tab&amp;search_scope=EVERYTHING&amp;vid=01CRU&amp;lang=en_US&amp;offset=0&amp;query=any,contains,991003346059702656","Catalog Record")</f>
        <v/>
      </c>
      <c r="AT255">
        <f>HYPERLINK("http://www.worldcat.org/oclc/877926","WorldCat Record")</f>
        <v/>
      </c>
      <c r="AU255" t="inlineStr">
        <is>
          <t>375323639:eng</t>
        </is>
      </c>
      <c r="AV255" t="inlineStr">
        <is>
          <t>877926</t>
        </is>
      </c>
      <c r="AW255" t="inlineStr">
        <is>
          <t>991003346059702656</t>
        </is>
      </c>
      <c r="AX255" t="inlineStr">
        <is>
          <t>991003346059702656</t>
        </is>
      </c>
      <c r="AY255" t="inlineStr">
        <is>
          <t>2263371340002656</t>
        </is>
      </c>
      <c r="AZ255" t="inlineStr">
        <is>
          <t>BOOK</t>
        </is>
      </c>
      <c r="BB255" t="inlineStr">
        <is>
          <t>9780883900413</t>
        </is>
      </c>
      <c r="BC255" t="inlineStr">
        <is>
          <t>32285001936573</t>
        </is>
      </c>
      <c r="BD255" t="inlineStr">
        <is>
          <t>893868325</t>
        </is>
      </c>
    </row>
    <row r="256">
      <c r="A256" t="inlineStr">
        <is>
          <t>No</t>
        </is>
      </c>
      <c r="B256" t="inlineStr">
        <is>
          <t>HM134 .H36 1974, v...</t>
        </is>
      </c>
      <c r="C256" t="inlineStr">
        <is>
          <t>0                      HM 0134000H  36          1974                                        v...</t>
        </is>
      </c>
      <c r="D256" t="inlineStr">
        <is>
          <t>A Handbook of structured experiences for human relations training / edited by J. William Pfeiffer, John E. Jones.</t>
        </is>
      </c>
      <c r="E256" t="inlineStr">
        <is>
          <t>V.1</t>
        </is>
      </c>
      <c r="F256" t="inlineStr">
        <is>
          <t>Yes</t>
        </is>
      </c>
      <c r="G256" t="inlineStr">
        <is>
          <t>1</t>
        </is>
      </c>
      <c r="H256" t="inlineStr">
        <is>
          <t>No</t>
        </is>
      </c>
      <c r="I256" t="inlineStr">
        <is>
          <t>No</t>
        </is>
      </c>
      <c r="J256" t="inlineStr">
        <is>
          <t>0</t>
        </is>
      </c>
      <c r="L256" t="inlineStr">
        <is>
          <t>San Diego, Calif. : University Associates, c1974-</t>
        </is>
      </c>
      <c r="M256" t="inlineStr">
        <is>
          <t>1974</t>
        </is>
      </c>
      <c r="O256" t="inlineStr">
        <is>
          <t>eng</t>
        </is>
      </c>
      <c r="P256" t="inlineStr">
        <is>
          <t>cau</t>
        </is>
      </c>
      <c r="Q256" t="inlineStr">
        <is>
          <t>Series in human relations training</t>
        </is>
      </c>
      <c r="R256" t="inlineStr">
        <is>
          <t xml:space="preserve">HM </t>
        </is>
      </c>
      <c r="S256" t="n">
        <v>5</v>
      </c>
      <c r="T256" t="n">
        <v>22</v>
      </c>
      <c r="U256" t="inlineStr">
        <is>
          <t>1996-06-11</t>
        </is>
      </c>
      <c r="V256" t="inlineStr">
        <is>
          <t>1997-01-09</t>
        </is>
      </c>
      <c r="W256" t="inlineStr">
        <is>
          <t>1994-07-12</t>
        </is>
      </c>
      <c r="X256" t="inlineStr">
        <is>
          <t>1994-07-12</t>
        </is>
      </c>
      <c r="Y256" t="n">
        <v>820</v>
      </c>
      <c r="Z256" t="n">
        <v>706</v>
      </c>
      <c r="AA256" t="n">
        <v>884</v>
      </c>
      <c r="AB256" t="n">
        <v>7</v>
      </c>
      <c r="AC256" t="n">
        <v>7</v>
      </c>
      <c r="AD256" t="n">
        <v>29</v>
      </c>
      <c r="AE256" t="n">
        <v>40</v>
      </c>
      <c r="AF256" t="n">
        <v>9</v>
      </c>
      <c r="AG256" t="n">
        <v>16</v>
      </c>
      <c r="AH256" t="n">
        <v>8</v>
      </c>
      <c r="AI256" t="n">
        <v>11</v>
      </c>
      <c r="AJ256" t="n">
        <v>12</v>
      </c>
      <c r="AK256" t="n">
        <v>19</v>
      </c>
      <c r="AL256" t="n">
        <v>5</v>
      </c>
      <c r="AM256" t="n">
        <v>5</v>
      </c>
      <c r="AN256" t="n">
        <v>1</v>
      </c>
      <c r="AO256" t="n">
        <v>1</v>
      </c>
      <c r="AP256" t="inlineStr">
        <is>
          <t>No</t>
        </is>
      </c>
      <c r="AQ256" t="inlineStr">
        <is>
          <t>Yes</t>
        </is>
      </c>
      <c r="AR256">
        <f>HYPERLINK("http://catalog.hathitrust.org/Record/000709769","HathiTrust Record")</f>
        <v/>
      </c>
      <c r="AS256">
        <f>HYPERLINK("https://creighton-primo.hosted.exlibrisgroup.com/primo-explore/search?tab=default_tab&amp;search_scope=EVERYTHING&amp;vid=01CRU&amp;lang=en_US&amp;offset=0&amp;query=any,contains,991003346059702656","Catalog Record")</f>
        <v/>
      </c>
      <c r="AT256">
        <f>HYPERLINK("http://www.worldcat.org/oclc/877926","WorldCat Record")</f>
        <v/>
      </c>
      <c r="AU256" t="inlineStr">
        <is>
          <t>375323639:eng</t>
        </is>
      </c>
      <c r="AV256" t="inlineStr">
        <is>
          <t>877926</t>
        </is>
      </c>
      <c r="AW256" t="inlineStr">
        <is>
          <t>991003346059702656</t>
        </is>
      </c>
      <c r="AX256" t="inlineStr">
        <is>
          <t>991003346059702656</t>
        </is>
      </c>
      <c r="AY256" t="inlineStr">
        <is>
          <t>2263371340002656</t>
        </is>
      </c>
      <c r="AZ256" t="inlineStr">
        <is>
          <t>BOOK</t>
        </is>
      </c>
      <c r="BB256" t="inlineStr">
        <is>
          <t>9780883900413</t>
        </is>
      </c>
      <c r="BC256" t="inlineStr">
        <is>
          <t>32285001936565</t>
        </is>
      </c>
      <c r="BD256" t="inlineStr">
        <is>
          <t>893899897</t>
        </is>
      </c>
    </row>
    <row r="257">
      <c r="A257" t="inlineStr">
        <is>
          <t>No</t>
        </is>
      </c>
      <c r="B257" t="inlineStr">
        <is>
          <t>HM134 .H36 1974, v...</t>
        </is>
      </c>
      <c r="C257" t="inlineStr">
        <is>
          <t>0                      HM 0134000H  36          1974                                        v...</t>
        </is>
      </c>
      <c r="D257" t="inlineStr">
        <is>
          <t>A Handbook of structured experiences for human relations training / edited by J. William Pfeiffer, John E. Jones.</t>
        </is>
      </c>
      <c r="E257" t="inlineStr">
        <is>
          <t>V.3</t>
        </is>
      </c>
      <c r="F257" t="inlineStr">
        <is>
          <t>Yes</t>
        </is>
      </c>
      <c r="G257" t="inlineStr">
        <is>
          <t>1</t>
        </is>
      </c>
      <c r="H257" t="inlineStr">
        <is>
          <t>No</t>
        </is>
      </c>
      <c r="I257" t="inlineStr">
        <is>
          <t>No</t>
        </is>
      </c>
      <c r="J257" t="inlineStr">
        <is>
          <t>0</t>
        </is>
      </c>
      <c r="L257" t="inlineStr">
        <is>
          <t>San Diego, Calif. : University Associates, c1974-</t>
        </is>
      </c>
      <c r="M257" t="inlineStr">
        <is>
          <t>1974</t>
        </is>
      </c>
      <c r="O257" t="inlineStr">
        <is>
          <t>eng</t>
        </is>
      </c>
      <c r="P257" t="inlineStr">
        <is>
          <t>cau</t>
        </is>
      </c>
      <c r="Q257" t="inlineStr">
        <is>
          <t>Series in human relations training</t>
        </is>
      </c>
      <c r="R257" t="inlineStr">
        <is>
          <t xml:space="preserve">HM </t>
        </is>
      </c>
      <c r="S257" t="n">
        <v>3</v>
      </c>
      <c r="T257" t="n">
        <v>22</v>
      </c>
      <c r="U257" t="inlineStr">
        <is>
          <t>1994-12-22</t>
        </is>
      </c>
      <c r="V257" t="inlineStr">
        <is>
          <t>1997-01-09</t>
        </is>
      </c>
      <c r="W257" t="inlineStr">
        <is>
          <t>1994-07-12</t>
        </is>
      </c>
      <c r="X257" t="inlineStr">
        <is>
          <t>1994-07-12</t>
        </is>
      </c>
      <c r="Y257" t="n">
        <v>820</v>
      </c>
      <c r="Z257" t="n">
        <v>706</v>
      </c>
      <c r="AA257" t="n">
        <v>884</v>
      </c>
      <c r="AB257" t="n">
        <v>7</v>
      </c>
      <c r="AC257" t="n">
        <v>7</v>
      </c>
      <c r="AD257" t="n">
        <v>29</v>
      </c>
      <c r="AE257" t="n">
        <v>40</v>
      </c>
      <c r="AF257" t="n">
        <v>9</v>
      </c>
      <c r="AG257" t="n">
        <v>16</v>
      </c>
      <c r="AH257" t="n">
        <v>8</v>
      </c>
      <c r="AI257" t="n">
        <v>11</v>
      </c>
      <c r="AJ257" t="n">
        <v>12</v>
      </c>
      <c r="AK257" t="n">
        <v>19</v>
      </c>
      <c r="AL257" t="n">
        <v>5</v>
      </c>
      <c r="AM257" t="n">
        <v>5</v>
      </c>
      <c r="AN257" t="n">
        <v>1</v>
      </c>
      <c r="AO257" t="n">
        <v>1</v>
      </c>
      <c r="AP257" t="inlineStr">
        <is>
          <t>No</t>
        </is>
      </c>
      <c r="AQ257" t="inlineStr">
        <is>
          <t>Yes</t>
        </is>
      </c>
      <c r="AR257">
        <f>HYPERLINK("http://catalog.hathitrust.org/Record/000709769","HathiTrust Record")</f>
        <v/>
      </c>
      <c r="AS257">
        <f>HYPERLINK("https://creighton-primo.hosted.exlibrisgroup.com/primo-explore/search?tab=default_tab&amp;search_scope=EVERYTHING&amp;vid=01CRU&amp;lang=en_US&amp;offset=0&amp;query=any,contains,991003346059702656","Catalog Record")</f>
        <v/>
      </c>
      <c r="AT257">
        <f>HYPERLINK("http://www.worldcat.org/oclc/877926","WorldCat Record")</f>
        <v/>
      </c>
      <c r="AU257" t="inlineStr">
        <is>
          <t>375323639:eng</t>
        </is>
      </c>
      <c r="AV257" t="inlineStr">
        <is>
          <t>877926</t>
        </is>
      </c>
      <c r="AW257" t="inlineStr">
        <is>
          <t>991003346059702656</t>
        </is>
      </c>
      <c r="AX257" t="inlineStr">
        <is>
          <t>991003346059702656</t>
        </is>
      </c>
      <c r="AY257" t="inlineStr">
        <is>
          <t>2263371340002656</t>
        </is>
      </c>
      <c r="AZ257" t="inlineStr">
        <is>
          <t>BOOK</t>
        </is>
      </c>
      <c r="BB257" t="inlineStr">
        <is>
          <t>9780883900413</t>
        </is>
      </c>
      <c r="BC257" t="inlineStr">
        <is>
          <t>32285001936581</t>
        </is>
      </c>
      <c r="BD257" t="inlineStr">
        <is>
          <t>893868324</t>
        </is>
      </c>
    </row>
    <row r="258">
      <c r="A258" t="inlineStr">
        <is>
          <t>No</t>
        </is>
      </c>
      <c r="B258" t="inlineStr">
        <is>
          <t>HM134 .H36 1974, v...</t>
        </is>
      </c>
      <c r="C258" t="inlineStr">
        <is>
          <t>0                      HM 0134000H  36          1974                                        v...</t>
        </is>
      </c>
      <c r="D258" t="inlineStr">
        <is>
          <t>A Handbook of structured experiences for human relations training / edited by J. William Pfeiffer, John E. Jones.</t>
        </is>
      </c>
      <c r="E258" t="inlineStr">
        <is>
          <t>V.4</t>
        </is>
      </c>
      <c r="F258" t="inlineStr">
        <is>
          <t>Yes</t>
        </is>
      </c>
      <c r="G258" t="inlineStr">
        <is>
          <t>1</t>
        </is>
      </c>
      <c r="H258" t="inlineStr">
        <is>
          <t>No</t>
        </is>
      </c>
      <c r="I258" t="inlineStr">
        <is>
          <t>No</t>
        </is>
      </c>
      <c r="J258" t="inlineStr">
        <is>
          <t>0</t>
        </is>
      </c>
      <c r="L258" t="inlineStr">
        <is>
          <t>San Diego, Calif. : University Associates, c1974-</t>
        </is>
      </c>
      <c r="M258" t="inlineStr">
        <is>
          <t>1974</t>
        </is>
      </c>
      <c r="O258" t="inlineStr">
        <is>
          <t>eng</t>
        </is>
      </c>
      <c r="P258" t="inlineStr">
        <is>
          <t>cau</t>
        </is>
      </c>
      <c r="Q258" t="inlineStr">
        <is>
          <t>Series in human relations training</t>
        </is>
      </c>
      <c r="R258" t="inlineStr">
        <is>
          <t xml:space="preserve">HM </t>
        </is>
      </c>
      <c r="S258" t="n">
        <v>3</v>
      </c>
      <c r="T258" t="n">
        <v>22</v>
      </c>
      <c r="U258" t="inlineStr">
        <is>
          <t>1996-06-11</t>
        </is>
      </c>
      <c r="V258" t="inlineStr">
        <is>
          <t>1997-01-09</t>
        </is>
      </c>
      <c r="W258" t="inlineStr">
        <is>
          <t>1994-07-12</t>
        </is>
      </c>
      <c r="X258" t="inlineStr">
        <is>
          <t>1994-07-12</t>
        </is>
      </c>
      <c r="Y258" t="n">
        <v>820</v>
      </c>
      <c r="Z258" t="n">
        <v>706</v>
      </c>
      <c r="AA258" t="n">
        <v>884</v>
      </c>
      <c r="AB258" t="n">
        <v>7</v>
      </c>
      <c r="AC258" t="n">
        <v>7</v>
      </c>
      <c r="AD258" t="n">
        <v>29</v>
      </c>
      <c r="AE258" t="n">
        <v>40</v>
      </c>
      <c r="AF258" t="n">
        <v>9</v>
      </c>
      <c r="AG258" t="n">
        <v>16</v>
      </c>
      <c r="AH258" t="n">
        <v>8</v>
      </c>
      <c r="AI258" t="n">
        <v>11</v>
      </c>
      <c r="AJ258" t="n">
        <v>12</v>
      </c>
      <c r="AK258" t="n">
        <v>19</v>
      </c>
      <c r="AL258" t="n">
        <v>5</v>
      </c>
      <c r="AM258" t="n">
        <v>5</v>
      </c>
      <c r="AN258" t="n">
        <v>1</v>
      </c>
      <c r="AO258" t="n">
        <v>1</v>
      </c>
      <c r="AP258" t="inlineStr">
        <is>
          <t>No</t>
        </is>
      </c>
      <c r="AQ258" t="inlineStr">
        <is>
          <t>Yes</t>
        </is>
      </c>
      <c r="AR258">
        <f>HYPERLINK("http://catalog.hathitrust.org/Record/000709769","HathiTrust Record")</f>
        <v/>
      </c>
      <c r="AS258">
        <f>HYPERLINK("https://creighton-primo.hosted.exlibrisgroup.com/primo-explore/search?tab=default_tab&amp;search_scope=EVERYTHING&amp;vid=01CRU&amp;lang=en_US&amp;offset=0&amp;query=any,contains,991003346059702656","Catalog Record")</f>
        <v/>
      </c>
      <c r="AT258">
        <f>HYPERLINK("http://www.worldcat.org/oclc/877926","WorldCat Record")</f>
        <v/>
      </c>
      <c r="AU258" t="inlineStr">
        <is>
          <t>375323639:eng</t>
        </is>
      </c>
      <c r="AV258" t="inlineStr">
        <is>
          <t>877926</t>
        </is>
      </c>
      <c r="AW258" t="inlineStr">
        <is>
          <t>991003346059702656</t>
        </is>
      </c>
      <c r="AX258" t="inlineStr">
        <is>
          <t>991003346059702656</t>
        </is>
      </c>
      <c r="AY258" t="inlineStr">
        <is>
          <t>2263371340002656</t>
        </is>
      </c>
      <c r="AZ258" t="inlineStr">
        <is>
          <t>BOOK</t>
        </is>
      </c>
      <c r="BB258" t="inlineStr">
        <is>
          <t>9780883900413</t>
        </is>
      </c>
      <c r="BC258" t="inlineStr">
        <is>
          <t>32285001936599</t>
        </is>
      </c>
      <c r="BD258" t="inlineStr">
        <is>
          <t>893874679</t>
        </is>
      </c>
    </row>
    <row r="259">
      <c r="A259" t="inlineStr">
        <is>
          <t>No</t>
        </is>
      </c>
      <c r="B259" t="inlineStr">
        <is>
          <t>HM134 .J33</t>
        </is>
      </c>
      <c r="C259" t="inlineStr">
        <is>
          <t>0                      HM 0134000J  33</t>
        </is>
      </c>
      <c r="D259" t="inlineStr">
        <is>
          <t>The group as agent of change : treatment, prevention, personal growth in the family, the school, the mental hospital, and the community / edited by Alfred Jacobs [and] Wilford W. Spradlin.</t>
        </is>
      </c>
      <c r="F259" t="inlineStr">
        <is>
          <t>No</t>
        </is>
      </c>
      <c r="G259" t="inlineStr">
        <is>
          <t>1</t>
        </is>
      </c>
      <c r="H259" t="inlineStr">
        <is>
          <t>No</t>
        </is>
      </c>
      <c r="I259" t="inlineStr">
        <is>
          <t>No</t>
        </is>
      </c>
      <c r="J259" t="inlineStr">
        <is>
          <t>0</t>
        </is>
      </c>
      <c r="K259" t="inlineStr">
        <is>
          <t>Jacobs, Alfred, 1922-</t>
        </is>
      </c>
      <c r="L259" t="inlineStr">
        <is>
          <t>New York : Behavioral Publications, 1974.</t>
        </is>
      </c>
      <c r="M259" t="inlineStr">
        <is>
          <t>1974</t>
        </is>
      </c>
      <c r="O259" t="inlineStr">
        <is>
          <t>eng</t>
        </is>
      </c>
      <c r="P259" t="inlineStr">
        <is>
          <t>nyu</t>
        </is>
      </c>
      <c r="R259" t="inlineStr">
        <is>
          <t xml:space="preserve">HM </t>
        </is>
      </c>
      <c r="S259" t="n">
        <v>3</v>
      </c>
      <c r="T259" t="n">
        <v>3</v>
      </c>
      <c r="U259" t="inlineStr">
        <is>
          <t>1999-09-08</t>
        </is>
      </c>
      <c r="V259" t="inlineStr">
        <is>
          <t>1999-09-08</t>
        </is>
      </c>
      <c r="W259" t="inlineStr">
        <is>
          <t>1993-05-10</t>
        </is>
      </c>
      <c r="X259" t="inlineStr">
        <is>
          <t>1993-05-10</t>
        </is>
      </c>
      <c r="Y259" t="n">
        <v>579</v>
      </c>
      <c r="Z259" t="n">
        <v>473</v>
      </c>
      <c r="AA259" t="n">
        <v>480</v>
      </c>
      <c r="AB259" t="n">
        <v>4</v>
      </c>
      <c r="AC259" t="n">
        <v>4</v>
      </c>
      <c r="AD259" t="n">
        <v>22</v>
      </c>
      <c r="AE259" t="n">
        <v>22</v>
      </c>
      <c r="AF259" t="n">
        <v>10</v>
      </c>
      <c r="AG259" t="n">
        <v>10</v>
      </c>
      <c r="AH259" t="n">
        <v>4</v>
      </c>
      <c r="AI259" t="n">
        <v>4</v>
      </c>
      <c r="AJ259" t="n">
        <v>11</v>
      </c>
      <c r="AK259" t="n">
        <v>11</v>
      </c>
      <c r="AL259" t="n">
        <v>3</v>
      </c>
      <c r="AM259" t="n">
        <v>3</v>
      </c>
      <c r="AN259" t="n">
        <v>0</v>
      </c>
      <c r="AO259" t="n">
        <v>0</v>
      </c>
      <c r="AP259" t="inlineStr">
        <is>
          <t>No</t>
        </is>
      </c>
      <c r="AQ259" t="inlineStr">
        <is>
          <t>Yes</t>
        </is>
      </c>
      <c r="AR259">
        <f>HYPERLINK("http://catalog.hathitrust.org/Record/000965181","HathiTrust Record")</f>
        <v/>
      </c>
      <c r="AS259">
        <f>HYPERLINK("https://creighton-primo.hosted.exlibrisgroup.com/primo-explore/search?tab=default_tab&amp;search_scope=EVERYTHING&amp;vid=01CRU&amp;lang=en_US&amp;offset=0&amp;query=any,contains,991003155059702656","Catalog Record")</f>
        <v/>
      </c>
      <c r="AT259">
        <f>HYPERLINK("http://www.worldcat.org/oclc/694022","WorldCat Record")</f>
        <v/>
      </c>
      <c r="AU259" t="inlineStr">
        <is>
          <t>308752434:eng</t>
        </is>
      </c>
      <c r="AV259" t="inlineStr">
        <is>
          <t>694022</t>
        </is>
      </c>
      <c r="AW259" t="inlineStr">
        <is>
          <t>991003155059702656</t>
        </is>
      </c>
      <c r="AX259" t="inlineStr">
        <is>
          <t>991003155059702656</t>
        </is>
      </c>
      <c r="AY259" t="inlineStr">
        <is>
          <t>2266933550002656</t>
        </is>
      </c>
      <c r="AZ259" t="inlineStr">
        <is>
          <t>BOOK</t>
        </is>
      </c>
      <c r="BB259" t="inlineStr">
        <is>
          <t>9780877051282</t>
        </is>
      </c>
      <c r="BC259" t="inlineStr">
        <is>
          <t>32285001652592</t>
        </is>
      </c>
      <c r="BD259" t="inlineStr">
        <is>
          <t>893505259</t>
        </is>
      </c>
    </row>
    <row r="260">
      <c r="A260" t="inlineStr">
        <is>
          <t>No</t>
        </is>
      </c>
      <c r="B260" t="inlineStr">
        <is>
          <t>HM136 .A233 1987</t>
        </is>
      </c>
      <c r="C260" t="inlineStr">
        <is>
          <t>0                      HM 0136000A  233         1987</t>
        </is>
      </c>
      <c r="D260" t="inlineStr">
        <is>
          <t>The conflict resolution syndrome : volunteerism, violence and beyond / Alexander Abdennur.</t>
        </is>
      </c>
      <c r="F260" t="inlineStr">
        <is>
          <t>No</t>
        </is>
      </c>
      <c r="G260" t="inlineStr">
        <is>
          <t>1</t>
        </is>
      </c>
      <c r="H260" t="inlineStr">
        <is>
          <t>No</t>
        </is>
      </c>
      <c r="I260" t="inlineStr">
        <is>
          <t>No</t>
        </is>
      </c>
      <c r="J260" t="inlineStr">
        <is>
          <t>0</t>
        </is>
      </c>
      <c r="K260" t="inlineStr">
        <is>
          <t>Abdennur, Alexander, 1945-</t>
        </is>
      </c>
      <c r="L260" t="inlineStr">
        <is>
          <t>Ottawa : University of Ottawa Press, c1987.</t>
        </is>
      </c>
      <c r="M260" t="inlineStr">
        <is>
          <t>1987</t>
        </is>
      </c>
      <c r="O260" t="inlineStr">
        <is>
          <t>eng</t>
        </is>
      </c>
      <c r="P260" t="inlineStr">
        <is>
          <t>onc</t>
        </is>
      </c>
      <c r="R260" t="inlineStr">
        <is>
          <t xml:space="preserve">HM </t>
        </is>
      </c>
      <c r="S260" t="n">
        <v>14</v>
      </c>
      <c r="T260" t="n">
        <v>14</v>
      </c>
      <c r="U260" t="inlineStr">
        <is>
          <t>1998-12-01</t>
        </is>
      </c>
      <c r="V260" t="inlineStr">
        <is>
          <t>1998-12-01</t>
        </is>
      </c>
      <c r="W260" t="inlineStr">
        <is>
          <t>1992-08-28</t>
        </is>
      </c>
      <c r="X260" t="inlineStr">
        <is>
          <t>1992-08-28</t>
        </is>
      </c>
      <c r="Y260" t="n">
        <v>495</v>
      </c>
      <c r="Z260" t="n">
        <v>375</v>
      </c>
      <c r="AA260" t="n">
        <v>381</v>
      </c>
      <c r="AB260" t="n">
        <v>3</v>
      </c>
      <c r="AC260" t="n">
        <v>3</v>
      </c>
      <c r="AD260" t="n">
        <v>26</v>
      </c>
      <c r="AE260" t="n">
        <v>26</v>
      </c>
      <c r="AF260" t="n">
        <v>11</v>
      </c>
      <c r="AG260" t="n">
        <v>11</v>
      </c>
      <c r="AH260" t="n">
        <v>7</v>
      </c>
      <c r="AI260" t="n">
        <v>7</v>
      </c>
      <c r="AJ260" t="n">
        <v>14</v>
      </c>
      <c r="AK260" t="n">
        <v>14</v>
      </c>
      <c r="AL260" t="n">
        <v>2</v>
      </c>
      <c r="AM260" t="n">
        <v>2</v>
      </c>
      <c r="AN260" t="n">
        <v>0</v>
      </c>
      <c r="AO260" t="n">
        <v>0</v>
      </c>
      <c r="AP260" t="inlineStr">
        <is>
          <t>No</t>
        </is>
      </c>
      <c r="AQ260" t="inlineStr">
        <is>
          <t>Yes</t>
        </is>
      </c>
      <c r="AR260">
        <f>HYPERLINK("http://catalog.hathitrust.org/Record/000854346","HathiTrust Record")</f>
        <v/>
      </c>
      <c r="AS260">
        <f>HYPERLINK("https://creighton-primo.hosted.exlibrisgroup.com/primo-explore/search?tab=default_tab&amp;search_scope=EVERYTHING&amp;vid=01CRU&amp;lang=en_US&amp;offset=0&amp;query=any,contains,991001089649702656","Catalog Record")</f>
        <v/>
      </c>
      <c r="AT260">
        <f>HYPERLINK("http://www.worldcat.org/oclc/19776336","WorldCat Record")</f>
        <v/>
      </c>
      <c r="AU260" t="inlineStr">
        <is>
          <t>196507536:eng</t>
        </is>
      </c>
      <c r="AV260" t="inlineStr">
        <is>
          <t>19776336</t>
        </is>
      </c>
      <c r="AW260" t="inlineStr">
        <is>
          <t>991001089649702656</t>
        </is>
      </c>
      <c r="AX260" t="inlineStr">
        <is>
          <t>991001089649702656</t>
        </is>
      </c>
      <c r="AY260" t="inlineStr">
        <is>
          <t>2262552280002656</t>
        </is>
      </c>
      <c r="AZ260" t="inlineStr">
        <is>
          <t>BOOK</t>
        </is>
      </c>
      <c r="BB260" t="inlineStr">
        <is>
          <t>9780776601410</t>
        </is>
      </c>
      <c r="BC260" t="inlineStr">
        <is>
          <t>32285001266591</t>
        </is>
      </c>
      <c r="BD260" t="inlineStr">
        <is>
          <t>893321627</t>
        </is>
      </c>
    </row>
    <row r="261">
      <c r="A261" t="inlineStr">
        <is>
          <t>No</t>
        </is>
      </c>
      <c r="B261" t="inlineStr">
        <is>
          <t>HM136 .D27 1981</t>
        </is>
      </c>
      <c r="C261" t="inlineStr">
        <is>
          <t>0                      HM 0136000D  27          1981</t>
        </is>
      </c>
      <c r="D261" t="inlineStr">
        <is>
          <t>Twilight of subjectivity : contributions to a post-individualist theory of politics / Fred R. Dallmayr.</t>
        </is>
      </c>
      <c r="F261" t="inlineStr">
        <is>
          <t>No</t>
        </is>
      </c>
      <c r="G261" t="inlineStr">
        <is>
          <t>1</t>
        </is>
      </c>
      <c r="H261" t="inlineStr">
        <is>
          <t>No</t>
        </is>
      </c>
      <c r="I261" t="inlineStr">
        <is>
          <t>No</t>
        </is>
      </c>
      <c r="J261" t="inlineStr">
        <is>
          <t>0</t>
        </is>
      </c>
      <c r="K261" t="inlineStr">
        <is>
          <t>Dallmayr, Fred R. (Fred Reinhard), 1928-</t>
        </is>
      </c>
      <c r="L261" t="inlineStr">
        <is>
          <t>Amherst : University of Massachusetts Press, c1981.</t>
        </is>
      </c>
      <c r="M261" t="inlineStr">
        <is>
          <t>1981</t>
        </is>
      </c>
      <c r="O261" t="inlineStr">
        <is>
          <t>eng</t>
        </is>
      </c>
      <c r="P261" t="inlineStr">
        <is>
          <t>mau</t>
        </is>
      </c>
      <c r="R261" t="inlineStr">
        <is>
          <t xml:space="preserve">HM </t>
        </is>
      </c>
      <c r="S261" t="n">
        <v>2</v>
      </c>
      <c r="T261" t="n">
        <v>2</v>
      </c>
      <c r="U261" t="inlineStr">
        <is>
          <t>2009-04-02</t>
        </is>
      </c>
      <c r="V261" t="inlineStr">
        <is>
          <t>2009-04-02</t>
        </is>
      </c>
      <c r="W261" t="inlineStr">
        <is>
          <t>1992-08-28</t>
        </is>
      </c>
      <c r="X261" t="inlineStr">
        <is>
          <t>1992-08-28</t>
        </is>
      </c>
      <c r="Y261" t="n">
        <v>458</v>
      </c>
      <c r="Z261" t="n">
        <v>358</v>
      </c>
      <c r="AA261" t="n">
        <v>725</v>
      </c>
      <c r="AB261" t="n">
        <v>3</v>
      </c>
      <c r="AC261" t="n">
        <v>5</v>
      </c>
      <c r="AD261" t="n">
        <v>25</v>
      </c>
      <c r="AE261" t="n">
        <v>28</v>
      </c>
      <c r="AF261" t="n">
        <v>8</v>
      </c>
      <c r="AG261" t="n">
        <v>9</v>
      </c>
      <c r="AH261" t="n">
        <v>5</v>
      </c>
      <c r="AI261" t="n">
        <v>5</v>
      </c>
      <c r="AJ261" t="n">
        <v>19</v>
      </c>
      <c r="AK261" t="n">
        <v>19</v>
      </c>
      <c r="AL261" t="n">
        <v>2</v>
      </c>
      <c r="AM261" t="n">
        <v>4</v>
      </c>
      <c r="AN261" t="n">
        <v>0</v>
      </c>
      <c r="AO261" t="n">
        <v>0</v>
      </c>
      <c r="AP261" t="inlineStr">
        <is>
          <t>No</t>
        </is>
      </c>
      <c r="AQ261" t="inlineStr">
        <is>
          <t>Yes</t>
        </is>
      </c>
      <c r="AR261">
        <f>HYPERLINK("http://catalog.hathitrust.org/Record/000129316","HathiTrust Record")</f>
        <v/>
      </c>
      <c r="AS261">
        <f>HYPERLINK("https://creighton-primo.hosted.exlibrisgroup.com/primo-explore/search?tab=default_tab&amp;search_scope=EVERYTHING&amp;vid=01CRU&amp;lang=en_US&amp;offset=0&amp;query=any,contains,991005032259702656","Catalog Record")</f>
        <v/>
      </c>
      <c r="AT261">
        <f>HYPERLINK("http://www.worldcat.org/oclc/6734265","WorldCat Record")</f>
        <v/>
      </c>
      <c r="AU261" t="inlineStr">
        <is>
          <t>20410370:eng</t>
        </is>
      </c>
      <c r="AV261" t="inlineStr">
        <is>
          <t>6734265</t>
        </is>
      </c>
      <c r="AW261" t="inlineStr">
        <is>
          <t>991005032259702656</t>
        </is>
      </c>
      <c r="AX261" t="inlineStr">
        <is>
          <t>991005032259702656</t>
        </is>
      </c>
      <c r="AY261" t="inlineStr">
        <is>
          <t>2268617450002656</t>
        </is>
      </c>
      <c r="AZ261" t="inlineStr">
        <is>
          <t>BOOK</t>
        </is>
      </c>
      <c r="BB261" t="inlineStr">
        <is>
          <t>9780870233142</t>
        </is>
      </c>
      <c r="BC261" t="inlineStr">
        <is>
          <t>32285001266625</t>
        </is>
      </c>
      <c r="BD261" t="inlineStr">
        <is>
          <t>893350606</t>
        </is>
      </c>
    </row>
    <row r="262">
      <c r="A262" t="inlineStr">
        <is>
          <t>No</t>
        </is>
      </c>
      <c r="B262" t="inlineStr">
        <is>
          <t>HM136 .D39 1973</t>
        </is>
      </c>
      <c r="C262" t="inlineStr">
        <is>
          <t>0                      HM 0136000D  39          1973</t>
        </is>
      </c>
      <c r="D262" t="inlineStr">
        <is>
          <t>The resolution of conflict; constructive and destructive processes.</t>
        </is>
      </c>
      <c r="F262" t="inlineStr">
        <is>
          <t>No</t>
        </is>
      </c>
      <c r="G262" t="inlineStr">
        <is>
          <t>1</t>
        </is>
      </c>
      <c r="H262" t="inlineStr">
        <is>
          <t>No</t>
        </is>
      </c>
      <c r="I262" t="inlineStr">
        <is>
          <t>No</t>
        </is>
      </c>
      <c r="J262" t="inlineStr">
        <is>
          <t>0</t>
        </is>
      </c>
      <c r="K262" t="inlineStr">
        <is>
          <t>Deutsch, Morton, 1920-2017.</t>
        </is>
      </c>
      <c r="L262" t="inlineStr">
        <is>
          <t>New Haven, Yale University Press, 1973.</t>
        </is>
      </c>
      <c r="M262" t="inlineStr">
        <is>
          <t>1973</t>
        </is>
      </c>
      <c r="O262" t="inlineStr">
        <is>
          <t>eng</t>
        </is>
      </c>
      <c r="P262" t="inlineStr">
        <is>
          <t>ctu</t>
        </is>
      </c>
      <c r="R262" t="inlineStr">
        <is>
          <t xml:space="preserve">HM </t>
        </is>
      </c>
      <c r="S262" t="n">
        <v>5</v>
      </c>
      <c r="T262" t="n">
        <v>5</v>
      </c>
      <c r="U262" t="inlineStr">
        <is>
          <t>2009-01-27</t>
        </is>
      </c>
      <c r="V262" t="inlineStr">
        <is>
          <t>2009-01-27</t>
        </is>
      </c>
      <c r="W262" t="inlineStr">
        <is>
          <t>1992-01-17</t>
        </is>
      </c>
      <c r="X262" t="inlineStr">
        <is>
          <t>1992-01-17</t>
        </is>
      </c>
      <c r="Y262" t="n">
        <v>1071</v>
      </c>
      <c r="Z262" t="n">
        <v>826</v>
      </c>
      <c r="AA262" t="n">
        <v>958</v>
      </c>
      <c r="AB262" t="n">
        <v>7</v>
      </c>
      <c r="AC262" t="n">
        <v>7</v>
      </c>
      <c r="AD262" t="n">
        <v>46</v>
      </c>
      <c r="AE262" t="n">
        <v>51</v>
      </c>
      <c r="AF262" t="n">
        <v>13</v>
      </c>
      <c r="AG262" t="n">
        <v>17</v>
      </c>
      <c r="AH262" t="n">
        <v>9</v>
      </c>
      <c r="AI262" t="n">
        <v>10</v>
      </c>
      <c r="AJ262" t="n">
        <v>22</v>
      </c>
      <c r="AK262" t="n">
        <v>24</v>
      </c>
      <c r="AL262" t="n">
        <v>6</v>
      </c>
      <c r="AM262" t="n">
        <v>6</v>
      </c>
      <c r="AN262" t="n">
        <v>6</v>
      </c>
      <c r="AO262" t="n">
        <v>6</v>
      </c>
      <c r="AP262" t="inlineStr">
        <is>
          <t>No</t>
        </is>
      </c>
      <c r="AQ262" t="inlineStr">
        <is>
          <t>No</t>
        </is>
      </c>
      <c r="AS262">
        <f>HYPERLINK("https://creighton-primo.hosted.exlibrisgroup.com/primo-explore/search?tab=default_tab&amp;search_scope=EVERYTHING&amp;vid=01CRU&amp;lang=en_US&amp;offset=0&amp;query=any,contains,991003277409702656","Catalog Record")</f>
        <v/>
      </c>
      <c r="AT262">
        <f>HYPERLINK("http://www.worldcat.org/oclc/800748","WorldCat Record")</f>
        <v/>
      </c>
      <c r="AU262" t="inlineStr">
        <is>
          <t>807166468:eng</t>
        </is>
      </c>
      <c r="AV262" t="inlineStr">
        <is>
          <t>800748</t>
        </is>
      </c>
      <c r="AW262" t="inlineStr">
        <is>
          <t>991003277409702656</t>
        </is>
      </c>
      <c r="AX262" t="inlineStr">
        <is>
          <t>991003277409702656</t>
        </is>
      </c>
      <c r="AY262" t="inlineStr">
        <is>
          <t>2267046840002656</t>
        </is>
      </c>
      <c r="AZ262" t="inlineStr">
        <is>
          <t>BOOK</t>
        </is>
      </c>
      <c r="BB262" t="inlineStr">
        <is>
          <t>9780300016833</t>
        </is>
      </c>
      <c r="BC262" t="inlineStr">
        <is>
          <t>32285000914738</t>
        </is>
      </c>
      <c r="BD262" t="inlineStr">
        <is>
          <t>893330159</t>
        </is>
      </c>
    </row>
    <row r="263">
      <c r="A263" t="inlineStr">
        <is>
          <t>No</t>
        </is>
      </c>
      <c r="B263" t="inlineStr">
        <is>
          <t>HM136 .D4 1999</t>
        </is>
      </c>
      <c r="C263" t="inlineStr">
        <is>
          <t>0                      HM 0136000D  4           1999</t>
        </is>
      </c>
      <c r="D263" t="inlineStr">
        <is>
          <t>Individualism old and new / John Dewey.</t>
        </is>
      </c>
      <c r="F263" t="inlineStr">
        <is>
          <t>No</t>
        </is>
      </c>
      <c r="G263" t="inlineStr">
        <is>
          <t>1</t>
        </is>
      </c>
      <c r="H263" t="inlineStr">
        <is>
          <t>No</t>
        </is>
      </c>
      <c r="I263" t="inlineStr">
        <is>
          <t>No</t>
        </is>
      </c>
      <c r="J263" t="inlineStr">
        <is>
          <t>0</t>
        </is>
      </c>
      <c r="K263" t="inlineStr">
        <is>
          <t>Dewey, John, 1859-1952.</t>
        </is>
      </c>
      <c r="L263" t="inlineStr">
        <is>
          <t>Amherst, N.Y. : Prometheus Books, 1999, c1984.</t>
        </is>
      </c>
      <c r="M263" t="inlineStr">
        <is>
          <t>1999</t>
        </is>
      </c>
      <c r="O263" t="inlineStr">
        <is>
          <t>eng</t>
        </is>
      </c>
      <c r="P263" t="inlineStr">
        <is>
          <t>nyu</t>
        </is>
      </c>
      <c r="Q263" t="inlineStr">
        <is>
          <t>Great books in philosophy</t>
        </is>
      </c>
      <c r="R263" t="inlineStr">
        <is>
          <t xml:space="preserve">HM </t>
        </is>
      </c>
      <c r="S263" t="n">
        <v>2</v>
      </c>
      <c r="T263" t="n">
        <v>2</v>
      </c>
      <c r="U263" t="inlineStr">
        <is>
          <t>2005-01-19</t>
        </is>
      </c>
      <c r="V263" t="inlineStr">
        <is>
          <t>2005-01-19</t>
        </is>
      </c>
      <c r="W263" t="inlineStr">
        <is>
          <t>2005-01-19</t>
        </is>
      </c>
      <c r="X263" t="inlineStr">
        <is>
          <t>2005-01-19</t>
        </is>
      </c>
      <c r="Y263" t="n">
        <v>129</v>
      </c>
      <c r="Z263" t="n">
        <v>107</v>
      </c>
      <c r="AA263" t="n">
        <v>875</v>
      </c>
      <c r="AB263" t="n">
        <v>4</v>
      </c>
      <c r="AC263" t="n">
        <v>11</v>
      </c>
      <c r="AD263" t="n">
        <v>8</v>
      </c>
      <c r="AE263" t="n">
        <v>43</v>
      </c>
      <c r="AF263" t="n">
        <v>3</v>
      </c>
      <c r="AG263" t="n">
        <v>17</v>
      </c>
      <c r="AH263" t="n">
        <v>1</v>
      </c>
      <c r="AI263" t="n">
        <v>7</v>
      </c>
      <c r="AJ263" t="n">
        <v>3</v>
      </c>
      <c r="AK263" t="n">
        <v>20</v>
      </c>
      <c r="AL263" t="n">
        <v>3</v>
      </c>
      <c r="AM263" t="n">
        <v>8</v>
      </c>
      <c r="AN263" t="n">
        <v>0</v>
      </c>
      <c r="AO263" t="n">
        <v>0</v>
      </c>
      <c r="AP263" t="inlineStr">
        <is>
          <t>No</t>
        </is>
      </c>
      <c r="AQ263" t="inlineStr">
        <is>
          <t>Yes</t>
        </is>
      </c>
      <c r="AR263">
        <f>HYPERLINK("http://catalog.hathitrust.org/Record/101993689","HathiTrust Record")</f>
        <v/>
      </c>
      <c r="AS263">
        <f>HYPERLINK("https://creighton-primo.hosted.exlibrisgroup.com/primo-explore/search?tab=default_tab&amp;search_scope=EVERYTHING&amp;vid=01CRU&amp;lang=en_US&amp;offset=0&amp;query=any,contains,991004431679702656","Catalog Record")</f>
        <v/>
      </c>
      <c r="AT263">
        <f>HYPERLINK("http://www.worldcat.org/oclc/40631754","WorldCat Record")</f>
        <v/>
      </c>
      <c r="AU263" t="inlineStr">
        <is>
          <t>1333189:eng</t>
        </is>
      </c>
      <c r="AV263" t="inlineStr">
        <is>
          <t>40631754</t>
        </is>
      </c>
      <c r="AW263" t="inlineStr">
        <is>
          <t>991004431679702656</t>
        </is>
      </c>
      <c r="AX263" t="inlineStr">
        <is>
          <t>991004431679702656</t>
        </is>
      </c>
      <c r="AY263" t="inlineStr">
        <is>
          <t>2261916250002656</t>
        </is>
      </c>
      <c r="AZ263" t="inlineStr">
        <is>
          <t>BOOK</t>
        </is>
      </c>
      <c r="BB263" t="inlineStr">
        <is>
          <t>9781573926935</t>
        </is>
      </c>
      <c r="BC263" t="inlineStr">
        <is>
          <t>32285005022222</t>
        </is>
      </c>
      <c r="BD263" t="inlineStr">
        <is>
          <t>893593677</t>
        </is>
      </c>
    </row>
    <row r="264">
      <c r="A264" t="inlineStr">
        <is>
          <t>No</t>
        </is>
      </c>
      <c r="B264" t="inlineStr">
        <is>
          <t>HM136 .G34</t>
        </is>
      </c>
      <c r="C264" t="inlineStr">
        <is>
          <t>0                      HM 0136000G  34</t>
        </is>
      </c>
      <c r="D264" t="inlineStr">
        <is>
          <t>Power and discontent [by] William A. Gamson.</t>
        </is>
      </c>
      <c r="F264" t="inlineStr">
        <is>
          <t>No</t>
        </is>
      </c>
      <c r="G264" t="inlineStr">
        <is>
          <t>1</t>
        </is>
      </c>
      <c r="H264" t="inlineStr">
        <is>
          <t>No</t>
        </is>
      </c>
      <c r="I264" t="inlineStr">
        <is>
          <t>No</t>
        </is>
      </c>
      <c r="J264" t="inlineStr">
        <is>
          <t>0</t>
        </is>
      </c>
      <c r="K264" t="inlineStr">
        <is>
          <t>Gamson, William A.</t>
        </is>
      </c>
      <c r="L264" t="inlineStr">
        <is>
          <t>Homewood, Ill., Dorsey Press, 1968.</t>
        </is>
      </c>
      <c r="M264" t="inlineStr">
        <is>
          <t>1968</t>
        </is>
      </c>
      <c r="O264" t="inlineStr">
        <is>
          <t>eng</t>
        </is>
      </c>
      <c r="P264" t="inlineStr">
        <is>
          <t>ilu</t>
        </is>
      </c>
      <c r="Q264" t="inlineStr">
        <is>
          <t>The Dorsey series in anthropology and sociology</t>
        </is>
      </c>
      <c r="R264" t="inlineStr">
        <is>
          <t xml:space="preserve">HM </t>
        </is>
      </c>
      <c r="S264" t="n">
        <v>2</v>
      </c>
      <c r="T264" t="n">
        <v>2</v>
      </c>
      <c r="U264" t="inlineStr">
        <is>
          <t>1999-01-17</t>
        </is>
      </c>
      <c r="V264" t="inlineStr">
        <is>
          <t>1999-01-17</t>
        </is>
      </c>
      <c r="W264" t="inlineStr">
        <is>
          <t>1997-07-30</t>
        </is>
      </c>
      <c r="X264" t="inlineStr">
        <is>
          <t>1997-07-30</t>
        </is>
      </c>
      <c r="Y264" t="n">
        <v>805</v>
      </c>
      <c r="Z264" t="n">
        <v>638</v>
      </c>
      <c r="AA264" t="n">
        <v>641</v>
      </c>
      <c r="AB264" t="n">
        <v>6</v>
      </c>
      <c r="AC264" t="n">
        <v>6</v>
      </c>
      <c r="AD264" t="n">
        <v>33</v>
      </c>
      <c r="AE264" t="n">
        <v>33</v>
      </c>
      <c r="AF264" t="n">
        <v>11</v>
      </c>
      <c r="AG264" t="n">
        <v>11</v>
      </c>
      <c r="AH264" t="n">
        <v>9</v>
      </c>
      <c r="AI264" t="n">
        <v>9</v>
      </c>
      <c r="AJ264" t="n">
        <v>15</v>
      </c>
      <c r="AK264" t="n">
        <v>15</v>
      </c>
      <c r="AL264" t="n">
        <v>5</v>
      </c>
      <c r="AM264" t="n">
        <v>5</v>
      </c>
      <c r="AN264" t="n">
        <v>1</v>
      </c>
      <c r="AO264" t="n">
        <v>1</v>
      </c>
      <c r="AP264" t="inlineStr">
        <is>
          <t>No</t>
        </is>
      </c>
      <c r="AQ264" t="inlineStr">
        <is>
          <t>No</t>
        </is>
      </c>
      <c r="AS264">
        <f>HYPERLINK("https://creighton-primo.hosted.exlibrisgroup.com/primo-explore/search?tab=default_tab&amp;search_scope=EVERYTHING&amp;vid=01CRU&amp;lang=en_US&amp;offset=0&amp;query=any,contains,991001978159702656","Catalog Record")</f>
        <v/>
      </c>
      <c r="AT264">
        <f>HYPERLINK("http://www.worldcat.org/oclc/254560","WorldCat Record")</f>
        <v/>
      </c>
      <c r="AU264" t="inlineStr">
        <is>
          <t>1349801:eng</t>
        </is>
      </c>
      <c r="AV264" t="inlineStr">
        <is>
          <t>254560</t>
        </is>
      </c>
      <c r="AW264" t="inlineStr">
        <is>
          <t>991001978159702656</t>
        </is>
      </c>
      <c r="AX264" t="inlineStr">
        <is>
          <t>991001978159702656</t>
        </is>
      </c>
      <c r="AY264" t="inlineStr">
        <is>
          <t>2269239300002656</t>
        </is>
      </c>
      <c r="AZ264" t="inlineStr">
        <is>
          <t>BOOK</t>
        </is>
      </c>
      <c r="BC264" t="inlineStr">
        <is>
          <t>32285003016366</t>
        </is>
      </c>
      <c r="BD264" t="inlineStr">
        <is>
          <t>893328543</t>
        </is>
      </c>
    </row>
    <row r="265">
      <c r="A265" t="inlineStr">
        <is>
          <t>No</t>
        </is>
      </c>
      <c r="B265" t="inlineStr">
        <is>
          <t>HM136 .H328 1994</t>
        </is>
      </c>
      <c r="C265" t="inlineStr">
        <is>
          <t>0                      HM 0136000H  328         1994</t>
        </is>
      </c>
      <c r="D265" t="inlineStr">
        <is>
          <t>Haves and have-nots : an international reader on social inequality / edited by James Curtis and Lorne Tepperman ; with the assistance of Alan Wain.</t>
        </is>
      </c>
      <c r="F265" t="inlineStr">
        <is>
          <t>No</t>
        </is>
      </c>
      <c r="G265" t="inlineStr">
        <is>
          <t>1</t>
        </is>
      </c>
      <c r="H265" t="inlineStr">
        <is>
          <t>No</t>
        </is>
      </c>
      <c r="I265" t="inlineStr">
        <is>
          <t>No</t>
        </is>
      </c>
      <c r="J265" t="inlineStr">
        <is>
          <t>0</t>
        </is>
      </c>
      <c r="L265" t="inlineStr">
        <is>
          <t>Englewood Cliffs, NJ : Prentice Hall, c1994.</t>
        </is>
      </c>
      <c r="M265" t="inlineStr">
        <is>
          <t>1994</t>
        </is>
      </c>
      <c r="O265" t="inlineStr">
        <is>
          <t>eng</t>
        </is>
      </c>
      <c r="P265" t="inlineStr">
        <is>
          <t>nju</t>
        </is>
      </c>
      <c r="R265" t="inlineStr">
        <is>
          <t xml:space="preserve">HM </t>
        </is>
      </c>
      <c r="S265" t="n">
        <v>8</v>
      </c>
      <c r="T265" t="n">
        <v>8</v>
      </c>
      <c r="U265" t="inlineStr">
        <is>
          <t>2008-11-21</t>
        </is>
      </c>
      <c r="V265" t="inlineStr">
        <is>
          <t>2008-11-21</t>
        </is>
      </c>
      <c r="W265" t="inlineStr">
        <is>
          <t>1994-07-12</t>
        </is>
      </c>
      <c r="X265" t="inlineStr">
        <is>
          <t>1994-07-12</t>
        </is>
      </c>
      <c r="Y265" t="n">
        <v>135</v>
      </c>
      <c r="Z265" t="n">
        <v>91</v>
      </c>
      <c r="AA265" t="n">
        <v>91</v>
      </c>
      <c r="AB265" t="n">
        <v>1</v>
      </c>
      <c r="AC265" t="n">
        <v>1</v>
      </c>
      <c r="AD265" t="n">
        <v>3</v>
      </c>
      <c r="AE265" t="n">
        <v>3</v>
      </c>
      <c r="AF265" t="n">
        <v>0</v>
      </c>
      <c r="AG265" t="n">
        <v>0</v>
      </c>
      <c r="AH265" t="n">
        <v>0</v>
      </c>
      <c r="AI265" t="n">
        <v>0</v>
      </c>
      <c r="AJ265" t="n">
        <v>3</v>
      </c>
      <c r="AK265" t="n">
        <v>3</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HYPERLINK("https://creighton-primo.hosted.exlibrisgroup.com/primo-explore/search?tab=default_tab&amp;search_scope=EVERYTHING&amp;vid=01CRU&amp;lang=en_US&amp;offset=0&amp;query=any,contains,991002176899702656","Catalog Record")</f>
        <v/>
      </c>
      <c r="AT265">
        <f>HYPERLINK("http://www.worldcat.org/oclc/28023958","WorldCat Record")</f>
        <v/>
      </c>
      <c r="AU265" t="inlineStr">
        <is>
          <t>836743070:eng</t>
        </is>
      </c>
      <c r="AV265" t="inlineStr">
        <is>
          <t>28023958</t>
        </is>
      </c>
      <c r="AW265" t="inlineStr">
        <is>
          <t>991002176899702656</t>
        </is>
      </c>
      <c r="AX265" t="inlineStr">
        <is>
          <t>991002176899702656</t>
        </is>
      </c>
      <c r="AY265" t="inlineStr">
        <is>
          <t>2268437830002656</t>
        </is>
      </c>
      <c r="AZ265" t="inlineStr">
        <is>
          <t>BOOK</t>
        </is>
      </c>
      <c r="BB265" t="inlineStr">
        <is>
          <t>9780130116697</t>
        </is>
      </c>
      <c r="BC265" t="inlineStr">
        <is>
          <t>32285001931491</t>
        </is>
      </c>
      <c r="BD265" t="inlineStr">
        <is>
          <t>893335015</t>
        </is>
      </c>
    </row>
    <row r="266">
      <c r="A266" t="inlineStr">
        <is>
          <t>No</t>
        </is>
      </c>
      <c r="B266" t="inlineStr">
        <is>
          <t>HM136 .H46 1992</t>
        </is>
      </c>
      <c r="C266" t="inlineStr">
        <is>
          <t>0                      HM 0136000H  46          1992</t>
        </is>
      </c>
      <c r="D266" t="inlineStr">
        <is>
          <t>Hidden conflict in organizations : uncovering behind-the-scenes disputes / Deborah M. Kolb, Jean M. Bartunek, editors.</t>
        </is>
      </c>
      <c r="F266" t="inlineStr">
        <is>
          <t>No</t>
        </is>
      </c>
      <c r="G266" t="inlineStr">
        <is>
          <t>1</t>
        </is>
      </c>
      <c r="H266" t="inlineStr">
        <is>
          <t>No</t>
        </is>
      </c>
      <c r="I266" t="inlineStr">
        <is>
          <t>No</t>
        </is>
      </c>
      <c r="J266" t="inlineStr">
        <is>
          <t>0</t>
        </is>
      </c>
      <c r="L266" t="inlineStr">
        <is>
          <t>Newbury Park, Calif. : Sage Publications, c1992.</t>
        </is>
      </c>
      <c r="M266" t="inlineStr">
        <is>
          <t>1992</t>
        </is>
      </c>
      <c r="O266" t="inlineStr">
        <is>
          <t>eng</t>
        </is>
      </c>
      <c r="P266" t="inlineStr">
        <is>
          <t>cau</t>
        </is>
      </c>
      <c r="Q266" t="inlineStr">
        <is>
          <t>Sage focus editions ; 141</t>
        </is>
      </c>
      <c r="R266" t="inlineStr">
        <is>
          <t xml:space="preserve">HM </t>
        </is>
      </c>
      <c r="S266" t="n">
        <v>11</v>
      </c>
      <c r="T266" t="n">
        <v>11</v>
      </c>
      <c r="U266" t="inlineStr">
        <is>
          <t>2003-10-15</t>
        </is>
      </c>
      <c r="V266" t="inlineStr">
        <is>
          <t>2003-10-15</t>
        </is>
      </c>
      <c r="W266" t="inlineStr">
        <is>
          <t>1992-12-08</t>
        </is>
      </c>
      <c r="X266" t="inlineStr">
        <is>
          <t>1992-12-08</t>
        </is>
      </c>
      <c r="Y266" t="n">
        <v>520</v>
      </c>
      <c r="Z266" t="n">
        <v>365</v>
      </c>
      <c r="AA266" t="n">
        <v>434</v>
      </c>
      <c r="AB266" t="n">
        <v>5</v>
      </c>
      <c r="AC266" t="n">
        <v>5</v>
      </c>
      <c r="AD266" t="n">
        <v>27</v>
      </c>
      <c r="AE266" t="n">
        <v>30</v>
      </c>
      <c r="AF266" t="n">
        <v>10</v>
      </c>
      <c r="AG266" t="n">
        <v>11</v>
      </c>
      <c r="AH266" t="n">
        <v>5</v>
      </c>
      <c r="AI266" t="n">
        <v>7</v>
      </c>
      <c r="AJ266" t="n">
        <v>14</v>
      </c>
      <c r="AK266" t="n">
        <v>14</v>
      </c>
      <c r="AL266" t="n">
        <v>4</v>
      </c>
      <c r="AM266" t="n">
        <v>4</v>
      </c>
      <c r="AN266" t="n">
        <v>1</v>
      </c>
      <c r="AO266" t="n">
        <v>1</v>
      </c>
      <c r="AP266" t="inlineStr">
        <is>
          <t>No</t>
        </is>
      </c>
      <c r="AQ266" t="inlineStr">
        <is>
          <t>Yes</t>
        </is>
      </c>
      <c r="AR266">
        <f>HYPERLINK("http://catalog.hathitrust.org/Record/002554480","HathiTrust Record")</f>
        <v/>
      </c>
      <c r="AS266">
        <f>HYPERLINK("https://creighton-primo.hosted.exlibrisgroup.com/primo-explore/search?tab=default_tab&amp;search_scope=EVERYTHING&amp;vid=01CRU&amp;lang=en_US&amp;offset=0&amp;query=any,contains,991001947449702656","Catalog Record")</f>
        <v/>
      </c>
      <c r="AT266">
        <f>HYPERLINK("http://www.worldcat.org/oclc/24627051","WorldCat Record")</f>
        <v/>
      </c>
      <c r="AU266" t="inlineStr">
        <is>
          <t>836917922:eng</t>
        </is>
      </c>
      <c r="AV266" t="inlineStr">
        <is>
          <t>24627051</t>
        </is>
      </c>
      <c r="AW266" t="inlineStr">
        <is>
          <t>991001947449702656</t>
        </is>
      </c>
      <c r="AX266" t="inlineStr">
        <is>
          <t>991001947449702656</t>
        </is>
      </c>
      <c r="AY266" t="inlineStr">
        <is>
          <t>2259854520002656</t>
        </is>
      </c>
      <c r="AZ266" t="inlineStr">
        <is>
          <t>BOOK</t>
        </is>
      </c>
      <c r="BB266" t="inlineStr">
        <is>
          <t>9780803941601</t>
        </is>
      </c>
      <c r="BC266" t="inlineStr">
        <is>
          <t>32285001402121</t>
        </is>
      </c>
      <c r="BD266" t="inlineStr">
        <is>
          <t>893316195</t>
        </is>
      </c>
    </row>
    <row r="267">
      <c r="A267" t="inlineStr">
        <is>
          <t>No</t>
        </is>
      </c>
      <c r="B267" t="inlineStr">
        <is>
          <t>HM136 .L525 1998</t>
        </is>
      </c>
      <c r="C267" t="inlineStr">
        <is>
          <t>0                      HM 0136000L  525         1998</t>
        </is>
      </c>
      <c r="D267" t="inlineStr">
        <is>
          <t>The limits of social cohesion : conflict and mediation in pluralist societies : a report of the Bertelsmann Foundation to the Club of Rome / edited by Peter L. Berger.</t>
        </is>
      </c>
      <c r="F267" t="inlineStr">
        <is>
          <t>No</t>
        </is>
      </c>
      <c r="G267" t="inlineStr">
        <is>
          <t>1</t>
        </is>
      </c>
      <c r="H267" t="inlineStr">
        <is>
          <t>No</t>
        </is>
      </c>
      <c r="I267" t="inlineStr">
        <is>
          <t>No</t>
        </is>
      </c>
      <c r="J267" t="inlineStr">
        <is>
          <t>0</t>
        </is>
      </c>
      <c r="L267" t="inlineStr">
        <is>
          <t>Boulder, Colo. : Westview Press, 1998.</t>
        </is>
      </c>
      <c r="M267" t="inlineStr">
        <is>
          <t>1998</t>
        </is>
      </c>
      <c r="O267" t="inlineStr">
        <is>
          <t>eng</t>
        </is>
      </c>
      <c r="P267" t="inlineStr">
        <is>
          <t>cou</t>
        </is>
      </c>
      <c r="R267" t="inlineStr">
        <is>
          <t xml:space="preserve">HM </t>
        </is>
      </c>
      <c r="S267" t="n">
        <v>4</v>
      </c>
      <c r="T267" t="n">
        <v>4</v>
      </c>
      <c r="U267" t="inlineStr">
        <is>
          <t>1998-06-16</t>
        </is>
      </c>
      <c r="V267" t="inlineStr">
        <is>
          <t>1998-06-16</t>
        </is>
      </c>
      <c r="W267" t="inlineStr">
        <is>
          <t>1998-01-09</t>
        </is>
      </c>
      <c r="X267" t="inlineStr">
        <is>
          <t>1998-01-09</t>
        </is>
      </c>
      <c r="Y267" t="n">
        <v>298</v>
      </c>
      <c r="Z267" t="n">
        <v>224</v>
      </c>
      <c r="AA267" t="n">
        <v>241</v>
      </c>
      <c r="AB267" t="n">
        <v>2</v>
      </c>
      <c r="AC267" t="n">
        <v>2</v>
      </c>
      <c r="AD267" t="n">
        <v>12</v>
      </c>
      <c r="AE267" t="n">
        <v>12</v>
      </c>
      <c r="AF267" t="n">
        <v>2</v>
      </c>
      <c r="AG267" t="n">
        <v>2</v>
      </c>
      <c r="AH267" t="n">
        <v>5</v>
      </c>
      <c r="AI267" t="n">
        <v>5</v>
      </c>
      <c r="AJ267" t="n">
        <v>7</v>
      </c>
      <c r="AK267" t="n">
        <v>7</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HYPERLINK("https://creighton-primo.hosted.exlibrisgroup.com/primo-explore/search?tab=default_tab&amp;search_scope=EVERYTHING&amp;vid=01CRU&amp;lang=en_US&amp;offset=0&amp;query=any,contains,991002819879702656","Catalog Record")</f>
        <v/>
      </c>
      <c r="AT267">
        <f>HYPERLINK("http://www.worldcat.org/oclc/37044057","WorldCat Record")</f>
        <v/>
      </c>
      <c r="AU267" t="inlineStr">
        <is>
          <t>892029558:eng</t>
        </is>
      </c>
      <c r="AV267" t="inlineStr">
        <is>
          <t>37044057</t>
        </is>
      </c>
      <c r="AW267" t="inlineStr">
        <is>
          <t>991002819879702656</t>
        </is>
      </c>
      <c r="AX267" t="inlineStr">
        <is>
          <t>991002819879702656</t>
        </is>
      </c>
      <c r="AY267" t="inlineStr">
        <is>
          <t>2255290880002656</t>
        </is>
      </c>
      <c r="AZ267" t="inlineStr">
        <is>
          <t>BOOK</t>
        </is>
      </c>
      <c r="BB267" t="inlineStr">
        <is>
          <t>9780813334011</t>
        </is>
      </c>
      <c r="BC267" t="inlineStr">
        <is>
          <t>32285003302824</t>
        </is>
      </c>
      <c r="BD267" t="inlineStr">
        <is>
          <t>893710712</t>
        </is>
      </c>
    </row>
    <row r="268">
      <c r="A268" t="inlineStr">
        <is>
          <t>No</t>
        </is>
      </c>
      <c r="B268" t="inlineStr">
        <is>
          <t>HM136 .L528 1991</t>
        </is>
      </c>
      <c r="C268" t="inlineStr">
        <is>
          <t>0                      HM 0136000L  528         1991</t>
        </is>
      </c>
      <c r="D268" t="inlineStr">
        <is>
          <t>Women, men, and power / Hilary M. Lips.</t>
        </is>
      </c>
      <c r="F268" t="inlineStr">
        <is>
          <t>No</t>
        </is>
      </c>
      <c r="G268" t="inlineStr">
        <is>
          <t>1</t>
        </is>
      </c>
      <c r="H268" t="inlineStr">
        <is>
          <t>No</t>
        </is>
      </c>
      <c r="I268" t="inlineStr">
        <is>
          <t>No</t>
        </is>
      </c>
      <c r="J268" t="inlineStr">
        <is>
          <t>0</t>
        </is>
      </c>
      <c r="K268" t="inlineStr">
        <is>
          <t>Lips, Hilary M.</t>
        </is>
      </c>
      <c r="L268" t="inlineStr">
        <is>
          <t>Mountain View, Calif. : Mayfield Pub., c1991.</t>
        </is>
      </c>
      <c r="M268" t="inlineStr">
        <is>
          <t>1991</t>
        </is>
      </c>
      <c r="O268" t="inlineStr">
        <is>
          <t>eng</t>
        </is>
      </c>
      <c r="P268" t="inlineStr">
        <is>
          <t>cau</t>
        </is>
      </c>
      <c r="R268" t="inlineStr">
        <is>
          <t xml:space="preserve">HM </t>
        </is>
      </c>
      <c r="S268" t="n">
        <v>4</v>
      </c>
      <c r="T268" t="n">
        <v>4</v>
      </c>
      <c r="U268" t="inlineStr">
        <is>
          <t>2007-09-28</t>
        </is>
      </c>
      <c r="V268" t="inlineStr">
        <is>
          <t>2007-09-28</t>
        </is>
      </c>
      <c r="W268" t="inlineStr">
        <is>
          <t>1992-08-12</t>
        </is>
      </c>
      <c r="X268" t="inlineStr">
        <is>
          <t>1992-08-12</t>
        </is>
      </c>
      <c r="Y268" t="n">
        <v>283</v>
      </c>
      <c r="Z268" t="n">
        <v>191</v>
      </c>
      <c r="AA268" t="n">
        <v>193</v>
      </c>
      <c r="AB268" t="n">
        <v>2</v>
      </c>
      <c r="AC268" t="n">
        <v>2</v>
      </c>
      <c r="AD268" t="n">
        <v>9</v>
      </c>
      <c r="AE268" t="n">
        <v>9</v>
      </c>
      <c r="AF268" t="n">
        <v>3</v>
      </c>
      <c r="AG268" t="n">
        <v>3</v>
      </c>
      <c r="AH268" t="n">
        <v>2</v>
      </c>
      <c r="AI268" t="n">
        <v>2</v>
      </c>
      <c r="AJ268" t="n">
        <v>7</v>
      </c>
      <c r="AK268" t="n">
        <v>7</v>
      </c>
      <c r="AL268" t="n">
        <v>1</v>
      </c>
      <c r="AM268" t="n">
        <v>1</v>
      </c>
      <c r="AN268" t="n">
        <v>0</v>
      </c>
      <c r="AO268" t="n">
        <v>0</v>
      </c>
      <c r="AP268" t="inlineStr">
        <is>
          <t>No</t>
        </is>
      </c>
      <c r="AQ268" t="inlineStr">
        <is>
          <t>Yes</t>
        </is>
      </c>
      <c r="AR268">
        <f>HYPERLINK("http://catalog.hathitrust.org/Record/003569742","HathiTrust Record")</f>
        <v/>
      </c>
      <c r="AS268">
        <f>HYPERLINK("https://creighton-primo.hosted.exlibrisgroup.com/primo-explore/search?tab=default_tab&amp;search_scope=EVERYTHING&amp;vid=01CRU&amp;lang=en_US&amp;offset=0&amp;query=any,contains,991001736429702656","Catalog Record")</f>
        <v/>
      </c>
      <c r="AT268">
        <f>HYPERLINK("http://www.worldcat.org/oclc/21972758","WorldCat Record")</f>
        <v/>
      </c>
      <c r="AU268" t="inlineStr">
        <is>
          <t>23266728:eng</t>
        </is>
      </c>
      <c r="AV268" t="inlineStr">
        <is>
          <t>21972758</t>
        </is>
      </c>
      <c r="AW268" t="inlineStr">
        <is>
          <t>991001736429702656</t>
        </is>
      </c>
      <c r="AX268" t="inlineStr">
        <is>
          <t>991001736429702656</t>
        </is>
      </c>
      <c r="AY268" t="inlineStr">
        <is>
          <t>2268273400002656</t>
        </is>
      </c>
      <c r="AZ268" t="inlineStr">
        <is>
          <t>BOOK</t>
        </is>
      </c>
      <c r="BB268" t="inlineStr">
        <is>
          <t>9780874849165</t>
        </is>
      </c>
      <c r="BC268" t="inlineStr">
        <is>
          <t>32285001197697</t>
        </is>
      </c>
      <c r="BD268" t="inlineStr">
        <is>
          <t>893891792</t>
        </is>
      </c>
    </row>
    <row r="269">
      <c r="A269" t="inlineStr">
        <is>
          <t>No</t>
        </is>
      </c>
      <c r="B269" t="inlineStr">
        <is>
          <t>HM136 .L84</t>
        </is>
      </c>
      <c r="C269" t="inlineStr">
        <is>
          <t>0                      HM 0136000L  84</t>
        </is>
      </c>
      <c r="D269" t="inlineStr">
        <is>
          <t>Individualism.</t>
        </is>
      </c>
      <c r="F269" t="inlineStr">
        <is>
          <t>No</t>
        </is>
      </c>
      <c r="G269" t="inlineStr">
        <is>
          <t>1</t>
        </is>
      </c>
      <c r="H269" t="inlineStr">
        <is>
          <t>No</t>
        </is>
      </c>
      <c r="I269" t="inlineStr">
        <is>
          <t>No</t>
        </is>
      </c>
      <c r="J269" t="inlineStr">
        <is>
          <t>0</t>
        </is>
      </c>
      <c r="K269" t="inlineStr">
        <is>
          <t>Lukes, Steven.</t>
        </is>
      </c>
      <c r="L269" t="inlineStr">
        <is>
          <t>New York, Harper &amp; Row [1973]</t>
        </is>
      </c>
      <c r="M269" t="inlineStr">
        <is>
          <t>1973</t>
        </is>
      </c>
      <c r="O269" t="inlineStr">
        <is>
          <t>eng</t>
        </is>
      </c>
      <c r="P269" t="inlineStr">
        <is>
          <t>nyu</t>
        </is>
      </c>
      <c r="Q269" t="inlineStr">
        <is>
          <t>Key concepts in the social sciences</t>
        </is>
      </c>
      <c r="R269" t="inlineStr">
        <is>
          <t xml:space="preserve">HM </t>
        </is>
      </c>
      <c r="S269" t="n">
        <v>3</v>
      </c>
      <c r="T269" t="n">
        <v>3</v>
      </c>
      <c r="U269" t="inlineStr">
        <is>
          <t>2000-11-26</t>
        </is>
      </c>
      <c r="V269" t="inlineStr">
        <is>
          <t>2000-11-26</t>
        </is>
      </c>
      <c r="W269" t="inlineStr">
        <is>
          <t>1997-07-30</t>
        </is>
      </c>
      <c r="X269" t="inlineStr">
        <is>
          <t>1997-07-30</t>
        </is>
      </c>
      <c r="Y269" t="n">
        <v>255</v>
      </c>
      <c r="Z269" t="n">
        <v>214</v>
      </c>
      <c r="AA269" t="n">
        <v>394</v>
      </c>
      <c r="AB269" t="n">
        <v>1</v>
      </c>
      <c r="AC269" t="n">
        <v>1</v>
      </c>
      <c r="AD269" t="n">
        <v>7</v>
      </c>
      <c r="AE269" t="n">
        <v>16</v>
      </c>
      <c r="AF269" t="n">
        <v>3</v>
      </c>
      <c r="AG269" t="n">
        <v>5</v>
      </c>
      <c r="AH269" t="n">
        <v>2</v>
      </c>
      <c r="AI269" t="n">
        <v>6</v>
      </c>
      <c r="AJ269" t="n">
        <v>4</v>
      </c>
      <c r="AK269" t="n">
        <v>12</v>
      </c>
      <c r="AL269" t="n">
        <v>0</v>
      </c>
      <c r="AM269" t="n">
        <v>0</v>
      </c>
      <c r="AN269" t="n">
        <v>0</v>
      </c>
      <c r="AO269" t="n">
        <v>0</v>
      </c>
      <c r="AP269" t="inlineStr">
        <is>
          <t>No</t>
        </is>
      </c>
      <c r="AQ269" t="inlineStr">
        <is>
          <t>Yes</t>
        </is>
      </c>
      <c r="AR269">
        <f>HYPERLINK("http://catalog.hathitrust.org/Record/007136039","HathiTrust Record")</f>
        <v/>
      </c>
      <c r="AS269">
        <f>HYPERLINK("https://creighton-primo.hosted.exlibrisgroup.com/primo-explore/search?tab=default_tab&amp;search_scope=EVERYTHING&amp;vid=01CRU&amp;lang=en_US&amp;offset=0&amp;query=any,contains,991003164429702656","Catalog Record")</f>
        <v/>
      </c>
      <c r="AT269">
        <f>HYPERLINK("http://www.worldcat.org/oclc/702805","WorldCat Record")</f>
        <v/>
      </c>
      <c r="AU269" t="inlineStr">
        <is>
          <t>1610000:eng</t>
        </is>
      </c>
      <c r="AV269" t="inlineStr">
        <is>
          <t>702805</t>
        </is>
      </c>
      <c r="AW269" t="inlineStr">
        <is>
          <t>991003164429702656</t>
        </is>
      </c>
      <c r="AX269" t="inlineStr">
        <is>
          <t>991003164429702656</t>
        </is>
      </c>
      <c r="AY269" t="inlineStr">
        <is>
          <t>2258187600002656</t>
        </is>
      </c>
      <c r="AZ269" t="inlineStr">
        <is>
          <t>BOOK</t>
        </is>
      </c>
      <c r="BC269" t="inlineStr">
        <is>
          <t>32285003016416</t>
        </is>
      </c>
      <c r="BD269" t="inlineStr">
        <is>
          <t>893317700</t>
        </is>
      </c>
    </row>
    <row r="270">
      <c r="A270" t="inlineStr">
        <is>
          <t>No</t>
        </is>
      </c>
      <c r="B270" t="inlineStr">
        <is>
          <t>HM136 .M48</t>
        </is>
      </c>
      <c r="C270" t="inlineStr">
        <is>
          <t>0                      HM 0136000M  48</t>
        </is>
      </c>
      <c r="D270" t="inlineStr">
        <is>
          <t>Individualism; personal achievement and the open society / by David L. Miller.</t>
        </is>
      </c>
      <c r="F270" t="inlineStr">
        <is>
          <t>No</t>
        </is>
      </c>
      <c r="G270" t="inlineStr">
        <is>
          <t>1</t>
        </is>
      </c>
      <c r="H270" t="inlineStr">
        <is>
          <t>No</t>
        </is>
      </c>
      <c r="I270" t="inlineStr">
        <is>
          <t>No</t>
        </is>
      </c>
      <c r="J270" t="inlineStr">
        <is>
          <t>0</t>
        </is>
      </c>
      <c r="K270" t="inlineStr">
        <is>
          <t>Miller, David L., 1903-1986.</t>
        </is>
      </c>
      <c r="M270" t="inlineStr">
        <is>
          <t>1967</t>
        </is>
      </c>
      <c r="O270" t="inlineStr">
        <is>
          <t>eng</t>
        </is>
      </c>
      <c r="P270" t="inlineStr">
        <is>
          <t>txu</t>
        </is>
      </c>
      <c r="R270" t="inlineStr">
        <is>
          <t xml:space="preserve">HM </t>
        </is>
      </c>
      <c r="S270" t="n">
        <v>4</v>
      </c>
      <c r="T270" t="n">
        <v>4</v>
      </c>
      <c r="U270" t="inlineStr">
        <is>
          <t>2000-11-26</t>
        </is>
      </c>
      <c r="V270" t="inlineStr">
        <is>
          <t>2000-11-26</t>
        </is>
      </c>
      <c r="W270" t="inlineStr">
        <is>
          <t>1997-07-30</t>
        </is>
      </c>
      <c r="X270" t="inlineStr">
        <is>
          <t>1997-07-30</t>
        </is>
      </c>
      <c r="Y270" t="n">
        <v>393</v>
      </c>
      <c r="Z270" t="n">
        <v>333</v>
      </c>
      <c r="AA270" t="n">
        <v>335</v>
      </c>
      <c r="AB270" t="n">
        <v>2</v>
      </c>
      <c r="AC270" t="n">
        <v>2</v>
      </c>
      <c r="AD270" t="n">
        <v>16</v>
      </c>
      <c r="AE270" t="n">
        <v>17</v>
      </c>
      <c r="AF270" t="n">
        <v>7</v>
      </c>
      <c r="AG270" t="n">
        <v>8</v>
      </c>
      <c r="AH270" t="n">
        <v>3</v>
      </c>
      <c r="AI270" t="n">
        <v>3</v>
      </c>
      <c r="AJ270" t="n">
        <v>10</v>
      </c>
      <c r="AK270" t="n">
        <v>10</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HYPERLINK("https://creighton-primo.hosted.exlibrisgroup.com/primo-explore/search?tab=default_tab&amp;search_scope=EVERYTHING&amp;vid=01CRU&amp;lang=en_US&amp;offset=0&amp;query=any,contains,991003194169702656","Catalog Record")</f>
        <v/>
      </c>
      <c r="AT270">
        <f>HYPERLINK("http://www.worldcat.org/oclc/719106","WorldCat Record")</f>
        <v/>
      </c>
      <c r="AU270" t="inlineStr">
        <is>
          <t>373397798:eng</t>
        </is>
      </c>
      <c r="AV270" t="inlineStr">
        <is>
          <t>719106</t>
        </is>
      </c>
      <c r="AW270" t="inlineStr">
        <is>
          <t>991003194169702656</t>
        </is>
      </c>
      <c r="AX270" t="inlineStr">
        <is>
          <t>991003194169702656</t>
        </is>
      </c>
      <c r="AY270" t="inlineStr">
        <is>
          <t>2257875030002656</t>
        </is>
      </c>
      <c r="AZ270" t="inlineStr">
        <is>
          <t>BOOK</t>
        </is>
      </c>
      <c r="BC270" t="inlineStr">
        <is>
          <t>32285003016432</t>
        </is>
      </c>
      <c r="BD270" t="inlineStr">
        <is>
          <t>893809860</t>
        </is>
      </c>
    </row>
    <row r="271">
      <c r="A271" t="inlineStr">
        <is>
          <t>No</t>
        </is>
      </c>
      <c r="B271" t="inlineStr">
        <is>
          <t>HM136 .M486 1987</t>
        </is>
      </c>
      <c r="C271" t="inlineStr">
        <is>
          <t>0                      HM 0136000M  486         1987</t>
        </is>
      </c>
      <c r="D271" t="inlineStr">
        <is>
          <t>Domination and power / Peter Miller.</t>
        </is>
      </c>
      <c r="F271" t="inlineStr">
        <is>
          <t>No</t>
        </is>
      </c>
      <c r="G271" t="inlineStr">
        <is>
          <t>1</t>
        </is>
      </c>
      <c r="H271" t="inlineStr">
        <is>
          <t>No</t>
        </is>
      </c>
      <c r="I271" t="inlineStr">
        <is>
          <t>No</t>
        </is>
      </c>
      <c r="J271" t="inlineStr">
        <is>
          <t>0</t>
        </is>
      </c>
      <c r="K271" t="inlineStr">
        <is>
          <t>Miller, Peter, 1954-</t>
        </is>
      </c>
      <c r="L271" t="inlineStr">
        <is>
          <t>London ; New York : Routledge &amp; Kegan Paul, 1987.</t>
        </is>
      </c>
      <c r="M271" t="inlineStr">
        <is>
          <t>1987</t>
        </is>
      </c>
      <c r="O271" t="inlineStr">
        <is>
          <t>eng</t>
        </is>
      </c>
      <c r="P271" t="inlineStr">
        <is>
          <t>enk</t>
        </is>
      </c>
      <c r="R271" t="inlineStr">
        <is>
          <t xml:space="preserve">HM </t>
        </is>
      </c>
      <c r="S271" t="n">
        <v>5</v>
      </c>
      <c r="T271" t="n">
        <v>5</v>
      </c>
      <c r="U271" t="inlineStr">
        <is>
          <t>2009-04-09</t>
        </is>
      </c>
      <c r="V271" t="inlineStr">
        <is>
          <t>2009-04-09</t>
        </is>
      </c>
      <c r="W271" t="inlineStr">
        <is>
          <t>1992-08-28</t>
        </is>
      </c>
      <c r="X271" t="inlineStr">
        <is>
          <t>1992-08-28</t>
        </is>
      </c>
      <c r="Y271" t="n">
        <v>335</v>
      </c>
      <c r="Z271" t="n">
        <v>204</v>
      </c>
      <c r="AA271" t="n">
        <v>231</v>
      </c>
      <c r="AB271" t="n">
        <v>3</v>
      </c>
      <c r="AC271" t="n">
        <v>3</v>
      </c>
      <c r="AD271" t="n">
        <v>14</v>
      </c>
      <c r="AE271" t="n">
        <v>14</v>
      </c>
      <c r="AF271" t="n">
        <v>2</v>
      </c>
      <c r="AG271" t="n">
        <v>2</v>
      </c>
      <c r="AH271" t="n">
        <v>6</v>
      </c>
      <c r="AI271" t="n">
        <v>6</v>
      </c>
      <c r="AJ271" t="n">
        <v>6</v>
      </c>
      <c r="AK271" t="n">
        <v>6</v>
      </c>
      <c r="AL271" t="n">
        <v>2</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HYPERLINK("https://creighton-primo.hosted.exlibrisgroup.com/primo-explore/search?tab=default_tab&amp;search_scope=EVERYTHING&amp;vid=01CRU&amp;lang=en_US&amp;offset=0&amp;query=any,contains,991001045799702656","Catalog Record")</f>
        <v/>
      </c>
      <c r="AT271">
        <f>HYPERLINK("http://www.worldcat.org/oclc/15628262","WorldCat Record")</f>
        <v/>
      </c>
      <c r="AU271" t="inlineStr">
        <is>
          <t>138590644:eng</t>
        </is>
      </c>
      <c r="AV271" t="inlineStr">
        <is>
          <t>15628262</t>
        </is>
      </c>
      <c r="AW271" t="inlineStr">
        <is>
          <t>991001045799702656</t>
        </is>
      </c>
      <c r="AX271" t="inlineStr">
        <is>
          <t>991001045799702656</t>
        </is>
      </c>
      <c r="AY271" t="inlineStr">
        <is>
          <t>2267037490002656</t>
        </is>
      </c>
      <c r="AZ271" t="inlineStr">
        <is>
          <t>BOOK</t>
        </is>
      </c>
      <c r="BB271" t="inlineStr">
        <is>
          <t>9780710206244</t>
        </is>
      </c>
      <c r="BC271" t="inlineStr">
        <is>
          <t>32285001266658</t>
        </is>
      </c>
      <c r="BD271" t="inlineStr">
        <is>
          <t>893346196</t>
        </is>
      </c>
    </row>
    <row r="272">
      <c r="A272" t="inlineStr">
        <is>
          <t>No</t>
        </is>
      </c>
      <c r="B272" t="inlineStr">
        <is>
          <t>HM136 .M65 1996</t>
        </is>
      </c>
      <c r="C272" t="inlineStr">
        <is>
          <t>0                      HM 0136000M  65          1996</t>
        </is>
      </c>
      <c r="D272" t="inlineStr">
        <is>
          <t>Handbook of conflict resolution : the analytical problem-solving approach / Christopher Mitchell and Michael Banks.</t>
        </is>
      </c>
      <c r="F272" t="inlineStr">
        <is>
          <t>No</t>
        </is>
      </c>
      <c r="G272" t="inlineStr">
        <is>
          <t>1</t>
        </is>
      </c>
      <c r="H272" t="inlineStr">
        <is>
          <t>No</t>
        </is>
      </c>
      <c r="I272" t="inlineStr">
        <is>
          <t>No</t>
        </is>
      </c>
      <c r="J272" t="inlineStr">
        <is>
          <t>0</t>
        </is>
      </c>
      <c r="K272" t="inlineStr">
        <is>
          <t>Mitchell, C. R. (Christopher Roger), 1934-</t>
        </is>
      </c>
      <c r="L272" t="inlineStr">
        <is>
          <t>London ; New York : Pinter, 1996.</t>
        </is>
      </c>
      <c r="M272" t="inlineStr">
        <is>
          <t>1996</t>
        </is>
      </c>
      <c r="O272" t="inlineStr">
        <is>
          <t>eng</t>
        </is>
      </c>
      <c r="P272" t="inlineStr">
        <is>
          <t>enk</t>
        </is>
      </c>
      <c r="R272" t="inlineStr">
        <is>
          <t xml:space="preserve">HM </t>
        </is>
      </c>
      <c r="S272" t="n">
        <v>9</v>
      </c>
      <c r="T272" t="n">
        <v>9</v>
      </c>
      <c r="U272" t="inlineStr">
        <is>
          <t>2000-01-23</t>
        </is>
      </c>
      <c r="V272" t="inlineStr">
        <is>
          <t>2000-01-23</t>
        </is>
      </c>
      <c r="W272" t="inlineStr">
        <is>
          <t>1999-04-27</t>
        </is>
      </c>
      <c r="X272" t="inlineStr">
        <is>
          <t>1999-04-27</t>
        </is>
      </c>
      <c r="Y272" t="n">
        <v>271</v>
      </c>
      <c r="Z272" t="n">
        <v>158</v>
      </c>
      <c r="AA272" t="n">
        <v>162</v>
      </c>
      <c r="AB272" t="n">
        <v>1</v>
      </c>
      <c r="AC272" t="n">
        <v>1</v>
      </c>
      <c r="AD272" t="n">
        <v>14</v>
      </c>
      <c r="AE272" t="n">
        <v>14</v>
      </c>
      <c r="AF272" t="n">
        <v>2</v>
      </c>
      <c r="AG272" t="n">
        <v>2</v>
      </c>
      <c r="AH272" t="n">
        <v>6</v>
      </c>
      <c r="AI272" t="n">
        <v>6</v>
      </c>
      <c r="AJ272" t="n">
        <v>7</v>
      </c>
      <c r="AK272" t="n">
        <v>7</v>
      </c>
      <c r="AL272" t="n">
        <v>0</v>
      </c>
      <c r="AM272" t="n">
        <v>0</v>
      </c>
      <c r="AN272" t="n">
        <v>3</v>
      </c>
      <c r="AO272" t="n">
        <v>3</v>
      </c>
      <c r="AP272" t="inlineStr">
        <is>
          <t>No</t>
        </is>
      </c>
      <c r="AQ272" t="inlineStr">
        <is>
          <t>Yes</t>
        </is>
      </c>
      <c r="AR272">
        <f>HYPERLINK("http://catalog.hathitrust.org/Record/003092853","HathiTrust Record")</f>
        <v/>
      </c>
      <c r="AS272">
        <f>HYPERLINK("https://creighton-primo.hosted.exlibrisgroup.com/primo-explore/search?tab=default_tab&amp;search_scope=EVERYTHING&amp;vid=01CRU&amp;lang=en_US&amp;offset=0&amp;query=any,contains,991002598619702656","Catalog Record")</f>
        <v/>
      </c>
      <c r="AT272">
        <f>HYPERLINK("http://www.worldcat.org/oclc/34046540","WorldCat Record")</f>
        <v/>
      </c>
      <c r="AU272" t="inlineStr">
        <is>
          <t>39893355:eng</t>
        </is>
      </c>
      <c r="AV272" t="inlineStr">
        <is>
          <t>34046540</t>
        </is>
      </c>
      <c r="AW272" t="inlineStr">
        <is>
          <t>991002598619702656</t>
        </is>
      </c>
      <c r="AX272" t="inlineStr">
        <is>
          <t>991002598619702656</t>
        </is>
      </c>
      <c r="AY272" t="inlineStr">
        <is>
          <t>2263725050002656</t>
        </is>
      </c>
      <c r="AZ272" t="inlineStr">
        <is>
          <t>BOOK</t>
        </is>
      </c>
      <c r="BB272" t="inlineStr">
        <is>
          <t>9781855672772</t>
        </is>
      </c>
      <c r="BC272" t="inlineStr">
        <is>
          <t>32285003556460</t>
        </is>
      </c>
      <c r="BD272" t="inlineStr">
        <is>
          <t>893530215</t>
        </is>
      </c>
    </row>
    <row r="273">
      <c r="A273" t="inlineStr">
        <is>
          <t>No</t>
        </is>
      </c>
      <c r="B273" t="inlineStr">
        <is>
          <t>HM136 .P63 1995</t>
        </is>
      </c>
      <c r="C273" t="inlineStr">
        <is>
          <t>0                      HM 0136000P  63          1995</t>
        </is>
      </c>
      <c r="D273" t="inlineStr">
        <is>
          <t>Beyond individualism / Michael J. Piore.</t>
        </is>
      </c>
      <c r="F273" t="inlineStr">
        <is>
          <t>No</t>
        </is>
      </c>
      <c r="G273" t="inlineStr">
        <is>
          <t>1</t>
        </is>
      </c>
      <c r="H273" t="inlineStr">
        <is>
          <t>No</t>
        </is>
      </c>
      <c r="I273" t="inlineStr">
        <is>
          <t>No</t>
        </is>
      </c>
      <c r="J273" t="inlineStr">
        <is>
          <t>0</t>
        </is>
      </c>
      <c r="K273" t="inlineStr">
        <is>
          <t>Piore, Michael J.</t>
        </is>
      </c>
      <c r="L273" t="inlineStr">
        <is>
          <t>Cambridge, Mass. : Harvard University Press, 1995.</t>
        </is>
      </c>
      <c r="M273" t="inlineStr">
        <is>
          <t>1995</t>
        </is>
      </c>
      <c r="O273" t="inlineStr">
        <is>
          <t>eng</t>
        </is>
      </c>
      <c r="P273" t="inlineStr">
        <is>
          <t>mau</t>
        </is>
      </c>
      <c r="R273" t="inlineStr">
        <is>
          <t xml:space="preserve">HM </t>
        </is>
      </c>
      <c r="S273" t="n">
        <v>7</v>
      </c>
      <c r="T273" t="n">
        <v>7</v>
      </c>
      <c r="U273" t="inlineStr">
        <is>
          <t>1999-06-19</t>
        </is>
      </c>
      <c r="V273" t="inlineStr">
        <is>
          <t>1999-06-19</t>
        </is>
      </c>
      <c r="W273" t="inlineStr">
        <is>
          <t>1995-10-11</t>
        </is>
      </c>
      <c r="X273" t="inlineStr">
        <is>
          <t>1995-10-11</t>
        </is>
      </c>
      <c r="Y273" t="n">
        <v>478</v>
      </c>
      <c r="Z273" t="n">
        <v>366</v>
      </c>
      <c r="AA273" t="n">
        <v>371</v>
      </c>
      <c r="AB273" t="n">
        <v>2</v>
      </c>
      <c r="AC273" t="n">
        <v>2</v>
      </c>
      <c r="AD273" t="n">
        <v>23</v>
      </c>
      <c r="AE273" t="n">
        <v>23</v>
      </c>
      <c r="AF273" t="n">
        <v>6</v>
      </c>
      <c r="AG273" t="n">
        <v>6</v>
      </c>
      <c r="AH273" t="n">
        <v>6</v>
      </c>
      <c r="AI273" t="n">
        <v>6</v>
      </c>
      <c r="AJ273" t="n">
        <v>13</v>
      </c>
      <c r="AK273" t="n">
        <v>13</v>
      </c>
      <c r="AL273" t="n">
        <v>1</v>
      </c>
      <c r="AM273" t="n">
        <v>1</v>
      </c>
      <c r="AN273" t="n">
        <v>1</v>
      </c>
      <c r="AO273" t="n">
        <v>1</v>
      </c>
      <c r="AP273" t="inlineStr">
        <is>
          <t>No</t>
        </is>
      </c>
      <c r="AQ273" t="inlineStr">
        <is>
          <t>No</t>
        </is>
      </c>
      <c r="AS273">
        <f>HYPERLINK("https://creighton-primo.hosted.exlibrisgroup.com/primo-explore/search?tab=default_tab&amp;search_scope=EVERYTHING&amp;vid=01CRU&amp;lang=en_US&amp;offset=0&amp;query=any,contains,991002394049702656","Catalog Record")</f>
        <v/>
      </c>
      <c r="AT273">
        <f>HYPERLINK("http://www.worldcat.org/oclc/31077466","WorldCat Record")</f>
        <v/>
      </c>
      <c r="AU273" t="inlineStr">
        <is>
          <t>33037586:eng</t>
        </is>
      </c>
      <c r="AV273" t="inlineStr">
        <is>
          <t>31077466</t>
        </is>
      </c>
      <c r="AW273" t="inlineStr">
        <is>
          <t>991002394049702656</t>
        </is>
      </c>
      <c r="AX273" t="inlineStr">
        <is>
          <t>991002394049702656</t>
        </is>
      </c>
      <c r="AY273" t="inlineStr">
        <is>
          <t>2272110200002656</t>
        </is>
      </c>
      <c r="AZ273" t="inlineStr">
        <is>
          <t>BOOK</t>
        </is>
      </c>
      <c r="BB273" t="inlineStr">
        <is>
          <t>9780674068971</t>
        </is>
      </c>
      <c r="BC273" t="inlineStr">
        <is>
          <t>32285001415800</t>
        </is>
      </c>
      <c r="BD273" t="inlineStr">
        <is>
          <t>893721438</t>
        </is>
      </c>
    </row>
    <row r="274">
      <c r="A274" t="inlineStr">
        <is>
          <t>No</t>
        </is>
      </c>
      <c r="B274" t="inlineStr">
        <is>
          <t>HM141 .A33 1985</t>
        </is>
      </c>
      <c r="C274" t="inlineStr">
        <is>
          <t>0                      HM 0141000A  33          1985</t>
        </is>
      </c>
      <c r="D274" t="inlineStr">
        <is>
          <t>Effective leadership for women and men / Jerome Adams, Janice D. Yoder.</t>
        </is>
      </c>
      <c r="F274" t="inlineStr">
        <is>
          <t>No</t>
        </is>
      </c>
      <c r="G274" t="inlineStr">
        <is>
          <t>1</t>
        </is>
      </c>
      <c r="H274" t="inlineStr">
        <is>
          <t>No</t>
        </is>
      </c>
      <c r="I274" t="inlineStr">
        <is>
          <t>No</t>
        </is>
      </c>
      <c r="J274" t="inlineStr">
        <is>
          <t>0</t>
        </is>
      </c>
      <c r="K274" t="inlineStr">
        <is>
          <t>Adams, Jerome.</t>
        </is>
      </c>
      <c r="L274" t="inlineStr">
        <is>
          <t>Norwood, N.J. : Ablex Pub. Corp., c1985.</t>
        </is>
      </c>
      <c r="M274" t="inlineStr">
        <is>
          <t>1985</t>
        </is>
      </c>
      <c r="O274" t="inlineStr">
        <is>
          <t>eng</t>
        </is>
      </c>
      <c r="P274" t="inlineStr">
        <is>
          <t>nju</t>
        </is>
      </c>
      <c r="R274" t="inlineStr">
        <is>
          <t xml:space="preserve">HM </t>
        </is>
      </c>
      <c r="S274" t="n">
        <v>27</v>
      </c>
      <c r="T274" t="n">
        <v>27</v>
      </c>
      <c r="U274" t="inlineStr">
        <is>
          <t>2002-11-25</t>
        </is>
      </c>
      <c r="V274" t="inlineStr">
        <is>
          <t>2002-11-25</t>
        </is>
      </c>
      <c r="W274" t="inlineStr">
        <is>
          <t>1992-01-09</t>
        </is>
      </c>
      <c r="X274" t="inlineStr">
        <is>
          <t>1992-01-09</t>
        </is>
      </c>
      <c r="Y274" t="n">
        <v>386</v>
      </c>
      <c r="Z274" t="n">
        <v>316</v>
      </c>
      <c r="AA274" t="n">
        <v>322</v>
      </c>
      <c r="AB274" t="n">
        <v>4</v>
      </c>
      <c r="AC274" t="n">
        <v>4</v>
      </c>
      <c r="AD274" t="n">
        <v>16</v>
      </c>
      <c r="AE274" t="n">
        <v>16</v>
      </c>
      <c r="AF274" t="n">
        <v>3</v>
      </c>
      <c r="AG274" t="n">
        <v>3</v>
      </c>
      <c r="AH274" t="n">
        <v>3</v>
      </c>
      <c r="AI274" t="n">
        <v>3</v>
      </c>
      <c r="AJ274" t="n">
        <v>9</v>
      </c>
      <c r="AK274" t="n">
        <v>9</v>
      </c>
      <c r="AL274" t="n">
        <v>3</v>
      </c>
      <c r="AM274" t="n">
        <v>3</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HYPERLINK("https://creighton-primo.hosted.exlibrisgroup.com/primo-explore/search?tab=default_tab&amp;search_scope=EVERYTHING&amp;vid=01CRU&amp;lang=en_US&amp;offset=0&amp;query=any,contains,991000559039702656","Catalog Record")</f>
        <v/>
      </c>
      <c r="AT274">
        <f>HYPERLINK("http://www.worldcat.org/oclc/11574187","WorldCat Record")</f>
        <v/>
      </c>
      <c r="AU274" t="inlineStr">
        <is>
          <t>2867572:eng</t>
        </is>
      </c>
      <c r="AV274" t="inlineStr">
        <is>
          <t>11574187</t>
        </is>
      </c>
      <c r="AW274" t="inlineStr">
        <is>
          <t>991000559039702656</t>
        </is>
      </c>
      <c r="AX274" t="inlineStr">
        <is>
          <t>991000559039702656</t>
        </is>
      </c>
      <c r="AY274" t="inlineStr">
        <is>
          <t>2264931180002656</t>
        </is>
      </c>
      <c r="AZ274" t="inlineStr">
        <is>
          <t>BOOK</t>
        </is>
      </c>
      <c r="BB274" t="inlineStr">
        <is>
          <t>9780893911683</t>
        </is>
      </c>
      <c r="BC274" t="inlineStr">
        <is>
          <t>32285000911742</t>
        </is>
      </c>
      <c r="BD274" t="inlineStr">
        <is>
          <t>893249464</t>
        </is>
      </c>
    </row>
    <row r="275">
      <c r="A275" t="inlineStr">
        <is>
          <t>No</t>
        </is>
      </c>
      <c r="B275" t="inlineStr">
        <is>
          <t>HM141 .B3 1982</t>
        </is>
      </c>
      <c r="C275" t="inlineStr">
        <is>
          <t>0                      HM 0141000B  3           1982</t>
        </is>
      </c>
      <c r="D275" t="inlineStr">
        <is>
          <t>The woman as a leader / by Bernadette L. Baczynski and Ellen Susan Velasco-Thompson.</t>
        </is>
      </c>
      <c r="F275" t="inlineStr">
        <is>
          <t>No</t>
        </is>
      </c>
      <c r="G275" t="inlineStr">
        <is>
          <t>1</t>
        </is>
      </c>
      <c r="H275" t="inlineStr">
        <is>
          <t>No</t>
        </is>
      </c>
      <c r="I275" t="inlineStr">
        <is>
          <t>No</t>
        </is>
      </c>
      <c r="J275" t="inlineStr">
        <is>
          <t>0</t>
        </is>
      </c>
      <c r="K275" t="inlineStr">
        <is>
          <t>Baczynski, Bernadette L.</t>
        </is>
      </c>
      <c r="L275" t="inlineStr">
        <is>
          <t>[New York?] : Training By Design, Inc., c1982.</t>
        </is>
      </c>
      <c r="M275" t="inlineStr">
        <is>
          <t>1982</t>
        </is>
      </c>
      <c r="O275" t="inlineStr">
        <is>
          <t>eng</t>
        </is>
      </c>
      <c r="P275" t="inlineStr">
        <is>
          <t>nyu</t>
        </is>
      </c>
      <c r="R275" t="inlineStr">
        <is>
          <t xml:space="preserve">HM </t>
        </is>
      </c>
      <c r="S275" t="n">
        <v>17</v>
      </c>
      <c r="T275" t="n">
        <v>17</v>
      </c>
      <c r="U275" t="inlineStr">
        <is>
          <t>2006-01-31</t>
        </is>
      </c>
      <c r="V275" t="inlineStr">
        <is>
          <t>2006-01-31</t>
        </is>
      </c>
      <c r="W275" t="inlineStr">
        <is>
          <t>1992-08-28</t>
        </is>
      </c>
      <c r="X275" t="inlineStr">
        <is>
          <t>1992-08-28</t>
        </is>
      </c>
      <c r="Y275" t="n">
        <v>22</v>
      </c>
      <c r="Z275" t="n">
        <v>22</v>
      </c>
      <c r="AA275" t="n">
        <v>22</v>
      </c>
      <c r="AB275" t="n">
        <v>1</v>
      </c>
      <c r="AC275" t="n">
        <v>1</v>
      </c>
      <c r="AD275" t="n">
        <v>0</v>
      </c>
      <c r="AE275" t="n">
        <v>0</v>
      </c>
      <c r="AF275" t="n">
        <v>0</v>
      </c>
      <c r="AG275" t="n">
        <v>0</v>
      </c>
      <c r="AH275" t="n">
        <v>0</v>
      </c>
      <c r="AI275" t="n">
        <v>0</v>
      </c>
      <c r="AJ275" t="n">
        <v>0</v>
      </c>
      <c r="AK275" t="n">
        <v>0</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HYPERLINK("https://creighton-primo.hosted.exlibrisgroup.com/primo-explore/search?tab=default_tab&amp;search_scope=EVERYTHING&amp;vid=01CRU&amp;lang=en_US&amp;offset=0&amp;query=any,contains,991000246769702656","Catalog Record")</f>
        <v/>
      </c>
      <c r="AT275">
        <f>HYPERLINK("http://www.worldcat.org/oclc/9716928","WorldCat Record")</f>
        <v/>
      </c>
      <c r="AU275" t="inlineStr">
        <is>
          <t>43230308:eng</t>
        </is>
      </c>
      <c r="AV275" t="inlineStr">
        <is>
          <t>9716928</t>
        </is>
      </c>
      <c r="AW275" t="inlineStr">
        <is>
          <t>991000246769702656</t>
        </is>
      </c>
      <c r="AX275" t="inlineStr">
        <is>
          <t>991000246769702656</t>
        </is>
      </c>
      <c r="AY275" t="inlineStr">
        <is>
          <t>2268334920002656</t>
        </is>
      </c>
      <c r="AZ275" t="inlineStr">
        <is>
          <t>BOOK</t>
        </is>
      </c>
      <c r="BC275" t="inlineStr">
        <is>
          <t>32285001266708</t>
        </is>
      </c>
      <c r="BD275" t="inlineStr">
        <is>
          <t>893502365</t>
        </is>
      </c>
    </row>
    <row r="276">
      <c r="A276" t="inlineStr">
        <is>
          <t>No</t>
        </is>
      </c>
      <c r="B276" t="inlineStr">
        <is>
          <t>HM141 .B35</t>
        </is>
      </c>
      <c r="C276" t="inlineStr">
        <is>
          <t>0                      HM 0141000B  35</t>
        </is>
      </c>
      <c r="D276" t="inlineStr">
        <is>
          <t>Leadership, psychology, and organizational behavior.</t>
        </is>
      </c>
      <c r="F276" t="inlineStr">
        <is>
          <t>No</t>
        </is>
      </c>
      <c r="G276" t="inlineStr">
        <is>
          <t>1</t>
        </is>
      </c>
      <c r="H276" t="inlineStr">
        <is>
          <t>No</t>
        </is>
      </c>
      <c r="I276" t="inlineStr">
        <is>
          <t>No</t>
        </is>
      </c>
      <c r="J276" t="inlineStr">
        <is>
          <t>0</t>
        </is>
      </c>
      <c r="K276" t="inlineStr">
        <is>
          <t>Bass, Bernard M.</t>
        </is>
      </c>
      <c r="L276" t="inlineStr">
        <is>
          <t>New York, Harper [c1960]</t>
        </is>
      </c>
      <c r="M276" t="inlineStr">
        <is>
          <t>1960</t>
        </is>
      </c>
      <c r="O276" t="inlineStr">
        <is>
          <t>eng</t>
        </is>
      </c>
      <c r="P276" t="inlineStr">
        <is>
          <t>nyu</t>
        </is>
      </c>
      <c r="R276" t="inlineStr">
        <is>
          <t xml:space="preserve">HM </t>
        </is>
      </c>
      <c r="S276" t="n">
        <v>4</v>
      </c>
      <c r="T276" t="n">
        <v>4</v>
      </c>
      <c r="U276" t="inlineStr">
        <is>
          <t>2001-03-01</t>
        </is>
      </c>
      <c r="V276" t="inlineStr">
        <is>
          <t>2001-03-01</t>
        </is>
      </c>
      <c r="W276" t="inlineStr">
        <is>
          <t>1997-07-30</t>
        </is>
      </c>
      <c r="X276" t="inlineStr">
        <is>
          <t>1997-07-30</t>
        </is>
      </c>
      <c r="Y276" t="n">
        <v>662</v>
      </c>
      <c r="Z276" t="n">
        <v>500</v>
      </c>
      <c r="AA276" t="n">
        <v>626</v>
      </c>
      <c r="AB276" t="n">
        <v>6</v>
      </c>
      <c r="AC276" t="n">
        <v>6</v>
      </c>
      <c r="AD276" t="n">
        <v>29</v>
      </c>
      <c r="AE276" t="n">
        <v>37</v>
      </c>
      <c r="AF276" t="n">
        <v>11</v>
      </c>
      <c r="AG276" t="n">
        <v>14</v>
      </c>
      <c r="AH276" t="n">
        <v>5</v>
      </c>
      <c r="AI276" t="n">
        <v>8</v>
      </c>
      <c r="AJ276" t="n">
        <v>14</v>
      </c>
      <c r="AK276" t="n">
        <v>19</v>
      </c>
      <c r="AL276" t="n">
        <v>5</v>
      </c>
      <c r="AM276" t="n">
        <v>5</v>
      </c>
      <c r="AN276" t="n">
        <v>0</v>
      </c>
      <c r="AO276" t="n">
        <v>0</v>
      </c>
      <c r="AP276" t="inlineStr">
        <is>
          <t>No</t>
        </is>
      </c>
      <c r="AQ276" t="inlineStr">
        <is>
          <t>Yes</t>
        </is>
      </c>
      <c r="AR276">
        <f>HYPERLINK("http://catalog.hathitrust.org/Record/001109325","HathiTrust Record")</f>
        <v/>
      </c>
      <c r="AS276">
        <f>HYPERLINK("https://creighton-primo.hosted.exlibrisgroup.com/primo-explore/search?tab=default_tab&amp;search_scope=EVERYTHING&amp;vid=01CRU&amp;lang=en_US&amp;offset=0&amp;query=any,contains,991001543759702656","Catalog Record")</f>
        <v/>
      </c>
      <c r="AT276">
        <f>HYPERLINK("http://www.worldcat.org/oclc/232502","WorldCat Record")</f>
        <v/>
      </c>
      <c r="AU276" t="inlineStr">
        <is>
          <t>500641:eng</t>
        </is>
      </c>
      <c r="AV276" t="inlineStr">
        <is>
          <t>232502</t>
        </is>
      </c>
      <c r="AW276" t="inlineStr">
        <is>
          <t>991001543759702656</t>
        </is>
      </c>
      <c r="AX276" t="inlineStr">
        <is>
          <t>991001543759702656</t>
        </is>
      </c>
      <c r="AY276" t="inlineStr">
        <is>
          <t>2258695800002656</t>
        </is>
      </c>
      <c r="AZ276" t="inlineStr">
        <is>
          <t>BOOK</t>
        </is>
      </c>
      <c r="BC276" t="inlineStr">
        <is>
          <t>32285003016481</t>
        </is>
      </c>
      <c r="BD276" t="inlineStr">
        <is>
          <t>893346585</t>
        </is>
      </c>
    </row>
    <row r="277">
      <c r="A277" t="inlineStr">
        <is>
          <t>No</t>
        </is>
      </c>
      <c r="B277" t="inlineStr">
        <is>
          <t>HM141 .B434 1989</t>
        </is>
      </c>
      <c r="C277" t="inlineStr">
        <is>
          <t>0                      HM 0141000B  434         1989</t>
        </is>
      </c>
      <c r="D277" t="inlineStr">
        <is>
          <t>Why leaders can't lead : the unconscious conspiracy continues / Warren Bennis.</t>
        </is>
      </c>
      <c r="F277" t="inlineStr">
        <is>
          <t>No</t>
        </is>
      </c>
      <c r="G277" t="inlineStr">
        <is>
          <t>1</t>
        </is>
      </c>
      <c r="H277" t="inlineStr">
        <is>
          <t>No</t>
        </is>
      </c>
      <c r="I277" t="inlineStr">
        <is>
          <t>No</t>
        </is>
      </c>
      <c r="J277" t="inlineStr">
        <is>
          <t>0</t>
        </is>
      </c>
      <c r="K277" t="inlineStr">
        <is>
          <t>Bennis, Warren G.</t>
        </is>
      </c>
      <c r="L277" t="inlineStr">
        <is>
          <t>San Francisco : Jossey-Bass Publishers, 1989.</t>
        </is>
      </c>
      <c r="M277" t="inlineStr">
        <is>
          <t>1989</t>
        </is>
      </c>
      <c r="N277" t="inlineStr">
        <is>
          <t>1st ed.</t>
        </is>
      </c>
      <c r="O277" t="inlineStr">
        <is>
          <t>eng</t>
        </is>
      </c>
      <c r="P277" t="inlineStr">
        <is>
          <t>cau</t>
        </is>
      </c>
      <c r="Q277" t="inlineStr">
        <is>
          <t>The Jossey-Bass management series</t>
        </is>
      </c>
      <c r="R277" t="inlineStr">
        <is>
          <t xml:space="preserve">HM </t>
        </is>
      </c>
      <c r="S277" t="n">
        <v>22</v>
      </c>
      <c r="T277" t="n">
        <v>22</v>
      </c>
      <c r="U277" t="inlineStr">
        <is>
          <t>2002-04-23</t>
        </is>
      </c>
      <c r="V277" t="inlineStr">
        <is>
          <t>2002-04-23</t>
        </is>
      </c>
      <c r="W277" t="inlineStr">
        <is>
          <t>1992-09-03</t>
        </is>
      </c>
      <c r="X277" t="inlineStr">
        <is>
          <t>1992-09-03</t>
        </is>
      </c>
      <c r="Y277" t="n">
        <v>1698</v>
      </c>
      <c r="Z277" t="n">
        <v>1431</v>
      </c>
      <c r="AA277" t="n">
        <v>1594</v>
      </c>
      <c r="AB277" t="n">
        <v>12</v>
      </c>
      <c r="AC277" t="n">
        <v>14</v>
      </c>
      <c r="AD277" t="n">
        <v>56</v>
      </c>
      <c r="AE277" t="n">
        <v>59</v>
      </c>
      <c r="AF277" t="n">
        <v>26</v>
      </c>
      <c r="AG277" t="n">
        <v>27</v>
      </c>
      <c r="AH277" t="n">
        <v>10</v>
      </c>
      <c r="AI277" t="n">
        <v>10</v>
      </c>
      <c r="AJ277" t="n">
        <v>23</v>
      </c>
      <c r="AK277" t="n">
        <v>23</v>
      </c>
      <c r="AL277" t="n">
        <v>10</v>
      </c>
      <c r="AM277" t="n">
        <v>12</v>
      </c>
      <c r="AN277" t="n">
        <v>1</v>
      </c>
      <c r="AO277" t="n">
        <v>1</v>
      </c>
      <c r="AP277" t="inlineStr">
        <is>
          <t>No</t>
        </is>
      </c>
      <c r="AQ277" t="inlineStr">
        <is>
          <t>Yes</t>
        </is>
      </c>
      <c r="AR277">
        <f>HYPERLINK("http://catalog.hathitrust.org/Record/001295578","HathiTrust Record")</f>
        <v/>
      </c>
      <c r="AS277">
        <f>HYPERLINK("https://creighton-primo.hosted.exlibrisgroup.com/primo-explore/search?tab=default_tab&amp;search_scope=EVERYTHING&amp;vid=01CRU&amp;lang=en_US&amp;offset=0&amp;query=any,contains,991001423699702656","Catalog Record")</f>
        <v/>
      </c>
      <c r="AT277">
        <f>HYPERLINK("http://www.worldcat.org/oclc/18986385","WorldCat Record")</f>
        <v/>
      </c>
      <c r="AU277" t="inlineStr">
        <is>
          <t>836805731:eng</t>
        </is>
      </c>
      <c r="AV277" t="inlineStr">
        <is>
          <t>18986385</t>
        </is>
      </c>
      <c r="AW277" t="inlineStr">
        <is>
          <t>991001423699702656</t>
        </is>
      </c>
      <c r="AX277" t="inlineStr">
        <is>
          <t>991001423699702656</t>
        </is>
      </c>
      <c r="AY277" t="inlineStr">
        <is>
          <t>2268388570002656</t>
        </is>
      </c>
      <c r="AZ277" t="inlineStr">
        <is>
          <t>BOOK</t>
        </is>
      </c>
      <c r="BB277" t="inlineStr">
        <is>
          <t>9781555421526</t>
        </is>
      </c>
      <c r="BC277" t="inlineStr">
        <is>
          <t>32285001279263</t>
        </is>
      </c>
      <c r="BD277" t="inlineStr">
        <is>
          <t>893696738</t>
        </is>
      </c>
    </row>
    <row r="278">
      <c r="A278" t="inlineStr">
        <is>
          <t>No</t>
        </is>
      </c>
      <c r="B278" t="inlineStr">
        <is>
          <t>HM141 .B49</t>
        </is>
      </c>
      <c r="C278" t="inlineStr">
        <is>
          <t>0                      HM 0141000B  49</t>
        </is>
      </c>
      <c r="D278" t="inlineStr">
        <is>
          <t>Cultivating leadership : an approach / by Don Betz.</t>
        </is>
      </c>
      <c r="F278" t="inlineStr">
        <is>
          <t>No</t>
        </is>
      </c>
      <c r="G278" t="inlineStr">
        <is>
          <t>1</t>
        </is>
      </c>
      <c r="H278" t="inlineStr">
        <is>
          <t>No</t>
        </is>
      </c>
      <c r="I278" t="inlineStr">
        <is>
          <t>No</t>
        </is>
      </c>
      <c r="J278" t="inlineStr">
        <is>
          <t>0</t>
        </is>
      </c>
      <c r="K278" t="inlineStr">
        <is>
          <t>Betz, Don.</t>
        </is>
      </c>
      <c r="L278" t="inlineStr">
        <is>
          <t>[Lanham, Md.] ; Washington (D.C.) : University Press of America, 1981.</t>
        </is>
      </c>
      <c r="M278" t="inlineStr">
        <is>
          <t>1981</t>
        </is>
      </c>
      <c r="O278" t="inlineStr">
        <is>
          <t>eng</t>
        </is>
      </c>
      <c r="P278" t="inlineStr">
        <is>
          <t>mdu</t>
        </is>
      </c>
      <c r="R278" t="inlineStr">
        <is>
          <t xml:space="preserve">HM </t>
        </is>
      </c>
      <c r="S278" t="n">
        <v>12</v>
      </c>
      <c r="T278" t="n">
        <v>12</v>
      </c>
      <c r="U278" t="inlineStr">
        <is>
          <t>2003-02-25</t>
        </is>
      </c>
      <c r="V278" t="inlineStr">
        <is>
          <t>2003-02-25</t>
        </is>
      </c>
      <c r="W278" t="inlineStr">
        <is>
          <t>1992-03-30</t>
        </is>
      </c>
      <c r="X278" t="inlineStr">
        <is>
          <t>1992-03-30</t>
        </is>
      </c>
      <c r="Y278" t="n">
        <v>106</v>
      </c>
      <c r="Z278" t="n">
        <v>99</v>
      </c>
      <c r="AA278" t="n">
        <v>100</v>
      </c>
      <c r="AB278" t="n">
        <v>2</v>
      </c>
      <c r="AC278" t="n">
        <v>2</v>
      </c>
      <c r="AD278" t="n">
        <v>5</v>
      </c>
      <c r="AE278" t="n">
        <v>5</v>
      </c>
      <c r="AF278" t="n">
        <v>2</v>
      </c>
      <c r="AG278" t="n">
        <v>2</v>
      </c>
      <c r="AH278" t="n">
        <v>2</v>
      </c>
      <c r="AI278" t="n">
        <v>2</v>
      </c>
      <c r="AJ278" t="n">
        <v>2</v>
      </c>
      <c r="AK278" t="n">
        <v>2</v>
      </c>
      <c r="AL278" t="n">
        <v>1</v>
      </c>
      <c r="AM278" t="n">
        <v>1</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HYPERLINK("https://creighton-primo.hosted.exlibrisgroup.com/primo-explore/search?tab=default_tab&amp;search_scope=EVERYTHING&amp;vid=01CRU&amp;lang=en_US&amp;offset=0&amp;query=any,contains,991005085879702656","Catalog Record")</f>
        <v/>
      </c>
      <c r="AT278">
        <f>HYPERLINK("http://www.worldcat.org/oclc/7196632","WorldCat Record")</f>
        <v/>
      </c>
      <c r="AU278" t="inlineStr">
        <is>
          <t>20041912:eng</t>
        </is>
      </c>
      <c r="AV278" t="inlineStr">
        <is>
          <t>7196632</t>
        </is>
      </c>
      <c r="AW278" t="inlineStr">
        <is>
          <t>991005085879702656</t>
        </is>
      </c>
      <c r="AX278" t="inlineStr">
        <is>
          <t>991005085879702656</t>
        </is>
      </c>
      <c r="AY278" t="inlineStr">
        <is>
          <t>2255686580002656</t>
        </is>
      </c>
      <c r="AZ278" t="inlineStr">
        <is>
          <t>BOOK</t>
        </is>
      </c>
      <c r="BB278" t="inlineStr">
        <is>
          <t>9780819114419</t>
        </is>
      </c>
      <c r="BC278" t="inlineStr">
        <is>
          <t>32285001041101</t>
        </is>
      </c>
      <c r="BD278" t="inlineStr">
        <is>
          <t>893236252</t>
        </is>
      </c>
    </row>
    <row r="279">
      <c r="A279" t="inlineStr">
        <is>
          <t>No</t>
        </is>
      </c>
      <c r="B279" t="inlineStr">
        <is>
          <t>HM141 .D63</t>
        </is>
      </c>
      <c r="C279" t="inlineStr">
        <is>
          <t>0                      HM 0141000D  63</t>
        </is>
      </c>
      <c r="D279" t="inlineStr">
        <is>
          <t>Rebel leadership: commitment and charisma in the revolutionary process [by] James V. Downton, Jr.</t>
        </is>
      </c>
      <c r="F279" t="inlineStr">
        <is>
          <t>No</t>
        </is>
      </c>
      <c r="G279" t="inlineStr">
        <is>
          <t>1</t>
        </is>
      </c>
      <c r="H279" t="inlineStr">
        <is>
          <t>No</t>
        </is>
      </c>
      <c r="I279" t="inlineStr">
        <is>
          <t>No</t>
        </is>
      </c>
      <c r="J279" t="inlineStr">
        <is>
          <t>0</t>
        </is>
      </c>
      <c r="K279" t="inlineStr">
        <is>
          <t>Downton, James V.</t>
        </is>
      </c>
      <c r="L279" t="inlineStr">
        <is>
          <t>New York, Free Press [1973]</t>
        </is>
      </c>
      <c r="M279" t="inlineStr">
        <is>
          <t>1973</t>
        </is>
      </c>
      <c r="O279" t="inlineStr">
        <is>
          <t>eng</t>
        </is>
      </c>
      <c r="P279" t="inlineStr">
        <is>
          <t>nyu</t>
        </is>
      </c>
      <c r="R279" t="inlineStr">
        <is>
          <t xml:space="preserve">HM </t>
        </is>
      </c>
      <c r="S279" t="n">
        <v>6</v>
      </c>
      <c r="T279" t="n">
        <v>6</v>
      </c>
      <c r="U279" t="inlineStr">
        <is>
          <t>2003-02-25</t>
        </is>
      </c>
      <c r="V279" t="inlineStr">
        <is>
          <t>2003-02-25</t>
        </is>
      </c>
      <c r="W279" t="inlineStr">
        <is>
          <t>1997-07-30</t>
        </is>
      </c>
      <c r="X279" t="inlineStr">
        <is>
          <t>1997-07-30</t>
        </is>
      </c>
      <c r="Y279" t="n">
        <v>649</v>
      </c>
      <c r="Z279" t="n">
        <v>536</v>
      </c>
      <c r="AA279" t="n">
        <v>537</v>
      </c>
      <c r="AB279" t="n">
        <v>4</v>
      </c>
      <c r="AC279" t="n">
        <v>4</v>
      </c>
      <c r="AD279" t="n">
        <v>27</v>
      </c>
      <c r="AE279" t="n">
        <v>27</v>
      </c>
      <c r="AF279" t="n">
        <v>9</v>
      </c>
      <c r="AG279" t="n">
        <v>9</v>
      </c>
      <c r="AH279" t="n">
        <v>8</v>
      </c>
      <c r="AI279" t="n">
        <v>8</v>
      </c>
      <c r="AJ279" t="n">
        <v>12</v>
      </c>
      <c r="AK279" t="n">
        <v>12</v>
      </c>
      <c r="AL279" t="n">
        <v>3</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HYPERLINK("https://creighton-primo.hosted.exlibrisgroup.com/primo-explore/search?tab=default_tab&amp;search_scope=EVERYTHING&amp;vid=01CRU&amp;lang=en_US&amp;offset=0&amp;query=any,contains,991003043949702656","Catalog Record")</f>
        <v/>
      </c>
      <c r="AT279">
        <f>HYPERLINK("http://www.worldcat.org/oclc/604976","WorldCat Record")</f>
        <v/>
      </c>
      <c r="AU279" t="inlineStr">
        <is>
          <t>400464:eng</t>
        </is>
      </c>
      <c r="AV279" t="inlineStr">
        <is>
          <t>604976</t>
        </is>
      </c>
      <c r="AW279" t="inlineStr">
        <is>
          <t>991003043949702656</t>
        </is>
      </c>
      <c r="AX279" t="inlineStr">
        <is>
          <t>991003043949702656</t>
        </is>
      </c>
      <c r="AY279" t="inlineStr">
        <is>
          <t>2263207830002656</t>
        </is>
      </c>
      <c r="AZ279" t="inlineStr">
        <is>
          <t>BOOK</t>
        </is>
      </c>
      <c r="BC279" t="inlineStr">
        <is>
          <t>32285003016515</t>
        </is>
      </c>
      <c r="BD279" t="inlineStr">
        <is>
          <t>893610659</t>
        </is>
      </c>
    </row>
    <row r="280">
      <c r="A280" t="inlineStr">
        <is>
          <t>No</t>
        </is>
      </c>
      <c r="B280" t="inlineStr">
        <is>
          <t>HM141 .E86</t>
        </is>
      </c>
      <c r="C280" t="inlineStr">
        <is>
          <t>0                      HM 0141000E  86</t>
        </is>
      </c>
      <c r="D280" t="inlineStr">
        <is>
          <t>Ethnic leadership in America / edited by John Higham. --</t>
        </is>
      </c>
      <c r="F280" t="inlineStr">
        <is>
          <t>No</t>
        </is>
      </c>
      <c r="G280" t="inlineStr">
        <is>
          <t>1</t>
        </is>
      </c>
      <c r="H280" t="inlineStr">
        <is>
          <t>No</t>
        </is>
      </c>
      <c r="I280" t="inlineStr">
        <is>
          <t>No</t>
        </is>
      </c>
      <c r="J280" t="inlineStr">
        <is>
          <t>0</t>
        </is>
      </c>
      <c r="L280" t="inlineStr">
        <is>
          <t>Baltimore : Johns Hopkins University Press, c1978.</t>
        </is>
      </c>
      <c r="M280" t="inlineStr">
        <is>
          <t>1978</t>
        </is>
      </c>
      <c r="O280" t="inlineStr">
        <is>
          <t>eng</t>
        </is>
      </c>
      <c r="P280" t="inlineStr">
        <is>
          <t>mdu</t>
        </is>
      </c>
      <c r="Q280" t="inlineStr">
        <is>
          <t>The Johns Hopkins symposia in comparative history ; no. 9</t>
        </is>
      </c>
      <c r="R280" t="inlineStr">
        <is>
          <t xml:space="preserve">HM </t>
        </is>
      </c>
      <c r="S280" t="n">
        <v>5</v>
      </c>
      <c r="T280" t="n">
        <v>5</v>
      </c>
      <c r="U280" t="inlineStr">
        <is>
          <t>2004-01-27</t>
        </is>
      </c>
      <c r="V280" t="inlineStr">
        <is>
          <t>2004-01-27</t>
        </is>
      </c>
      <c r="W280" t="inlineStr">
        <is>
          <t>1992-08-28</t>
        </is>
      </c>
      <c r="X280" t="inlineStr">
        <is>
          <t>1992-08-28</t>
        </is>
      </c>
      <c r="Y280" t="n">
        <v>1090</v>
      </c>
      <c r="Z280" t="n">
        <v>959</v>
      </c>
      <c r="AA280" t="n">
        <v>981</v>
      </c>
      <c r="AB280" t="n">
        <v>7</v>
      </c>
      <c r="AC280" t="n">
        <v>8</v>
      </c>
      <c r="AD280" t="n">
        <v>33</v>
      </c>
      <c r="AE280" t="n">
        <v>35</v>
      </c>
      <c r="AF280" t="n">
        <v>12</v>
      </c>
      <c r="AG280" t="n">
        <v>13</v>
      </c>
      <c r="AH280" t="n">
        <v>8</v>
      </c>
      <c r="AI280" t="n">
        <v>8</v>
      </c>
      <c r="AJ280" t="n">
        <v>18</v>
      </c>
      <c r="AK280" t="n">
        <v>18</v>
      </c>
      <c r="AL280" t="n">
        <v>5</v>
      </c>
      <c r="AM280" t="n">
        <v>6</v>
      </c>
      <c r="AN280" t="n">
        <v>0</v>
      </c>
      <c r="AO280" t="n">
        <v>0</v>
      </c>
      <c r="AP280" t="inlineStr">
        <is>
          <t>No</t>
        </is>
      </c>
      <c r="AQ280" t="inlineStr">
        <is>
          <t>Yes</t>
        </is>
      </c>
      <c r="AR280">
        <f>HYPERLINK("http://catalog.hathitrust.org/Record/000131670","HathiTrust Record")</f>
        <v/>
      </c>
      <c r="AS280">
        <f>HYPERLINK("https://creighton-primo.hosted.exlibrisgroup.com/primo-explore/search?tab=default_tab&amp;search_scope=EVERYTHING&amp;vid=01CRU&amp;lang=en_US&amp;offset=0&amp;query=any,contains,991004499779702656","Catalog Record")</f>
        <v/>
      </c>
      <c r="AT280">
        <f>HYPERLINK("http://www.worldcat.org/oclc/3710795","WorldCat Record")</f>
        <v/>
      </c>
      <c r="AU280" t="inlineStr">
        <is>
          <t>54212456:eng</t>
        </is>
      </c>
      <c r="AV280" t="inlineStr">
        <is>
          <t>3710795</t>
        </is>
      </c>
      <c r="AW280" t="inlineStr">
        <is>
          <t>991004499779702656</t>
        </is>
      </c>
      <c r="AX280" t="inlineStr">
        <is>
          <t>991004499779702656</t>
        </is>
      </c>
      <c r="AY280" t="inlineStr">
        <is>
          <t>2263887930002656</t>
        </is>
      </c>
      <c r="AZ280" t="inlineStr">
        <is>
          <t>BOOK</t>
        </is>
      </c>
      <c r="BB280" t="inlineStr">
        <is>
          <t>9780801820366</t>
        </is>
      </c>
      <c r="BC280" t="inlineStr">
        <is>
          <t>32285001266757</t>
        </is>
      </c>
      <c r="BD280" t="inlineStr">
        <is>
          <t>893506921</t>
        </is>
      </c>
    </row>
    <row r="281">
      <c r="A281" t="inlineStr">
        <is>
          <t>No</t>
        </is>
      </c>
      <c r="B281" t="inlineStr">
        <is>
          <t>HM141 .G29 1991</t>
        </is>
      </c>
      <c r="C281" t="inlineStr">
        <is>
          <t>0                      HM 0141000G  29          1991</t>
        </is>
      </c>
      <c r="D281" t="inlineStr">
        <is>
          <t>John W. Gardner on leadership.</t>
        </is>
      </c>
      <c r="F281" t="inlineStr">
        <is>
          <t>No</t>
        </is>
      </c>
      <c r="G281" t="inlineStr">
        <is>
          <t>1</t>
        </is>
      </c>
      <c r="H281" t="inlineStr">
        <is>
          <t>No</t>
        </is>
      </c>
      <c r="I281" t="inlineStr">
        <is>
          <t>No</t>
        </is>
      </c>
      <c r="J281" t="inlineStr">
        <is>
          <t>0</t>
        </is>
      </c>
      <c r="K281" t="inlineStr">
        <is>
          <t>Gardner, John W. (John William), 1912-2002.</t>
        </is>
      </c>
      <c r="L281" t="inlineStr">
        <is>
          <t>Reston, Va. : National Association of Secondary School Principals, c1991.</t>
        </is>
      </c>
      <c r="M281" t="inlineStr">
        <is>
          <t>1991</t>
        </is>
      </c>
      <c r="O281" t="inlineStr">
        <is>
          <t>eng</t>
        </is>
      </c>
      <c r="P281" t="inlineStr">
        <is>
          <t>vau</t>
        </is>
      </c>
      <c r="R281" t="inlineStr">
        <is>
          <t xml:space="preserve">HM </t>
        </is>
      </c>
      <c r="S281" t="n">
        <v>17</v>
      </c>
      <c r="T281" t="n">
        <v>17</v>
      </c>
      <c r="U281" t="inlineStr">
        <is>
          <t>2006-01-29</t>
        </is>
      </c>
      <c r="V281" t="inlineStr">
        <is>
          <t>2006-01-29</t>
        </is>
      </c>
      <c r="W281" t="inlineStr">
        <is>
          <t>1991-04-30</t>
        </is>
      </c>
      <c r="X281" t="inlineStr">
        <is>
          <t>1991-04-30</t>
        </is>
      </c>
      <c r="Y281" t="n">
        <v>44</v>
      </c>
      <c r="Z281" t="n">
        <v>37</v>
      </c>
      <c r="AA281" t="n">
        <v>37</v>
      </c>
      <c r="AB281" t="n">
        <v>1</v>
      </c>
      <c r="AC281" t="n">
        <v>1</v>
      </c>
      <c r="AD281" t="n">
        <v>2</v>
      </c>
      <c r="AE281" t="n">
        <v>2</v>
      </c>
      <c r="AF281" t="n">
        <v>2</v>
      </c>
      <c r="AG281" t="n">
        <v>2</v>
      </c>
      <c r="AH281" t="n">
        <v>0</v>
      </c>
      <c r="AI281" t="n">
        <v>0</v>
      </c>
      <c r="AJ281" t="n">
        <v>1</v>
      </c>
      <c r="AK281" t="n">
        <v>1</v>
      </c>
      <c r="AL281" t="n">
        <v>0</v>
      </c>
      <c r="AM281" t="n">
        <v>0</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HYPERLINK("https://creighton-primo.hosted.exlibrisgroup.com/primo-explore/search?tab=default_tab&amp;search_scope=EVERYTHING&amp;vid=01CRU&amp;lang=en_US&amp;offset=0&amp;query=any,contains,991001867809702656","Catalog Record")</f>
        <v/>
      </c>
      <c r="AT281">
        <f>HYPERLINK("http://www.worldcat.org/oclc/23473800","WorldCat Record")</f>
        <v/>
      </c>
      <c r="AU281" t="inlineStr">
        <is>
          <t>25135410:eng</t>
        </is>
      </c>
      <c r="AV281" t="inlineStr">
        <is>
          <t>23473800</t>
        </is>
      </c>
      <c r="AW281" t="inlineStr">
        <is>
          <t>991001867809702656</t>
        </is>
      </c>
      <c r="AX281" t="inlineStr">
        <is>
          <t>991001867809702656</t>
        </is>
      </c>
      <c r="AY281" t="inlineStr">
        <is>
          <t>2270960050002656</t>
        </is>
      </c>
      <c r="AZ281" t="inlineStr">
        <is>
          <t>BOOK</t>
        </is>
      </c>
      <c r="BC281" t="inlineStr">
        <is>
          <t>32285000538784</t>
        </is>
      </c>
      <c r="BD281" t="inlineStr">
        <is>
          <t>893785456</t>
        </is>
      </c>
    </row>
    <row r="282">
      <c r="A282" t="inlineStr">
        <is>
          <t>No</t>
        </is>
      </c>
      <c r="B282" t="inlineStr">
        <is>
          <t>HM141 .G55 1979</t>
        </is>
      </c>
      <c r="C282" t="inlineStr">
        <is>
          <t>0                      HM 0141000G  55          1979</t>
        </is>
      </c>
      <c r="D282" t="inlineStr">
        <is>
          <t>The psychology of dictatorship : based on an examination of the leaders of Nazi Germany / by G. M. Gilbert.</t>
        </is>
      </c>
      <c r="F282" t="inlineStr">
        <is>
          <t>No</t>
        </is>
      </c>
      <c r="G282" t="inlineStr">
        <is>
          <t>1</t>
        </is>
      </c>
      <c r="H282" t="inlineStr">
        <is>
          <t>No</t>
        </is>
      </c>
      <c r="I282" t="inlineStr">
        <is>
          <t>No</t>
        </is>
      </c>
      <c r="J282" t="inlineStr">
        <is>
          <t>0</t>
        </is>
      </c>
      <c r="K282" t="inlineStr">
        <is>
          <t>Gilbert, G. M., 1911-1977.</t>
        </is>
      </c>
      <c r="L282" t="inlineStr">
        <is>
          <t>Westport, Conn. : Greenwood Press, 1979, c1950.</t>
        </is>
      </c>
      <c r="M282" t="inlineStr">
        <is>
          <t>1979</t>
        </is>
      </c>
      <c r="O282" t="inlineStr">
        <is>
          <t>eng</t>
        </is>
      </c>
      <c r="P282" t="inlineStr">
        <is>
          <t>ctu</t>
        </is>
      </c>
      <c r="R282" t="inlineStr">
        <is>
          <t xml:space="preserve">HM </t>
        </is>
      </c>
      <c r="S282" t="n">
        <v>3</v>
      </c>
      <c r="T282" t="n">
        <v>3</v>
      </c>
      <c r="U282" t="inlineStr">
        <is>
          <t>2001-02-23</t>
        </is>
      </c>
      <c r="V282" t="inlineStr">
        <is>
          <t>2001-02-23</t>
        </is>
      </c>
      <c r="W282" t="inlineStr">
        <is>
          <t>1992-08-28</t>
        </is>
      </c>
      <c r="X282" t="inlineStr">
        <is>
          <t>1992-08-28</t>
        </is>
      </c>
      <c r="Y282" t="n">
        <v>59</v>
      </c>
      <c r="Z282" t="n">
        <v>52</v>
      </c>
      <c r="AA282" t="n">
        <v>640</v>
      </c>
      <c r="AB282" t="n">
        <v>1</v>
      </c>
      <c r="AC282" t="n">
        <v>4</v>
      </c>
      <c r="AD282" t="n">
        <v>1</v>
      </c>
      <c r="AE282" t="n">
        <v>29</v>
      </c>
      <c r="AF282" t="n">
        <v>1</v>
      </c>
      <c r="AG282" t="n">
        <v>12</v>
      </c>
      <c r="AH282" t="n">
        <v>0</v>
      </c>
      <c r="AI282" t="n">
        <v>7</v>
      </c>
      <c r="AJ282" t="n">
        <v>0</v>
      </c>
      <c r="AK282" t="n">
        <v>12</v>
      </c>
      <c r="AL282" t="n">
        <v>0</v>
      </c>
      <c r="AM282" t="n">
        <v>3</v>
      </c>
      <c r="AN282" t="n">
        <v>0</v>
      </c>
      <c r="AO282" t="n">
        <v>0</v>
      </c>
      <c r="AP282" t="inlineStr">
        <is>
          <t>No</t>
        </is>
      </c>
      <c r="AQ282" t="inlineStr">
        <is>
          <t>Yes</t>
        </is>
      </c>
      <c r="AR282">
        <f>HYPERLINK("http://catalog.hathitrust.org/Record/007881408","HathiTrust Record")</f>
        <v/>
      </c>
      <c r="AS282">
        <f>HYPERLINK("https://creighton-primo.hosted.exlibrisgroup.com/primo-explore/search?tab=default_tab&amp;search_scope=EVERYTHING&amp;vid=01CRU&amp;lang=en_US&amp;offset=0&amp;query=any,contains,991004765979702656","Catalog Record")</f>
        <v/>
      </c>
      <c r="AT282">
        <f>HYPERLINK("http://www.worldcat.org/oclc/5029276","WorldCat Record")</f>
        <v/>
      </c>
      <c r="AU282" t="inlineStr">
        <is>
          <t>445942:eng</t>
        </is>
      </c>
      <c r="AV282" t="inlineStr">
        <is>
          <t>5029276</t>
        </is>
      </c>
      <c r="AW282" t="inlineStr">
        <is>
          <t>991004765979702656</t>
        </is>
      </c>
      <c r="AX282" t="inlineStr">
        <is>
          <t>991004765979702656</t>
        </is>
      </c>
      <c r="AY282" t="inlineStr">
        <is>
          <t>2271541680002656</t>
        </is>
      </c>
      <c r="AZ282" t="inlineStr">
        <is>
          <t>BOOK</t>
        </is>
      </c>
      <c r="BB282" t="inlineStr">
        <is>
          <t>9780313219757</t>
        </is>
      </c>
      <c r="BC282" t="inlineStr">
        <is>
          <t>32285001266773</t>
        </is>
      </c>
      <c r="BD282" t="inlineStr">
        <is>
          <t>893247956</t>
        </is>
      </c>
    </row>
    <row r="283">
      <c r="A283" t="inlineStr">
        <is>
          <t>No</t>
        </is>
      </c>
      <c r="B283" t="inlineStr">
        <is>
          <t>HM141 .G58</t>
        </is>
      </c>
      <c r="C283" t="inlineStr">
        <is>
          <t>0                      HM 0141000G  58</t>
        </is>
      </c>
      <c r="D283" t="inlineStr">
        <is>
          <t>The leader in the group : a conceptual framework.</t>
        </is>
      </c>
      <c r="F283" t="inlineStr">
        <is>
          <t>No</t>
        </is>
      </c>
      <c r="G283" t="inlineStr">
        <is>
          <t>1</t>
        </is>
      </c>
      <c r="H283" t="inlineStr">
        <is>
          <t>No</t>
        </is>
      </c>
      <c r="I283" t="inlineStr">
        <is>
          <t>No</t>
        </is>
      </c>
      <c r="J283" t="inlineStr">
        <is>
          <t>0</t>
        </is>
      </c>
      <c r="K283" t="inlineStr">
        <is>
          <t>Gorman, Alfred H.</t>
        </is>
      </c>
      <c r="L283" t="inlineStr">
        <is>
          <t>New York : Bureau of Publications, Teachers College, Columbia University, 1963.</t>
        </is>
      </c>
      <c r="M283" t="inlineStr">
        <is>
          <t>1963</t>
        </is>
      </c>
      <c r="O283" t="inlineStr">
        <is>
          <t>eng</t>
        </is>
      </c>
      <c r="P283" t="inlineStr">
        <is>
          <t>nyu</t>
        </is>
      </c>
      <c r="Q283" t="inlineStr">
        <is>
          <t>Teachers College studies in education</t>
        </is>
      </c>
      <c r="R283" t="inlineStr">
        <is>
          <t xml:space="preserve">HM </t>
        </is>
      </c>
      <c r="S283" t="n">
        <v>8</v>
      </c>
      <c r="T283" t="n">
        <v>8</v>
      </c>
      <c r="U283" t="inlineStr">
        <is>
          <t>2006-01-31</t>
        </is>
      </c>
      <c r="V283" t="inlineStr">
        <is>
          <t>2006-01-31</t>
        </is>
      </c>
      <c r="W283" t="inlineStr">
        <is>
          <t>1993-06-14</t>
        </is>
      </c>
      <c r="X283" t="inlineStr">
        <is>
          <t>1993-06-14</t>
        </is>
      </c>
      <c r="Y283" t="n">
        <v>258</v>
      </c>
      <c r="Z283" t="n">
        <v>241</v>
      </c>
      <c r="AA283" t="n">
        <v>252</v>
      </c>
      <c r="AB283" t="n">
        <v>3</v>
      </c>
      <c r="AC283" t="n">
        <v>3</v>
      </c>
      <c r="AD283" t="n">
        <v>12</v>
      </c>
      <c r="AE283" t="n">
        <v>12</v>
      </c>
      <c r="AF283" t="n">
        <v>3</v>
      </c>
      <c r="AG283" t="n">
        <v>3</v>
      </c>
      <c r="AH283" t="n">
        <v>3</v>
      </c>
      <c r="AI283" t="n">
        <v>3</v>
      </c>
      <c r="AJ283" t="n">
        <v>7</v>
      </c>
      <c r="AK283" t="n">
        <v>7</v>
      </c>
      <c r="AL283" t="n">
        <v>2</v>
      </c>
      <c r="AM283" t="n">
        <v>2</v>
      </c>
      <c r="AN283" t="n">
        <v>0</v>
      </c>
      <c r="AO283" t="n">
        <v>0</v>
      </c>
      <c r="AP283" t="inlineStr">
        <is>
          <t>Yes</t>
        </is>
      </c>
      <c r="AQ283" t="inlineStr">
        <is>
          <t>No</t>
        </is>
      </c>
      <c r="AR283">
        <f>HYPERLINK("http://catalog.hathitrust.org/Record/000973463","HathiTrust Record")</f>
        <v/>
      </c>
      <c r="AS283">
        <f>HYPERLINK("https://creighton-primo.hosted.exlibrisgroup.com/primo-explore/search?tab=default_tab&amp;search_scope=EVERYTHING&amp;vid=01CRU&amp;lang=en_US&amp;offset=0&amp;query=any,contains,991002200619702656","Catalog Record")</f>
        <v/>
      </c>
      <c r="AT283">
        <f>HYPERLINK("http://www.worldcat.org/oclc/284246","WorldCat Record")</f>
        <v/>
      </c>
      <c r="AU283" t="inlineStr">
        <is>
          <t>1444166:eng</t>
        </is>
      </c>
      <c r="AV283" t="inlineStr">
        <is>
          <t>284246</t>
        </is>
      </c>
      <c r="AW283" t="inlineStr">
        <is>
          <t>991002200619702656</t>
        </is>
      </c>
      <c r="AX283" t="inlineStr">
        <is>
          <t>991002200619702656</t>
        </is>
      </c>
      <c r="AY283" t="inlineStr">
        <is>
          <t>2262625590002656</t>
        </is>
      </c>
      <c r="AZ283" t="inlineStr">
        <is>
          <t>BOOK</t>
        </is>
      </c>
      <c r="BC283" t="inlineStr">
        <is>
          <t>32285001701118</t>
        </is>
      </c>
      <c r="BD283" t="inlineStr">
        <is>
          <t>893257003</t>
        </is>
      </c>
    </row>
    <row r="284">
      <c r="A284" t="inlineStr">
        <is>
          <t>No</t>
        </is>
      </c>
      <c r="B284" t="inlineStr">
        <is>
          <t>HM141 .H334</t>
        </is>
      </c>
      <c r="C284" t="inlineStr">
        <is>
          <t>0                      HM 0141000H  334</t>
        </is>
      </c>
      <c r="D284" t="inlineStr">
        <is>
          <t>Leadership through values : a study in personal and organizational development / Brian P. Hall and Helen Thompson ; consultant author, William Zierdt.</t>
        </is>
      </c>
      <c r="F284" t="inlineStr">
        <is>
          <t>No</t>
        </is>
      </c>
      <c r="G284" t="inlineStr">
        <is>
          <t>1</t>
        </is>
      </c>
      <c r="H284" t="inlineStr">
        <is>
          <t>No</t>
        </is>
      </c>
      <c r="I284" t="inlineStr">
        <is>
          <t>No</t>
        </is>
      </c>
      <c r="J284" t="inlineStr">
        <is>
          <t>0</t>
        </is>
      </c>
      <c r="K284" t="inlineStr">
        <is>
          <t>Hall, Brian P.</t>
        </is>
      </c>
      <c r="L284" t="inlineStr">
        <is>
          <t>New York : Paulist Press, c1980.</t>
        </is>
      </c>
      <c r="M284" t="inlineStr">
        <is>
          <t>1980</t>
        </is>
      </c>
      <c r="O284" t="inlineStr">
        <is>
          <t>eng</t>
        </is>
      </c>
      <c r="P284" t="inlineStr">
        <is>
          <t>nyu</t>
        </is>
      </c>
      <c r="R284" t="inlineStr">
        <is>
          <t xml:space="preserve">HM </t>
        </is>
      </c>
      <c r="S284" t="n">
        <v>17</v>
      </c>
      <c r="T284" t="n">
        <v>17</v>
      </c>
      <c r="U284" t="inlineStr">
        <is>
          <t>2001-09-23</t>
        </is>
      </c>
      <c r="V284" t="inlineStr">
        <is>
          <t>2001-09-23</t>
        </is>
      </c>
      <c r="W284" t="inlineStr">
        <is>
          <t>1992-03-30</t>
        </is>
      </c>
      <c r="X284" t="inlineStr">
        <is>
          <t>1992-03-30</t>
        </is>
      </c>
      <c r="Y284" t="n">
        <v>132</v>
      </c>
      <c r="Z284" t="n">
        <v>118</v>
      </c>
      <c r="AA284" t="n">
        <v>118</v>
      </c>
      <c r="AB284" t="n">
        <v>2</v>
      </c>
      <c r="AC284" t="n">
        <v>2</v>
      </c>
      <c r="AD284" t="n">
        <v>9</v>
      </c>
      <c r="AE284" t="n">
        <v>9</v>
      </c>
      <c r="AF284" t="n">
        <v>1</v>
      </c>
      <c r="AG284" t="n">
        <v>1</v>
      </c>
      <c r="AH284" t="n">
        <v>1</v>
      </c>
      <c r="AI284" t="n">
        <v>1</v>
      </c>
      <c r="AJ284" t="n">
        <v>7</v>
      </c>
      <c r="AK284" t="n">
        <v>7</v>
      </c>
      <c r="AL284" t="n">
        <v>1</v>
      </c>
      <c r="AM284" t="n">
        <v>1</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HYPERLINK("https://creighton-primo.hosted.exlibrisgroup.com/primo-explore/search?tab=default_tab&amp;search_scope=EVERYTHING&amp;vid=01CRU&amp;lang=en_US&amp;offset=0&amp;query=any,contains,991005110749702656","Catalog Record")</f>
        <v/>
      </c>
      <c r="AT284">
        <f>HYPERLINK("http://www.worldcat.org/oclc/7422593","WorldCat Record")</f>
        <v/>
      </c>
      <c r="AU284" t="inlineStr">
        <is>
          <t>466246:eng</t>
        </is>
      </c>
      <c r="AV284" t="inlineStr">
        <is>
          <t>7422593</t>
        </is>
      </c>
      <c r="AW284" t="inlineStr">
        <is>
          <t>991005110749702656</t>
        </is>
      </c>
      <c r="AX284" t="inlineStr">
        <is>
          <t>991005110749702656</t>
        </is>
      </c>
      <c r="AY284" t="inlineStr">
        <is>
          <t>2271678700002656</t>
        </is>
      </c>
      <c r="AZ284" t="inlineStr">
        <is>
          <t>BOOK</t>
        </is>
      </c>
      <c r="BB284" t="inlineStr">
        <is>
          <t>9780809123131</t>
        </is>
      </c>
      <c r="BC284" t="inlineStr">
        <is>
          <t>32285001041705</t>
        </is>
      </c>
      <c r="BD284" t="inlineStr">
        <is>
          <t>893320043</t>
        </is>
      </c>
    </row>
    <row r="285">
      <c r="A285" t="inlineStr">
        <is>
          <t>No</t>
        </is>
      </c>
      <c r="B285" t="inlineStr">
        <is>
          <t>HM141 .H34</t>
        </is>
      </c>
      <c r="C285" t="inlineStr">
        <is>
          <t>0                      HM 0141000H  34</t>
        </is>
      </c>
      <c r="D285" t="inlineStr">
        <is>
          <t>Moving up! Women and leadership / Lois Borland Hart.</t>
        </is>
      </c>
      <c r="F285" t="inlineStr">
        <is>
          <t>No</t>
        </is>
      </c>
      <c r="G285" t="inlineStr">
        <is>
          <t>1</t>
        </is>
      </c>
      <c r="H285" t="inlineStr">
        <is>
          <t>No</t>
        </is>
      </c>
      <c r="I285" t="inlineStr">
        <is>
          <t>No</t>
        </is>
      </c>
      <c r="J285" t="inlineStr">
        <is>
          <t>0</t>
        </is>
      </c>
      <c r="K285" t="inlineStr">
        <is>
          <t>Hart, Lois Borland.</t>
        </is>
      </c>
      <c r="L285" t="inlineStr">
        <is>
          <t>New York : AMACOM, 1980.</t>
        </is>
      </c>
      <c r="M285" t="inlineStr">
        <is>
          <t>1980</t>
        </is>
      </c>
      <c r="O285" t="inlineStr">
        <is>
          <t>eng</t>
        </is>
      </c>
      <c r="P285" t="inlineStr">
        <is>
          <t>nyu</t>
        </is>
      </c>
      <c r="R285" t="inlineStr">
        <is>
          <t xml:space="preserve">HM </t>
        </is>
      </c>
      <c r="S285" t="n">
        <v>7</v>
      </c>
      <c r="T285" t="n">
        <v>7</v>
      </c>
      <c r="U285" t="inlineStr">
        <is>
          <t>1998-03-16</t>
        </is>
      </c>
      <c r="V285" t="inlineStr">
        <is>
          <t>1998-03-16</t>
        </is>
      </c>
      <c r="W285" t="inlineStr">
        <is>
          <t>1992-02-11</t>
        </is>
      </c>
      <c r="X285" t="inlineStr">
        <is>
          <t>1992-02-11</t>
        </is>
      </c>
      <c r="Y285" t="n">
        <v>729</v>
      </c>
      <c r="Z285" t="n">
        <v>667</v>
      </c>
      <c r="AA285" t="n">
        <v>672</v>
      </c>
      <c r="AB285" t="n">
        <v>4</v>
      </c>
      <c r="AC285" t="n">
        <v>4</v>
      </c>
      <c r="AD285" t="n">
        <v>24</v>
      </c>
      <c r="AE285" t="n">
        <v>24</v>
      </c>
      <c r="AF285" t="n">
        <v>8</v>
      </c>
      <c r="AG285" t="n">
        <v>8</v>
      </c>
      <c r="AH285" t="n">
        <v>6</v>
      </c>
      <c r="AI285" t="n">
        <v>6</v>
      </c>
      <c r="AJ285" t="n">
        <v>14</v>
      </c>
      <c r="AK285" t="n">
        <v>14</v>
      </c>
      <c r="AL285" t="n">
        <v>3</v>
      </c>
      <c r="AM285" t="n">
        <v>3</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HYPERLINK("https://creighton-primo.hosted.exlibrisgroup.com/primo-explore/search?tab=default_tab&amp;search_scope=EVERYTHING&amp;vid=01CRU&amp;lang=en_US&amp;offset=0&amp;query=any,contains,991004847199702656","Catalog Record")</f>
        <v/>
      </c>
      <c r="AT285">
        <f>HYPERLINK("http://www.worldcat.org/oclc/5565243","WorldCat Record")</f>
        <v/>
      </c>
      <c r="AU285" t="inlineStr">
        <is>
          <t>476323:eng</t>
        </is>
      </c>
      <c r="AV285" t="inlineStr">
        <is>
          <t>5565243</t>
        </is>
      </c>
      <c r="AW285" t="inlineStr">
        <is>
          <t>991004847199702656</t>
        </is>
      </c>
      <c r="AX285" t="inlineStr">
        <is>
          <t>991004847199702656</t>
        </is>
      </c>
      <c r="AY285" t="inlineStr">
        <is>
          <t>2268334500002656</t>
        </is>
      </c>
      <c r="AZ285" t="inlineStr">
        <is>
          <t>BOOK</t>
        </is>
      </c>
      <c r="BB285" t="inlineStr">
        <is>
          <t>9780814455708</t>
        </is>
      </c>
      <c r="BC285" t="inlineStr">
        <is>
          <t>32285000956119</t>
        </is>
      </c>
      <c r="BD285" t="inlineStr">
        <is>
          <t>893694405</t>
        </is>
      </c>
    </row>
    <row r="286">
      <c r="A286" t="inlineStr">
        <is>
          <t>No</t>
        </is>
      </c>
      <c r="B286" t="inlineStr">
        <is>
          <t>HM141 .H55 1983</t>
        </is>
      </c>
      <c r="C286" t="inlineStr">
        <is>
          <t>0                      HM 0141000H  55          1983</t>
        </is>
      </c>
      <c r="D286" t="inlineStr">
        <is>
          <t>The philosophy of leadership / Christopher Hodgkinson.</t>
        </is>
      </c>
      <c r="F286" t="inlineStr">
        <is>
          <t>No</t>
        </is>
      </c>
      <c r="G286" t="inlineStr">
        <is>
          <t>1</t>
        </is>
      </c>
      <c r="H286" t="inlineStr">
        <is>
          <t>No</t>
        </is>
      </c>
      <c r="I286" t="inlineStr">
        <is>
          <t>No</t>
        </is>
      </c>
      <c r="J286" t="inlineStr">
        <is>
          <t>0</t>
        </is>
      </c>
      <c r="K286" t="inlineStr">
        <is>
          <t>Hodgkinson, Christopher.</t>
        </is>
      </c>
      <c r="L286" t="inlineStr">
        <is>
          <t>New York : St. Martin's Press, 1983.</t>
        </is>
      </c>
      <c r="M286" t="inlineStr">
        <is>
          <t>1983</t>
        </is>
      </c>
      <c r="O286" t="inlineStr">
        <is>
          <t>eng</t>
        </is>
      </c>
      <c r="P286" t="inlineStr">
        <is>
          <t>nyu</t>
        </is>
      </c>
      <c r="R286" t="inlineStr">
        <is>
          <t xml:space="preserve">HM </t>
        </is>
      </c>
      <c r="S286" t="n">
        <v>10</v>
      </c>
      <c r="T286" t="n">
        <v>10</v>
      </c>
      <c r="U286" t="inlineStr">
        <is>
          <t>2007-03-25</t>
        </is>
      </c>
      <c r="V286" t="inlineStr">
        <is>
          <t>2007-03-25</t>
        </is>
      </c>
      <c r="W286" t="inlineStr">
        <is>
          <t>1992-02-11</t>
        </is>
      </c>
      <c r="X286" t="inlineStr">
        <is>
          <t>1992-02-11</t>
        </is>
      </c>
      <c r="Y286" t="n">
        <v>347</v>
      </c>
      <c r="Z286" t="n">
        <v>312</v>
      </c>
      <c r="AA286" t="n">
        <v>364</v>
      </c>
      <c r="AB286" t="n">
        <v>2</v>
      </c>
      <c r="AC286" t="n">
        <v>3</v>
      </c>
      <c r="AD286" t="n">
        <v>16</v>
      </c>
      <c r="AE286" t="n">
        <v>17</v>
      </c>
      <c r="AF286" t="n">
        <v>5</v>
      </c>
      <c r="AG286" t="n">
        <v>5</v>
      </c>
      <c r="AH286" t="n">
        <v>4</v>
      </c>
      <c r="AI286" t="n">
        <v>4</v>
      </c>
      <c r="AJ286" t="n">
        <v>11</v>
      </c>
      <c r="AK286" t="n">
        <v>11</v>
      </c>
      <c r="AL286" t="n">
        <v>1</v>
      </c>
      <c r="AM286" t="n">
        <v>2</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HYPERLINK("https://creighton-primo.hosted.exlibrisgroup.com/primo-explore/search?tab=default_tab&amp;search_scope=EVERYTHING&amp;vid=01CRU&amp;lang=en_US&amp;offset=0&amp;query=any,contains,991000219499702656","Catalog Record")</f>
        <v/>
      </c>
      <c r="AT286">
        <f>HYPERLINK("http://www.worldcat.org/oclc/9575585","WorldCat Record")</f>
        <v/>
      </c>
      <c r="AU286" t="inlineStr">
        <is>
          <t>20489574:eng</t>
        </is>
      </c>
      <c r="AV286" t="inlineStr">
        <is>
          <t>9575585</t>
        </is>
      </c>
      <c r="AW286" t="inlineStr">
        <is>
          <t>991000219499702656</t>
        </is>
      </c>
      <c r="AX286" t="inlineStr">
        <is>
          <t>991000219499702656</t>
        </is>
      </c>
      <c r="AY286" t="inlineStr">
        <is>
          <t>2267050360002656</t>
        </is>
      </c>
      <c r="AZ286" t="inlineStr">
        <is>
          <t>BOOK</t>
        </is>
      </c>
      <c r="BB286" t="inlineStr">
        <is>
          <t>9780312606725</t>
        </is>
      </c>
      <c r="BC286" t="inlineStr">
        <is>
          <t>32285000956101</t>
        </is>
      </c>
      <c r="BD286" t="inlineStr">
        <is>
          <t>893438112</t>
        </is>
      </c>
    </row>
    <row r="287">
      <c r="A287" t="inlineStr">
        <is>
          <t>No</t>
        </is>
      </c>
      <c r="B287" t="inlineStr">
        <is>
          <t>HM141 .H582</t>
        </is>
      </c>
      <c r="C287" t="inlineStr">
        <is>
          <t>0                      HM 0141000H  582</t>
        </is>
      </c>
      <c r="D287" t="inlineStr">
        <is>
          <t>Leadership dynamics : a practical guide to effective relationships / Edwin P. Hollander.</t>
        </is>
      </c>
      <c r="F287" t="inlineStr">
        <is>
          <t>No</t>
        </is>
      </c>
      <c r="G287" t="inlineStr">
        <is>
          <t>1</t>
        </is>
      </c>
      <c r="H287" t="inlineStr">
        <is>
          <t>No</t>
        </is>
      </c>
      <c r="I287" t="inlineStr">
        <is>
          <t>No</t>
        </is>
      </c>
      <c r="J287" t="inlineStr">
        <is>
          <t>0</t>
        </is>
      </c>
      <c r="K287" t="inlineStr">
        <is>
          <t>Hollander, Edwin Paul, 1927-</t>
        </is>
      </c>
      <c r="L287" t="inlineStr">
        <is>
          <t>New York : Free Press, c1978.</t>
        </is>
      </c>
      <c r="M287" t="inlineStr">
        <is>
          <t>1978</t>
        </is>
      </c>
      <c r="O287" t="inlineStr">
        <is>
          <t>eng</t>
        </is>
      </c>
      <c r="P287" t="inlineStr">
        <is>
          <t>nyu</t>
        </is>
      </c>
      <c r="R287" t="inlineStr">
        <is>
          <t xml:space="preserve">HM </t>
        </is>
      </c>
      <c r="S287" t="n">
        <v>23</v>
      </c>
      <c r="T287" t="n">
        <v>23</v>
      </c>
      <c r="U287" t="inlineStr">
        <is>
          <t>2006-01-31</t>
        </is>
      </c>
      <c r="V287" t="inlineStr">
        <is>
          <t>2006-01-31</t>
        </is>
      </c>
      <c r="W287" t="inlineStr">
        <is>
          <t>1992-02-11</t>
        </is>
      </c>
      <c r="X287" t="inlineStr">
        <is>
          <t>1992-02-11</t>
        </is>
      </c>
      <c r="Y287" t="n">
        <v>768</v>
      </c>
      <c r="Z287" t="n">
        <v>643</v>
      </c>
      <c r="AA287" t="n">
        <v>692</v>
      </c>
      <c r="AB287" t="n">
        <v>6</v>
      </c>
      <c r="AC287" t="n">
        <v>6</v>
      </c>
      <c r="AD287" t="n">
        <v>25</v>
      </c>
      <c r="AE287" t="n">
        <v>26</v>
      </c>
      <c r="AF287" t="n">
        <v>10</v>
      </c>
      <c r="AG287" t="n">
        <v>10</v>
      </c>
      <c r="AH287" t="n">
        <v>6</v>
      </c>
      <c r="AI287" t="n">
        <v>6</v>
      </c>
      <c r="AJ287" t="n">
        <v>16</v>
      </c>
      <c r="AK287" t="n">
        <v>17</v>
      </c>
      <c r="AL287" t="n">
        <v>4</v>
      </c>
      <c r="AM287" t="n">
        <v>4</v>
      </c>
      <c r="AN287" t="n">
        <v>0</v>
      </c>
      <c r="AO287" t="n">
        <v>0</v>
      </c>
      <c r="AP287" t="inlineStr">
        <is>
          <t>No</t>
        </is>
      </c>
      <c r="AQ287" t="inlineStr">
        <is>
          <t>Yes</t>
        </is>
      </c>
      <c r="AR287">
        <f>HYPERLINK("http://catalog.hathitrust.org/Record/007835150","HathiTrust Record")</f>
        <v/>
      </c>
      <c r="AS287">
        <f>HYPERLINK("https://creighton-primo.hosted.exlibrisgroup.com/primo-explore/search?tab=default_tab&amp;search_scope=EVERYTHING&amp;vid=01CRU&amp;lang=en_US&amp;offset=0&amp;query=any,contains,991004489329702656","Catalog Record")</f>
        <v/>
      </c>
      <c r="AT287">
        <f>HYPERLINK("http://www.worldcat.org/oclc/3650901","WorldCat Record")</f>
        <v/>
      </c>
      <c r="AU287" t="inlineStr">
        <is>
          <t>348433966:eng</t>
        </is>
      </c>
      <c r="AV287" t="inlineStr">
        <is>
          <t>3650901</t>
        </is>
      </c>
      <c r="AW287" t="inlineStr">
        <is>
          <t>991004489329702656</t>
        </is>
      </c>
      <c r="AX287" t="inlineStr">
        <is>
          <t>991004489329702656</t>
        </is>
      </c>
      <c r="AY287" t="inlineStr">
        <is>
          <t>2261407810002656</t>
        </is>
      </c>
      <c r="AZ287" t="inlineStr">
        <is>
          <t>BOOK</t>
        </is>
      </c>
      <c r="BB287" t="inlineStr">
        <is>
          <t>9780029148204</t>
        </is>
      </c>
      <c r="BC287" t="inlineStr">
        <is>
          <t>32285000956085</t>
        </is>
      </c>
      <c r="BD287" t="inlineStr">
        <is>
          <t>893253745</t>
        </is>
      </c>
    </row>
    <row r="288">
      <c r="A288" t="inlineStr">
        <is>
          <t>No</t>
        </is>
      </c>
      <c r="B288" t="inlineStr">
        <is>
          <t>HM141 .H83</t>
        </is>
      </c>
      <c r="C288" t="inlineStr">
        <is>
          <t>0                      HM 0141000H  83</t>
        </is>
      </c>
      <c r="D288" t="inlineStr">
        <is>
          <t>Community power structure; a study of decision makers.</t>
        </is>
      </c>
      <c r="F288" t="inlineStr">
        <is>
          <t>No</t>
        </is>
      </c>
      <c r="G288" t="inlineStr">
        <is>
          <t>1</t>
        </is>
      </c>
      <c r="H288" t="inlineStr">
        <is>
          <t>No</t>
        </is>
      </c>
      <c r="I288" t="inlineStr">
        <is>
          <t>No</t>
        </is>
      </c>
      <c r="J288" t="inlineStr">
        <is>
          <t>0</t>
        </is>
      </c>
      <c r="K288" t="inlineStr">
        <is>
          <t>Hunter, Floyd.</t>
        </is>
      </c>
      <c r="L288" t="inlineStr">
        <is>
          <t>Chapel Hill, University of North Carolina Press [1953]</t>
        </is>
      </c>
      <c r="M288" t="inlineStr">
        <is>
          <t>1953</t>
        </is>
      </c>
      <c r="O288" t="inlineStr">
        <is>
          <t>eng</t>
        </is>
      </c>
      <c r="P288" t="inlineStr">
        <is>
          <t>ncu</t>
        </is>
      </c>
      <c r="R288" t="inlineStr">
        <is>
          <t xml:space="preserve">HM </t>
        </is>
      </c>
      <c r="S288" t="n">
        <v>2</v>
      </c>
      <c r="T288" t="n">
        <v>2</v>
      </c>
      <c r="U288" t="inlineStr">
        <is>
          <t>2003-12-08</t>
        </is>
      </c>
      <c r="V288" t="inlineStr">
        <is>
          <t>2003-12-08</t>
        </is>
      </c>
      <c r="W288" t="inlineStr">
        <is>
          <t>1997-07-30</t>
        </is>
      </c>
      <c r="X288" t="inlineStr">
        <is>
          <t>1997-07-30</t>
        </is>
      </c>
      <c r="Y288" t="n">
        <v>1095</v>
      </c>
      <c r="Z288" t="n">
        <v>947</v>
      </c>
      <c r="AA288" t="n">
        <v>1050</v>
      </c>
      <c r="AB288" t="n">
        <v>5</v>
      </c>
      <c r="AC288" t="n">
        <v>5</v>
      </c>
      <c r="AD288" t="n">
        <v>35</v>
      </c>
      <c r="AE288" t="n">
        <v>36</v>
      </c>
      <c r="AF288" t="n">
        <v>14</v>
      </c>
      <c r="AG288" t="n">
        <v>14</v>
      </c>
      <c r="AH288" t="n">
        <v>9</v>
      </c>
      <c r="AI288" t="n">
        <v>9</v>
      </c>
      <c r="AJ288" t="n">
        <v>21</v>
      </c>
      <c r="AK288" t="n">
        <v>22</v>
      </c>
      <c r="AL288" t="n">
        <v>4</v>
      </c>
      <c r="AM288" t="n">
        <v>4</v>
      </c>
      <c r="AN288" t="n">
        <v>0</v>
      </c>
      <c r="AO288" t="n">
        <v>0</v>
      </c>
      <c r="AP288" t="inlineStr">
        <is>
          <t>No</t>
        </is>
      </c>
      <c r="AQ288" t="inlineStr">
        <is>
          <t>Yes</t>
        </is>
      </c>
      <c r="AR288">
        <f>HYPERLINK("http://catalog.hathitrust.org/Record/001109333","HathiTrust Record")</f>
        <v/>
      </c>
      <c r="AS288">
        <f>HYPERLINK("https://creighton-primo.hosted.exlibrisgroup.com/primo-explore/search?tab=default_tab&amp;search_scope=EVERYTHING&amp;vid=01CRU&amp;lang=en_US&amp;offset=0&amp;query=any,contains,991001990009702656","Catalog Record")</f>
        <v/>
      </c>
      <c r="AT288">
        <f>HYPERLINK("http://www.worldcat.org/oclc/255060","WorldCat Record")</f>
        <v/>
      </c>
      <c r="AU288" t="inlineStr">
        <is>
          <t>465497:eng</t>
        </is>
      </c>
      <c r="AV288" t="inlineStr">
        <is>
          <t>255060</t>
        </is>
      </c>
      <c r="AW288" t="inlineStr">
        <is>
          <t>991001990009702656</t>
        </is>
      </c>
      <c r="AX288" t="inlineStr">
        <is>
          <t>991001990009702656</t>
        </is>
      </c>
      <c r="AY288" t="inlineStr">
        <is>
          <t>2270822640002656</t>
        </is>
      </c>
      <c r="AZ288" t="inlineStr">
        <is>
          <t>BOOK</t>
        </is>
      </c>
      <c r="BC288" t="inlineStr">
        <is>
          <t>32285003016556</t>
        </is>
      </c>
      <c r="BD288" t="inlineStr">
        <is>
          <t>893804101</t>
        </is>
      </c>
    </row>
    <row r="289">
      <c r="A289" t="inlineStr">
        <is>
          <t>No</t>
        </is>
      </c>
      <c r="B289" t="inlineStr">
        <is>
          <t>HM141 .K29 1991</t>
        </is>
      </c>
      <c r="C289" t="inlineStr">
        <is>
          <t>0                      HM 0141000K  29          1991</t>
        </is>
      </c>
      <c r="D289" t="inlineStr">
        <is>
          <t>Organizing, a guide for grassroots leaders / Si Kahn.</t>
        </is>
      </c>
      <c r="F289" t="inlineStr">
        <is>
          <t>No</t>
        </is>
      </c>
      <c r="G289" t="inlineStr">
        <is>
          <t>1</t>
        </is>
      </c>
      <c r="H289" t="inlineStr">
        <is>
          <t>No</t>
        </is>
      </c>
      <c r="I289" t="inlineStr">
        <is>
          <t>No</t>
        </is>
      </c>
      <c r="J289" t="inlineStr">
        <is>
          <t>0</t>
        </is>
      </c>
      <c r="K289" t="inlineStr">
        <is>
          <t>Kahn, Si.</t>
        </is>
      </c>
      <c r="L289" t="inlineStr">
        <is>
          <t>Silver Spring, Md. : National Association of Social Workers, 1991.</t>
        </is>
      </c>
      <c r="M289" t="inlineStr">
        <is>
          <t>1991</t>
        </is>
      </c>
      <c r="N289" t="inlineStr">
        <is>
          <t>Rev. ed.</t>
        </is>
      </c>
      <c r="O289" t="inlineStr">
        <is>
          <t>eng</t>
        </is>
      </c>
      <c r="P289" t="inlineStr">
        <is>
          <t>mdu</t>
        </is>
      </c>
      <c r="R289" t="inlineStr">
        <is>
          <t xml:space="preserve">HM </t>
        </is>
      </c>
      <c r="S289" t="n">
        <v>9</v>
      </c>
      <c r="T289" t="n">
        <v>9</v>
      </c>
      <c r="U289" t="inlineStr">
        <is>
          <t>1999-03-05</t>
        </is>
      </c>
      <c r="V289" t="inlineStr">
        <is>
          <t>1999-03-05</t>
        </is>
      </c>
      <c r="W289" t="inlineStr">
        <is>
          <t>1991-12-17</t>
        </is>
      </c>
      <c r="X289" t="inlineStr">
        <is>
          <t>1991-12-17</t>
        </is>
      </c>
      <c r="Y289" t="n">
        <v>658</v>
      </c>
      <c r="Z289" t="n">
        <v>567</v>
      </c>
      <c r="AA289" t="n">
        <v>871</v>
      </c>
      <c r="AB289" t="n">
        <v>4</v>
      </c>
      <c r="AC289" t="n">
        <v>5</v>
      </c>
      <c r="AD289" t="n">
        <v>23</v>
      </c>
      <c r="AE289" t="n">
        <v>30</v>
      </c>
      <c r="AF289" t="n">
        <v>10</v>
      </c>
      <c r="AG289" t="n">
        <v>15</v>
      </c>
      <c r="AH289" t="n">
        <v>6</v>
      </c>
      <c r="AI289" t="n">
        <v>6</v>
      </c>
      <c r="AJ289" t="n">
        <v>10</v>
      </c>
      <c r="AK289" t="n">
        <v>13</v>
      </c>
      <c r="AL289" t="n">
        <v>3</v>
      </c>
      <c r="AM289" t="n">
        <v>4</v>
      </c>
      <c r="AN289" t="n">
        <v>0</v>
      </c>
      <c r="AO289" t="n">
        <v>0</v>
      </c>
      <c r="AP289" t="inlineStr">
        <is>
          <t>No</t>
        </is>
      </c>
      <c r="AQ289" t="inlineStr">
        <is>
          <t>Yes</t>
        </is>
      </c>
      <c r="AR289">
        <f>HYPERLINK("http://catalog.hathitrust.org/Record/002493257","HathiTrust Record")</f>
        <v/>
      </c>
      <c r="AS289">
        <f>HYPERLINK("https://creighton-primo.hosted.exlibrisgroup.com/primo-explore/search?tab=default_tab&amp;search_scope=EVERYTHING&amp;vid=01CRU&amp;lang=en_US&amp;offset=0&amp;query=any,contains,991001909119702656","Catalog Record")</f>
        <v/>
      </c>
      <c r="AT289">
        <f>HYPERLINK("http://www.worldcat.org/oclc/24108142","WorldCat Record")</f>
        <v/>
      </c>
      <c r="AU289" t="inlineStr">
        <is>
          <t>405627:eng</t>
        </is>
      </c>
      <c r="AV289" t="inlineStr">
        <is>
          <t>24108142</t>
        </is>
      </c>
      <c r="AW289" t="inlineStr">
        <is>
          <t>991001909119702656</t>
        </is>
      </c>
      <c r="AX289" t="inlineStr">
        <is>
          <t>991001909119702656</t>
        </is>
      </c>
      <c r="AY289" t="inlineStr">
        <is>
          <t>2256533760002656</t>
        </is>
      </c>
      <c r="AZ289" t="inlineStr">
        <is>
          <t>BOOK</t>
        </is>
      </c>
      <c r="BB289" t="inlineStr">
        <is>
          <t>9780871011978</t>
        </is>
      </c>
      <c r="BC289" t="inlineStr">
        <is>
          <t>32285000860899</t>
        </is>
      </c>
      <c r="BD289" t="inlineStr">
        <is>
          <t>893803992</t>
        </is>
      </c>
    </row>
    <row r="290">
      <c r="A290" t="inlineStr">
        <is>
          <t>No</t>
        </is>
      </c>
      <c r="B290" t="inlineStr">
        <is>
          <t>HM141 .K55</t>
        </is>
      </c>
      <c r="C290" t="inlineStr">
        <is>
          <t>0                      HM 0141000K  55</t>
        </is>
      </c>
      <c r="D290" t="inlineStr">
        <is>
          <t>Symbolic leaders: public dramas and public men, by Orrin E. Klapp.</t>
        </is>
      </c>
      <c r="F290" t="inlineStr">
        <is>
          <t>No</t>
        </is>
      </c>
      <c r="G290" t="inlineStr">
        <is>
          <t>1</t>
        </is>
      </c>
      <c r="H290" t="inlineStr">
        <is>
          <t>No</t>
        </is>
      </c>
      <c r="I290" t="inlineStr">
        <is>
          <t>No</t>
        </is>
      </c>
      <c r="J290" t="inlineStr">
        <is>
          <t>0</t>
        </is>
      </c>
      <c r="K290" t="inlineStr">
        <is>
          <t>Klapp, Orrin E. (Orrin Edgar), 1915-1997.</t>
        </is>
      </c>
      <c r="L290" t="inlineStr">
        <is>
          <t>Chicago, Aldine Pub. Co. [1964]</t>
        </is>
      </c>
      <c r="M290" t="inlineStr">
        <is>
          <t>1964</t>
        </is>
      </c>
      <c r="O290" t="inlineStr">
        <is>
          <t>eng</t>
        </is>
      </c>
      <c r="P290" t="inlineStr">
        <is>
          <t>ilu</t>
        </is>
      </c>
      <c r="Q290" t="inlineStr">
        <is>
          <t>Observations</t>
        </is>
      </c>
      <c r="R290" t="inlineStr">
        <is>
          <t xml:space="preserve">HM </t>
        </is>
      </c>
      <c r="S290" t="n">
        <v>3</v>
      </c>
      <c r="T290" t="n">
        <v>3</v>
      </c>
      <c r="U290" t="inlineStr">
        <is>
          <t>2000-02-12</t>
        </is>
      </c>
      <c r="V290" t="inlineStr">
        <is>
          <t>2000-02-12</t>
        </is>
      </c>
      <c r="W290" t="inlineStr">
        <is>
          <t>1997-07-30</t>
        </is>
      </c>
      <c r="X290" t="inlineStr">
        <is>
          <t>1997-07-30</t>
        </is>
      </c>
      <c r="Y290" t="n">
        <v>649</v>
      </c>
      <c r="Z290" t="n">
        <v>556</v>
      </c>
      <c r="AA290" t="n">
        <v>620</v>
      </c>
      <c r="AB290" t="n">
        <v>4</v>
      </c>
      <c r="AC290" t="n">
        <v>4</v>
      </c>
      <c r="AD290" t="n">
        <v>24</v>
      </c>
      <c r="AE290" t="n">
        <v>27</v>
      </c>
      <c r="AF290" t="n">
        <v>9</v>
      </c>
      <c r="AG290" t="n">
        <v>11</v>
      </c>
      <c r="AH290" t="n">
        <v>5</v>
      </c>
      <c r="AI290" t="n">
        <v>5</v>
      </c>
      <c r="AJ290" t="n">
        <v>13</v>
      </c>
      <c r="AK290" t="n">
        <v>14</v>
      </c>
      <c r="AL290" t="n">
        <v>3</v>
      </c>
      <c r="AM290" t="n">
        <v>3</v>
      </c>
      <c r="AN290" t="n">
        <v>1</v>
      </c>
      <c r="AO290" t="n">
        <v>1</v>
      </c>
      <c r="AP290" t="inlineStr">
        <is>
          <t>No</t>
        </is>
      </c>
      <c r="AQ290" t="inlineStr">
        <is>
          <t>Yes</t>
        </is>
      </c>
      <c r="AR290">
        <f>HYPERLINK("http://catalog.hathitrust.org/Record/000973465","HathiTrust Record")</f>
        <v/>
      </c>
      <c r="AS290">
        <f>HYPERLINK("https://creighton-primo.hosted.exlibrisgroup.com/primo-explore/search?tab=default_tab&amp;search_scope=EVERYTHING&amp;vid=01CRU&amp;lang=en_US&amp;offset=0&amp;query=any,contains,991001984029702656","Catalog Record")</f>
        <v/>
      </c>
      <c r="AT290">
        <f>HYPERLINK("http://www.worldcat.org/oclc/254756","WorldCat Record")</f>
        <v/>
      </c>
      <c r="AU290" t="inlineStr">
        <is>
          <t>1141037:eng</t>
        </is>
      </c>
      <c r="AV290" t="inlineStr">
        <is>
          <t>254756</t>
        </is>
      </c>
      <c r="AW290" t="inlineStr">
        <is>
          <t>991001984029702656</t>
        </is>
      </c>
      <c r="AX290" t="inlineStr">
        <is>
          <t>991001984029702656</t>
        </is>
      </c>
      <c r="AY290" t="inlineStr">
        <is>
          <t>2269239050002656</t>
        </is>
      </c>
      <c r="AZ290" t="inlineStr">
        <is>
          <t>BOOK</t>
        </is>
      </c>
      <c r="BC290" t="inlineStr">
        <is>
          <t>32285003016606</t>
        </is>
      </c>
      <c r="BD290" t="inlineStr">
        <is>
          <t>893872963</t>
        </is>
      </c>
    </row>
    <row r="291">
      <c r="A291" t="inlineStr">
        <is>
          <t>No</t>
        </is>
      </c>
      <c r="B291" t="inlineStr">
        <is>
          <t>HM141 .L36</t>
        </is>
      </c>
      <c r="C291" t="inlineStr">
        <is>
          <t>0                      HM 0141000L  36</t>
        </is>
      </c>
      <c r="D291" t="inlineStr">
        <is>
          <t>Leadership is everybody's business / John D. Lawson, Leslie J. Griffin, Franklyn D. Donant ; illustrated by the Bob Clampett Studios.</t>
        </is>
      </c>
      <c r="F291" t="inlineStr">
        <is>
          <t>No</t>
        </is>
      </c>
      <c r="G291" t="inlineStr">
        <is>
          <t>1</t>
        </is>
      </c>
      <c r="H291" t="inlineStr">
        <is>
          <t>No</t>
        </is>
      </c>
      <c r="I291" t="inlineStr">
        <is>
          <t>No</t>
        </is>
      </c>
      <c r="J291" t="inlineStr">
        <is>
          <t>0</t>
        </is>
      </c>
      <c r="K291" t="inlineStr">
        <is>
          <t>Lawson, John D.</t>
        </is>
      </c>
      <c r="L291" t="inlineStr">
        <is>
          <t>San Luis Obispo, Calif. : Impact Publishers, c1976.</t>
        </is>
      </c>
      <c r="M291" t="inlineStr">
        <is>
          <t>1976</t>
        </is>
      </c>
      <c r="N291" t="inlineStr">
        <is>
          <t>1st ed.</t>
        </is>
      </c>
      <c r="O291" t="inlineStr">
        <is>
          <t>eng</t>
        </is>
      </c>
      <c r="P291" t="inlineStr">
        <is>
          <t>cau</t>
        </is>
      </c>
      <c r="R291" t="inlineStr">
        <is>
          <t xml:space="preserve">HM </t>
        </is>
      </c>
      <c r="S291" t="n">
        <v>10</v>
      </c>
      <c r="T291" t="n">
        <v>10</v>
      </c>
      <c r="U291" t="inlineStr">
        <is>
          <t>2009-11-13</t>
        </is>
      </c>
      <c r="V291" t="inlineStr">
        <is>
          <t>2009-11-13</t>
        </is>
      </c>
      <c r="W291" t="inlineStr">
        <is>
          <t>1992-03-12</t>
        </is>
      </c>
      <c r="X291" t="inlineStr">
        <is>
          <t>1992-03-12</t>
        </is>
      </c>
      <c r="Y291" t="n">
        <v>150</v>
      </c>
      <c r="Z291" t="n">
        <v>135</v>
      </c>
      <c r="AA291" t="n">
        <v>142</v>
      </c>
      <c r="AB291" t="n">
        <v>2</v>
      </c>
      <c r="AC291" t="n">
        <v>2</v>
      </c>
      <c r="AD291" t="n">
        <v>3</v>
      </c>
      <c r="AE291" t="n">
        <v>3</v>
      </c>
      <c r="AF291" t="n">
        <v>1</v>
      </c>
      <c r="AG291" t="n">
        <v>1</v>
      </c>
      <c r="AH291" t="n">
        <v>0</v>
      </c>
      <c r="AI291" t="n">
        <v>0</v>
      </c>
      <c r="AJ291" t="n">
        <v>2</v>
      </c>
      <c r="AK291" t="n">
        <v>2</v>
      </c>
      <c r="AL291" t="n">
        <v>1</v>
      </c>
      <c r="AM291" t="n">
        <v>1</v>
      </c>
      <c r="AN291" t="n">
        <v>0</v>
      </c>
      <c r="AO291" t="n">
        <v>0</v>
      </c>
      <c r="AP291" t="inlineStr">
        <is>
          <t>No</t>
        </is>
      </c>
      <c r="AQ291" t="inlineStr">
        <is>
          <t>Yes</t>
        </is>
      </c>
      <c r="AR291">
        <f>HYPERLINK("http://catalog.hathitrust.org/Record/009805866","HathiTrust Record")</f>
        <v/>
      </c>
      <c r="AS291">
        <f>HYPERLINK("https://creighton-primo.hosted.exlibrisgroup.com/primo-explore/search?tab=default_tab&amp;search_scope=EVERYTHING&amp;vid=01CRU&amp;lang=en_US&amp;offset=0&amp;query=any,contains,991004257999702656","Catalog Record")</f>
        <v/>
      </c>
      <c r="AT291">
        <f>HYPERLINK("http://www.worldcat.org/oclc/2832520","WorldCat Record")</f>
        <v/>
      </c>
      <c r="AU291" t="inlineStr">
        <is>
          <t>6424090:eng</t>
        </is>
      </c>
      <c r="AV291" t="inlineStr">
        <is>
          <t>2832520</t>
        </is>
      </c>
      <c r="AW291" t="inlineStr">
        <is>
          <t>991004257999702656</t>
        </is>
      </c>
      <c r="AX291" t="inlineStr">
        <is>
          <t>991004257999702656</t>
        </is>
      </c>
      <c r="AY291" t="inlineStr">
        <is>
          <t>2260493790002656</t>
        </is>
      </c>
      <c r="AZ291" t="inlineStr">
        <is>
          <t>BOOK</t>
        </is>
      </c>
      <c r="BB291" t="inlineStr">
        <is>
          <t>9780915166268</t>
        </is>
      </c>
      <c r="BC291" t="inlineStr">
        <is>
          <t>32285000999226</t>
        </is>
      </c>
      <c r="BD291" t="inlineStr">
        <is>
          <t>893417402</t>
        </is>
      </c>
    </row>
    <row r="292">
      <c r="A292" t="inlineStr">
        <is>
          <t>No</t>
        </is>
      </c>
      <c r="B292" t="inlineStr">
        <is>
          <t>HM141 .L3742 1999</t>
        </is>
      </c>
      <c r="C292" t="inlineStr">
        <is>
          <t>0                      HM 0141000L  3742        1999</t>
        </is>
      </c>
      <c r="D292" t="inlineStr">
        <is>
          <t>Leader to leader : enduring insights on leadership from the Drucker Foundation's award-winning journal / Frances Hesselbein, Paul M. Cohen, editors.</t>
        </is>
      </c>
      <c r="F292" t="inlineStr">
        <is>
          <t>No</t>
        </is>
      </c>
      <c r="G292" t="inlineStr">
        <is>
          <t>1</t>
        </is>
      </c>
      <c r="H292" t="inlineStr">
        <is>
          <t>No</t>
        </is>
      </c>
      <c r="I292" t="inlineStr">
        <is>
          <t>No</t>
        </is>
      </c>
      <c r="J292" t="inlineStr">
        <is>
          <t>0</t>
        </is>
      </c>
      <c r="L292" t="inlineStr">
        <is>
          <t>San Francisco : Jossey-Bass, c1999.</t>
        </is>
      </c>
      <c r="M292" t="inlineStr">
        <is>
          <t>1999</t>
        </is>
      </c>
      <c r="N292" t="inlineStr">
        <is>
          <t>1st ed.</t>
        </is>
      </c>
      <c r="O292" t="inlineStr">
        <is>
          <t>eng</t>
        </is>
      </c>
      <c r="P292" t="inlineStr">
        <is>
          <t>cau</t>
        </is>
      </c>
      <c r="R292" t="inlineStr">
        <is>
          <t xml:space="preserve">HM </t>
        </is>
      </c>
      <c r="S292" t="n">
        <v>14</v>
      </c>
      <c r="T292" t="n">
        <v>14</v>
      </c>
      <c r="U292" t="inlineStr">
        <is>
          <t>2006-01-29</t>
        </is>
      </c>
      <c r="V292" t="inlineStr">
        <is>
          <t>2006-01-29</t>
        </is>
      </c>
      <c r="W292" t="inlineStr">
        <is>
          <t>1999-03-29</t>
        </is>
      </c>
      <c r="X292" t="inlineStr">
        <is>
          <t>1999-03-29</t>
        </is>
      </c>
      <c r="Y292" t="n">
        <v>768</v>
      </c>
      <c r="Z292" t="n">
        <v>625</v>
      </c>
      <c r="AA292" t="n">
        <v>1565</v>
      </c>
      <c r="AB292" t="n">
        <v>8</v>
      </c>
      <c r="AC292" t="n">
        <v>10</v>
      </c>
      <c r="AD292" t="n">
        <v>27</v>
      </c>
      <c r="AE292" t="n">
        <v>44</v>
      </c>
      <c r="AF292" t="n">
        <v>12</v>
      </c>
      <c r="AG292" t="n">
        <v>22</v>
      </c>
      <c r="AH292" t="n">
        <v>4</v>
      </c>
      <c r="AI292" t="n">
        <v>8</v>
      </c>
      <c r="AJ292" t="n">
        <v>10</v>
      </c>
      <c r="AK292" t="n">
        <v>16</v>
      </c>
      <c r="AL292" t="n">
        <v>7</v>
      </c>
      <c r="AM292" t="n">
        <v>8</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HYPERLINK("https://creighton-primo.hosted.exlibrisgroup.com/primo-explore/search?tab=default_tab&amp;search_scope=EVERYTHING&amp;vid=01CRU&amp;lang=en_US&amp;offset=0&amp;query=any,contains,991002990029702656","Catalog Record")</f>
        <v/>
      </c>
      <c r="AT292">
        <f>HYPERLINK("http://www.worldcat.org/oclc/40347501","WorldCat Record")</f>
        <v/>
      </c>
      <c r="AU292" t="inlineStr">
        <is>
          <t>1037409927:eng</t>
        </is>
      </c>
      <c r="AV292" t="inlineStr">
        <is>
          <t>40347501</t>
        </is>
      </c>
      <c r="AW292" t="inlineStr">
        <is>
          <t>991002990029702656</t>
        </is>
      </c>
      <c r="AX292" t="inlineStr">
        <is>
          <t>991002990029702656</t>
        </is>
      </c>
      <c r="AY292" t="inlineStr">
        <is>
          <t>2254908280002656</t>
        </is>
      </c>
      <c r="AZ292" t="inlineStr">
        <is>
          <t>BOOK</t>
        </is>
      </c>
      <c r="BB292" t="inlineStr">
        <is>
          <t>9780787947262</t>
        </is>
      </c>
      <c r="BC292" t="inlineStr">
        <is>
          <t>32285003546867</t>
        </is>
      </c>
      <c r="BD292" t="inlineStr">
        <is>
          <t>893505066</t>
        </is>
      </c>
    </row>
    <row r="293">
      <c r="A293" t="inlineStr">
        <is>
          <t>No</t>
        </is>
      </c>
      <c r="B293" t="inlineStr">
        <is>
          <t>HM141 .L39 1983</t>
        </is>
      </c>
      <c r="C293" t="inlineStr">
        <is>
          <t>0                      HM 0141000L  39          1983</t>
        </is>
      </c>
      <c r="D293" t="inlineStr">
        <is>
          <t>Leadership and social change / edited by William R. Lassey and Marshall Sashkin.</t>
        </is>
      </c>
      <c r="F293" t="inlineStr">
        <is>
          <t>No</t>
        </is>
      </c>
      <c r="G293" t="inlineStr">
        <is>
          <t>1</t>
        </is>
      </c>
      <c r="H293" t="inlineStr">
        <is>
          <t>No</t>
        </is>
      </c>
      <c r="I293" t="inlineStr">
        <is>
          <t>No</t>
        </is>
      </c>
      <c r="J293" t="inlineStr">
        <is>
          <t>0</t>
        </is>
      </c>
      <c r="L293" t="inlineStr">
        <is>
          <t>San Diego, Calif. : University Associates, 1983.</t>
        </is>
      </c>
      <c r="M293" t="inlineStr">
        <is>
          <t>1983</t>
        </is>
      </c>
      <c r="N293" t="inlineStr">
        <is>
          <t>3rd ed., (rev. and updated)</t>
        </is>
      </c>
      <c r="O293" t="inlineStr">
        <is>
          <t>eng</t>
        </is>
      </c>
      <c r="P293" t="inlineStr">
        <is>
          <t>cau</t>
        </is>
      </c>
      <c r="R293" t="inlineStr">
        <is>
          <t xml:space="preserve">HM </t>
        </is>
      </c>
      <c r="S293" t="n">
        <v>7</v>
      </c>
      <c r="T293" t="n">
        <v>7</v>
      </c>
      <c r="U293" t="inlineStr">
        <is>
          <t>2004-01-30</t>
        </is>
      </c>
      <c r="V293" t="inlineStr">
        <is>
          <t>2004-01-30</t>
        </is>
      </c>
      <c r="W293" t="inlineStr">
        <is>
          <t>1992-03-30</t>
        </is>
      </c>
      <c r="X293" t="inlineStr">
        <is>
          <t>1992-03-30</t>
        </is>
      </c>
      <c r="Y293" t="n">
        <v>259</v>
      </c>
      <c r="Z293" t="n">
        <v>205</v>
      </c>
      <c r="AA293" t="n">
        <v>627</v>
      </c>
      <c r="AB293" t="n">
        <v>3</v>
      </c>
      <c r="AC293" t="n">
        <v>3</v>
      </c>
      <c r="AD293" t="n">
        <v>12</v>
      </c>
      <c r="AE293" t="n">
        <v>29</v>
      </c>
      <c r="AF293" t="n">
        <v>3</v>
      </c>
      <c r="AG293" t="n">
        <v>13</v>
      </c>
      <c r="AH293" t="n">
        <v>1</v>
      </c>
      <c r="AI293" t="n">
        <v>4</v>
      </c>
      <c r="AJ293" t="n">
        <v>7</v>
      </c>
      <c r="AK293" t="n">
        <v>16</v>
      </c>
      <c r="AL293" t="n">
        <v>2</v>
      </c>
      <c r="AM293" t="n">
        <v>2</v>
      </c>
      <c r="AN293" t="n">
        <v>0</v>
      </c>
      <c r="AO293" t="n">
        <v>0</v>
      </c>
      <c r="AP293" t="inlineStr">
        <is>
          <t>No</t>
        </is>
      </c>
      <c r="AQ293" t="inlineStr">
        <is>
          <t>Yes</t>
        </is>
      </c>
      <c r="AR293">
        <f>HYPERLINK("http://catalog.hathitrust.org/Record/004543128","HathiTrust Record")</f>
        <v/>
      </c>
      <c r="AS293">
        <f>HYPERLINK("https://creighton-primo.hosted.exlibrisgroup.com/primo-explore/search?tab=default_tab&amp;search_scope=EVERYTHING&amp;vid=01CRU&amp;lang=en_US&amp;offset=0&amp;query=any,contains,991000306079702656","Catalog Record")</f>
        <v/>
      </c>
      <c r="AT293">
        <f>HYPERLINK("http://www.worldcat.org/oclc/10123154","WorldCat Record")</f>
        <v/>
      </c>
      <c r="AU293" t="inlineStr">
        <is>
          <t>350349833:eng</t>
        </is>
      </c>
      <c r="AV293" t="inlineStr">
        <is>
          <t>10123154</t>
        </is>
      </c>
      <c r="AW293" t="inlineStr">
        <is>
          <t>991000306079702656</t>
        </is>
      </c>
      <c r="AX293" t="inlineStr">
        <is>
          <t>991000306079702656</t>
        </is>
      </c>
      <c r="AY293" t="inlineStr">
        <is>
          <t>2263854470002656</t>
        </is>
      </c>
      <c r="AZ293" t="inlineStr">
        <is>
          <t>BOOK</t>
        </is>
      </c>
      <c r="BB293" t="inlineStr">
        <is>
          <t>9780883901793</t>
        </is>
      </c>
      <c r="BC293" t="inlineStr">
        <is>
          <t>32285001041127</t>
        </is>
      </c>
      <c r="BD293" t="inlineStr">
        <is>
          <t>893237219</t>
        </is>
      </c>
    </row>
    <row r="294">
      <c r="A294" t="inlineStr">
        <is>
          <t>No</t>
        </is>
      </c>
      <c r="B294" t="inlineStr">
        <is>
          <t>HM141 .L395 1984</t>
        </is>
      </c>
      <c r="C294" t="inlineStr">
        <is>
          <t>0                      HM 0141000L  395         1984</t>
        </is>
      </c>
      <c r="D294" t="inlineStr">
        <is>
          <t>Leadership--interdisciplinary reflections / edited by R.S. Khare, David Little.</t>
        </is>
      </c>
      <c r="F294" t="inlineStr">
        <is>
          <t>No</t>
        </is>
      </c>
      <c r="G294" t="inlineStr">
        <is>
          <t>1</t>
        </is>
      </c>
      <c r="H294" t="inlineStr">
        <is>
          <t>No</t>
        </is>
      </c>
      <c r="I294" t="inlineStr">
        <is>
          <t>No</t>
        </is>
      </c>
      <c r="J294" t="inlineStr">
        <is>
          <t>0</t>
        </is>
      </c>
      <c r="L294" t="inlineStr">
        <is>
          <t>Lanham : University Press of America, c1984.</t>
        </is>
      </c>
      <c r="M294" t="inlineStr">
        <is>
          <t>1984</t>
        </is>
      </c>
      <c r="O294" t="inlineStr">
        <is>
          <t>eng</t>
        </is>
      </c>
      <c r="P294" t="inlineStr">
        <is>
          <t>mdu</t>
        </is>
      </c>
      <c r="R294" t="inlineStr">
        <is>
          <t xml:space="preserve">HM </t>
        </is>
      </c>
      <c r="S294" t="n">
        <v>5</v>
      </c>
      <c r="T294" t="n">
        <v>5</v>
      </c>
      <c r="U294" t="inlineStr">
        <is>
          <t>2006-01-31</t>
        </is>
      </c>
      <c r="V294" t="inlineStr">
        <is>
          <t>2006-01-31</t>
        </is>
      </c>
      <c r="W294" t="inlineStr">
        <is>
          <t>1992-03-30</t>
        </is>
      </c>
      <c r="X294" t="inlineStr">
        <is>
          <t>1992-03-30</t>
        </is>
      </c>
      <c r="Y294" t="n">
        <v>200</v>
      </c>
      <c r="Z294" t="n">
        <v>159</v>
      </c>
      <c r="AA294" t="n">
        <v>164</v>
      </c>
      <c r="AB294" t="n">
        <v>2</v>
      </c>
      <c r="AC294" t="n">
        <v>2</v>
      </c>
      <c r="AD294" t="n">
        <v>5</v>
      </c>
      <c r="AE294" t="n">
        <v>5</v>
      </c>
      <c r="AF294" t="n">
        <v>1</v>
      </c>
      <c r="AG294" t="n">
        <v>1</v>
      </c>
      <c r="AH294" t="n">
        <v>2</v>
      </c>
      <c r="AI294" t="n">
        <v>2</v>
      </c>
      <c r="AJ294" t="n">
        <v>3</v>
      </c>
      <c r="AK294" t="n">
        <v>3</v>
      </c>
      <c r="AL294" t="n">
        <v>1</v>
      </c>
      <c r="AM294" t="n">
        <v>1</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HYPERLINK("https://creighton-primo.hosted.exlibrisgroup.com/primo-explore/search?tab=default_tab&amp;search_scope=EVERYTHING&amp;vid=01CRU&amp;lang=en_US&amp;offset=0&amp;query=any,contains,991000406879702656","Catalog Record")</f>
        <v/>
      </c>
      <c r="AT294">
        <f>HYPERLINK("http://www.worldcat.org/oclc/10694680","WorldCat Record")</f>
        <v/>
      </c>
      <c r="AU294" t="inlineStr">
        <is>
          <t>149982028:eng</t>
        </is>
      </c>
      <c r="AV294" t="inlineStr">
        <is>
          <t>10694680</t>
        </is>
      </c>
      <c r="AW294" t="inlineStr">
        <is>
          <t>991000406879702656</t>
        </is>
      </c>
      <c r="AX294" t="inlineStr">
        <is>
          <t>991000406879702656</t>
        </is>
      </c>
      <c r="AY294" t="inlineStr">
        <is>
          <t>2270081080002656</t>
        </is>
      </c>
      <c r="AZ294" t="inlineStr">
        <is>
          <t>BOOK</t>
        </is>
      </c>
      <c r="BB294" t="inlineStr">
        <is>
          <t>9780819139702</t>
        </is>
      </c>
      <c r="BC294" t="inlineStr">
        <is>
          <t>32285001041135</t>
        </is>
      </c>
      <c r="BD294" t="inlineStr">
        <is>
          <t>893351509</t>
        </is>
      </c>
    </row>
    <row r="295">
      <c r="A295" t="inlineStr">
        <is>
          <t>No</t>
        </is>
      </c>
      <c r="B295" t="inlineStr">
        <is>
          <t>HM141 .L413</t>
        </is>
      </c>
      <c r="C295" t="inlineStr">
        <is>
          <t>0                      HM 0141000L  413</t>
        </is>
      </c>
      <c r="D295" t="inlineStr">
        <is>
          <t>Leadership : where else can we go? / Edited by Morgan W. McCall, Jr., and Michael M. Lombardo. --</t>
        </is>
      </c>
      <c r="F295" t="inlineStr">
        <is>
          <t>No</t>
        </is>
      </c>
      <c r="G295" t="inlineStr">
        <is>
          <t>1</t>
        </is>
      </c>
      <c r="H295" t="inlineStr">
        <is>
          <t>No</t>
        </is>
      </c>
      <c r="I295" t="inlineStr">
        <is>
          <t>No</t>
        </is>
      </c>
      <c r="J295" t="inlineStr">
        <is>
          <t>0</t>
        </is>
      </c>
      <c r="L295" t="inlineStr">
        <is>
          <t>Durham, N.C. : Duke University Press, 1978.</t>
        </is>
      </c>
      <c r="M295" t="inlineStr">
        <is>
          <t>1978</t>
        </is>
      </c>
      <c r="O295" t="inlineStr">
        <is>
          <t>eng</t>
        </is>
      </c>
      <c r="P295" t="inlineStr">
        <is>
          <t>ncu</t>
        </is>
      </c>
      <c r="R295" t="inlineStr">
        <is>
          <t xml:space="preserve">HM </t>
        </is>
      </c>
      <c r="S295" t="n">
        <v>6</v>
      </c>
      <c r="T295" t="n">
        <v>6</v>
      </c>
      <c r="U295" t="inlineStr">
        <is>
          <t>2005-04-16</t>
        </is>
      </c>
      <c r="V295" t="inlineStr">
        <is>
          <t>2005-04-16</t>
        </is>
      </c>
      <c r="W295" t="inlineStr">
        <is>
          <t>1992-02-11</t>
        </is>
      </c>
      <c r="X295" t="inlineStr">
        <is>
          <t>1992-02-11</t>
        </is>
      </c>
      <c r="Y295" t="n">
        <v>649</v>
      </c>
      <c r="Z295" t="n">
        <v>550</v>
      </c>
      <c r="AA295" t="n">
        <v>557</v>
      </c>
      <c r="AB295" t="n">
        <v>7</v>
      </c>
      <c r="AC295" t="n">
        <v>7</v>
      </c>
      <c r="AD295" t="n">
        <v>28</v>
      </c>
      <c r="AE295" t="n">
        <v>28</v>
      </c>
      <c r="AF295" t="n">
        <v>10</v>
      </c>
      <c r="AG295" t="n">
        <v>10</v>
      </c>
      <c r="AH295" t="n">
        <v>4</v>
      </c>
      <c r="AI295" t="n">
        <v>4</v>
      </c>
      <c r="AJ295" t="n">
        <v>13</v>
      </c>
      <c r="AK295" t="n">
        <v>13</v>
      </c>
      <c r="AL295" t="n">
        <v>6</v>
      </c>
      <c r="AM295" t="n">
        <v>6</v>
      </c>
      <c r="AN295" t="n">
        <v>0</v>
      </c>
      <c r="AO295" t="n">
        <v>0</v>
      </c>
      <c r="AP295" t="inlineStr">
        <is>
          <t>No</t>
        </is>
      </c>
      <c r="AQ295" t="inlineStr">
        <is>
          <t>Yes</t>
        </is>
      </c>
      <c r="AR295">
        <f>HYPERLINK("http://catalog.hathitrust.org/Record/000177337","HathiTrust Record")</f>
        <v/>
      </c>
      <c r="AS295">
        <f>HYPERLINK("https://creighton-primo.hosted.exlibrisgroup.com/primo-explore/search?tab=default_tab&amp;search_scope=EVERYTHING&amp;vid=01CRU&amp;lang=en_US&amp;offset=0&amp;query=any,contains,991004570669702656","Catalog Record")</f>
        <v/>
      </c>
      <c r="AT295">
        <f>HYPERLINK("http://www.worldcat.org/oclc/4025718","WorldCat Record")</f>
        <v/>
      </c>
      <c r="AU295" t="inlineStr">
        <is>
          <t>14120544:eng</t>
        </is>
      </c>
      <c r="AV295" t="inlineStr">
        <is>
          <t>4025718</t>
        </is>
      </c>
      <c r="AW295" t="inlineStr">
        <is>
          <t>991004570669702656</t>
        </is>
      </c>
      <c r="AX295" t="inlineStr">
        <is>
          <t>991004570669702656</t>
        </is>
      </c>
      <c r="AY295" t="inlineStr">
        <is>
          <t>2271159230002656</t>
        </is>
      </c>
      <c r="AZ295" t="inlineStr">
        <is>
          <t>BOOK</t>
        </is>
      </c>
      <c r="BB295" t="inlineStr">
        <is>
          <t>9780822303978</t>
        </is>
      </c>
      <c r="BC295" t="inlineStr">
        <is>
          <t>32285000956077</t>
        </is>
      </c>
      <c r="BD295" t="inlineStr">
        <is>
          <t>893259880</t>
        </is>
      </c>
    </row>
    <row r="296">
      <c r="A296" t="inlineStr">
        <is>
          <t>No</t>
        </is>
      </c>
      <c r="B296" t="inlineStr">
        <is>
          <t>HM141 .L553 1990</t>
        </is>
      </c>
      <c r="C296" t="inlineStr">
        <is>
          <t>0                      HM 0141000L  553         1990</t>
        </is>
      </c>
      <c r="D296" t="inlineStr">
        <is>
          <t>Charisma / Charles Lindholm.</t>
        </is>
      </c>
      <c r="F296" t="inlineStr">
        <is>
          <t>No</t>
        </is>
      </c>
      <c r="G296" t="inlineStr">
        <is>
          <t>1</t>
        </is>
      </c>
      <c r="H296" t="inlineStr">
        <is>
          <t>No</t>
        </is>
      </c>
      <c r="I296" t="inlineStr">
        <is>
          <t>No</t>
        </is>
      </c>
      <c r="J296" t="inlineStr">
        <is>
          <t>0</t>
        </is>
      </c>
      <c r="K296" t="inlineStr">
        <is>
          <t>Lindholm, Charles, 1946-</t>
        </is>
      </c>
      <c r="L296" t="inlineStr">
        <is>
          <t>Cambridge, MA : B. Blackwell, 1990.</t>
        </is>
      </c>
      <c r="M296" t="inlineStr">
        <is>
          <t>1990</t>
        </is>
      </c>
      <c r="O296" t="inlineStr">
        <is>
          <t>eng</t>
        </is>
      </c>
      <c r="P296" t="inlineStr">
        <is>
          <t>mau</t>
        </is>
      </c>
      <c r="R296" t="inlineStr">
        <is>
          <t xml:space="preserve">HM </t>
        </is>
      </c>
      <c r="S296" t="n">
        <v>15</v>
      </c>
      <c r="T296" t="n">
        <v>15</v>
      </c>
      <c r="U296" t="inlineStr">
        <is>
          <t>2000-03-24</t>
        </is>
      </c>
      <c r="V296" t="inlineStr">
        <is>
          <t>2000-03-24</t>
        </is>
      </c>
      <c r="W296" t="inlineStr">
        <is>
          <t>1991-05-13</t>
        </is>
      </c>
      <c r="X296" t="inlineStr">
        <is>
          <t>1991-05-13</t>
        </is>
      </c>
      <c r="Y296" t="n">
        <v>548</v>
      </c>
      <c r="Z296" t="n">
        <v>440</v>
      </c>
      <c r="AA296" t="n">
        <v>462</v>
      </c>
      <c r="AB296" t="n">
        <v>1</v>
      </c>
      <c r="AC296" t="n">
        <v>1</v>
      </c>
      <c r="AD296" t="n">
        <v>19</v>
      </c>
      <c r="AE296" t="n">
        <v>20</v>
      </c>
      <c r="AF296" t="n">
        <v>7</v>
      </c>
      <c r="AG296" t="n">
        <v>7</v>
      </c>
      <c r="AH296" t="n">
        <v>6</v>
      </c>
      <c r="AI296" t="n">
        <v>6</v>
      </c>
      <c r="AJ296" t="n">
        <v>11</v>
      </c>
      <c r="AK296" t="n">
        <v>12</v>
      </c>
      <c r="AL296" t="n">
        <v>0</v>
      </c>
      <c r="AM296" t="n">
        <v>0</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HYPERLINK("https://creighton-primo.hosted.exlibrisgroup.com/primo-explore/search?tab=default_tab&amp;search_scope=EVERYTHING&amp;vid=01CRU&amp;lang=en_US&amp;offset=0&amp;query=any,contains,991001665709702656","Catalog Record")</f>
        <v/>
      </c>
      <c r="AT296">
        <f>HYPERLINK("http://www.worldcat.org/oclc/21226436","WorldCat Record")</f>
        <v/>
      </c>
      <c r="AU296" t="inlineStr">
        <is>
          <t>387072:eng</t>
        </is>
      </c>
      <c r="AV296" t="inlineStr">
        <is>
          <t>21226436</t>
        </is>
      </c>
      <c r="AW296" t="inlineStr">
        <is>
          <t>991001665709702656</t>
        </is>
      </c>
      <c r="AX296" t="inlineStr">
        <is>
          <t>991001665709702656</t>
        </is>
      </c>
      <c r="AY296" t="inlineStr">
        <is>
          <t>2270867620002656</t>
        </is>
      </c>
      <c r="AZ296" t="inlineStr">
        <is>
          <t>BOOK</t>
        </is>
      </c>
      <c r="BB296" t="inlineStr">
        <is>
          <t>9781557860217</t>
        </is>
      </c>
      <c r="BC296" t="inlineStr">
        <is>
          <t>32285000572742</t>
        </is>
      </c>
      <c r="BD296" t="inlineStr">
        <is>
          <t>893879059</t>
        </is>
      </c>
    </row>
    <row r="297">
      <c r="A297" t="inlineStr">
        <is>
          <t>No</t>
        </is>
      </c>
      <c r="B297" t="inlineStr">
        <is>
          <t>HM141 .M29 1997</t>
        </is>
      </c>
      <c r="C297" t="inlineStr">
        <is>
          <t>0                      HM 0141000M  29          1997</t>
        </is>
      </c>
      <c r="D297" t="inlineStr">
        <is>
          <t>Finding your voice : learning to lead-- anywhere you want to make a difference / Larraine R. Matusak ; foreword by Andrew J. Young.</t>
        </is>
      </c>
      <c r="F297" t="inlineStr">
        <is>
          <t>No</t>
        </is>
      </c>
      <c r="G297" t="inlineStr">
        <is>
          <t>1</t>
        </is>
      </c>
      <c r="H297" t="inlineStr">
        <is>
          <t>No</t>
        </is>
      </c>
      <c r="I297" t="inlineStr">
        <is>
          <t>No</t>
        </is>
      </c>
      <c r="J297" t="inlineStr">
        <is>
          <t>0</t>
        </is>
      </c>
      <c r="K297" t="inlineStr">
        <is>
          <t>Matusak, Larraine R.</t>
        </is>
      </c>
      <c r="L297" t="inlineStr">
        <is>
          <t>San Francisco : Jossey-Bass, c1997.</t>
        </is>
      </c>
      <c r="M297" t="inlineStr">
        <is>
          <t>1997</t>
        </is>
      </c>
      <c r="N297" t="inlineStr">
        <is>
          <t>1st ed.</t>
        </is>
      </c>
      <c r="O297" t="inlineStr">
        <is>
          <t>eng</t>
        </is>
      </c>
      <c r="P297" t="inlineStr">
        <is>
          <t>cau</t>
        </is>
      </c>
      <c r="R297" t="inlineStr">
        <is>
          <t xml:space="preserve">HM </t>
        </is>
      </c>
      <c r="S297" t="n">
        <v>2</v>
      </c>
      <c r="T297" t="n">
        <v>2</v>
      </c>
      <c r="U297" t="inlineStr">
        <is>
          <t>2005-04-28</t>
        </is>
      </c>
      <c r="V297" t="inlineStr">
        <is>
          <t>2005-04-28</t>
        </is>
      </c>
      <c r="W297" t="inlineStr">
        <is>
          <t>2005-04-13</t>
        </is>
      </c>
      <c r="X297" t="inlineStr">
        <is>
          <t>2005-04-13</t>
        </is>
      </c>
      <c r="Y297" t="n">
        <v>376</v>
      </c>
      <c r="Z297" t="n">
        <v>344</v>
      </c>
      <c r="AA297" t="n">
        <v>350</v>
      </c>
      <c r="AB297" t="n">
        <v>4</v>
      </c>
      <c r="AC297" t="n">
        <v>4</v>
      </c>
      <c r="AD297" t="n">
        <v>24</v>
      </c>
      <c r="AE297" t="n">
        <v>24</v>
      </c>
      <c r="AF297" t="n">
        <v>9</v>
      </c>
      <c r="AG297" t="n">
        <v>9</v>
      </c>
      <c r="AH297" t="n">
        <v>4</v>
      </c>
      <c r="AI297" t="n">
        <v>4</v>
      </c>
      <c r="AJ297" t="n">
        <v>11</v>
      </c>
      <c r="AK297" t="n">
        <v>11</v>
      </c>
      <c r="AL297" t="n">
        <v>3</v>
      </c>
      <c r="AM297" t="n">
        <v>3</v>
      </c>
      <c r="AN297" t="n">
        <v>0</v>
      </c>
      <c r="AO297" t="n">
        <v>0</v>
      </c>
      <c r="AP297" t="inlineStr">
        <is>
          <t>No</t>
        </is>
      </c>
      <c r="AQ297" t="inlineStr">
        <is>
          <t>Yes</t>
        </is>
      </c>
      <c r="AR297">
        <f>HYPERLINK("http://catalog.hathitrust.org/Record/003108570","HathiTrust Record")</f>
        <v/>
      </c>
      <c r="AS297">
        <f>HYPERLINK("https://creighton-primo.hosted.exlibrisgroup.com/primo-explore/search?tab=default_tab&amp;search_scope=EVERYTHING&amp;vid=01CRU&amp;lang=en_US&amp;offset=0&amp;query=any,contains,991004521229702656","Catalog Record")</f>
        <v/>
      </c>
      <c r="AT297">
        <f>HYPERLINK("http://www.worldcat.org/oclc/35029539","WorldCat Record")</f>
        <v/>
      </c>
      <c r="AU297" t="inlineStr">
        <is>
          <t>909680163:eng</t>
        </is>
      </c>
      <c r="AV297" t="inlineStr">
        <is>
          <t>35029539</t>
        </is>
      </c>
      <c r="AW297" t="inlineStr">
        <is>
          <t>991004521229702656</t>
        </is>
      </c>
      <c r="AX297" t="inlineStr">
        <is>
          <t>991004521229702656</t>
        </is>
      </c>
      <c r="AY297" t="inlineStr">
        <is>
          <t>2268014090002656</t>
        </is>
      </c>
      <c r="AZ297" t="inlineStr">
        <is>
          <t>BOOK</t>
        </is>
      </c>
      <c r="BB297" t="inlineStr">
        <is>
          <t>9780787903053</t>
        </is>
      </c>
      <c r="BC297" t="inlineStr">
        <is>
          <t>32285005030977</t>
        </is>
      </c>
      <c r="BD297" t="inlineStr">
        <is>
          <t>893423912</t>
        </is>
      </c>
    </row>
    <row r="298">
      <c r="A298" t="inlineStr">
        <is>
          <t>No</t>
        </is>
      </c>
      <c r="B298" t="inlineStr">
        <is>
          <t>HM141 .R6 1990</t>
        </is>
      </c>
      <c r="C298" t="inlineStr">
        <is>
          <t>0                      HM 0141000R  6           1990</t>
        </is>
      </c>
      <c r="D298" t="inlineStr">
        <is>
          <t>Leadership secrets of Attila the Hun / Wess Roberts.</t>
        </is>
      </c>
      <c r="F298" t="inlineStr">
        <is>
          <t>No</t>
        </is>
      </c>
      <c r="G298" t="inlineStr">
        <is>
          <t>1</t>
        </is>
      </c>
      <c r="H298" t="inlineStr">
        <is>
          <t>No</t>
        </is>
      </c>
      <c r="I298" t="inlineStr">
        <is>
          <t>No</t>
        </is>
      </c>
      <c r="J298" t="inlineStr">
        <is>
          <t>0</t>
        </is>
      </c>
      <c r="K298" t="inlineStr">
        <is>
          <t>Roberts, Wess.</t>
        </is>
      </c>
      <c r="L298" t="inlineStr">
        <is>
          <t>New York : Warner Books, 1990, c1987.</t>
        </is>
      </c>
      <c r="M298" t="inlineStr">
        <is>
          <t>1990</t>
        </is>
      </c>
      <c r="O298" t="inlineStr">
        <is>
          <t>eng</t>
        </is>
      </c>
      <c r="P298" t="inlineStr">
        <is>
          <t>nyu</t>
        </is>
      </c>
      <c r="R298" t="inlineStr">
        <is>
          <t xml:space="preserve">HM </t>
        </is>
      </c>
      <c r="S298" t="n">
        <v>1</v>
      </c>
      <c r="T298" t="n">
        <v>1</v>
      </c>
      <c r="U298" t="inlineStr">
        <is>
          <t>2009-08-20</t>
        </is>
      </c>
      <c r="V298" t="inlineStr">
        <is>
          <t>2009-08-20</t>
        </is>
      </c>
      <c r="W298" t="inlineStr">
        <is>
          <t>2009-08-20</t>
        </is>
      </c>
      <c r="X298" t="inlineStr">
        <is>
          <t>2009-08-20</t>
        </is>
      </c>
      <c r="Y298" t="n">
        <v>471</v>
      </c>
      <c r="Z298" t="n">
        <v>441</v>
      </c>
      <c r="AA298" t="n">
        <v>1673</v>
      </c>
      <c r="AB298" t="n">
        <v>2</v>
      </c>
      <c r="AC298" t="n">
        <v>6</v>
      </c>
      <c r="AD298" t="n">
        <v>8</v>
      </c>
      <c r="AE298" t="n">
        <v>25</v>
      </c>
      <c r="AF298" t="n">
        <v>3</v>
      </c>
      <c r="AG298" t="n">
        <v>11</v>
      </c>
      <c r="AH298" t="n">
        <v>2</v>
      </c>
      <c r="AI298" t="n">
        <v>5</v>
      </c>
      <c r="AJ298" t="n">
        <v>3</v>
      </c>
      <c r="AK298" t="n">
        <v>8</v>
      </c>
      <c r="AL298" t="n">
        <v>0</v>
      </c>
      <c r="AM298" t="n">
        <v>2</v>
      </c>
      <c r="AN298" t="n">
        <v>1</v>
      </c>
      <c r="AO298" t="n">
        <v>2</v>
      </c>
      <c r="AP298" t="inlineStr">
        <is>
          <t>No</t>
        </is>
      </c>
      <c r="AQ298" t="inlineStr">
        <is>
          <t>No</t>
        </is>
      </c>
      <c r="AS298">
        <f>HYPERLINK("https://creighton-primo.hosted.exlibrisgroup.com/primo-explore/search?tab=default_tab&amp;search_scope=EVERYTHING&amp;vid=01CRU&amp;lang=en_US&amp;offset=0&amp;query=any,contains,991005331399702656","Catalog Record")</f>
        <v/>
      </c>
      <c r="AT298">
        <f>HYPERLINK("http://www.worldcat.org/oclc/21005761","WorldCat Record")</f>
        <v/>
      </c>
      <c r="AU298" t="inlineStr">
        <is>
          <t>7408277:eng</t>
        </is>
      </c>
      <c r="AV298" t="inlineStr">
        <is>
          <t>21005761</t>
        </is>
      </c>
      <c r="AW298" t="inlineStr">
        <is>
          <t>991005331399702656</t>
        </is>
      </c>
      <c r="AX298" t="inlineStr">
        <is>
          <t>991005331399702656</t>
        </is>
      </c>
      <c r="AY298" t="inlineStr">
        <is>
          <t>2266960830002656</t>
        </is>
      </c>
      <c r="AZ298" t="inlineStr">
        <is>
          <t>BOOK</t>
        </is>
      </c>
      <c r="BB298" t="inlineStr">
        <is>
          <t>9780446391061</t>
        </is>
      </c>
      <c r="BC298" t="inlineStr">
        <is>
          <t>32285005542500</t>
        </is>
      </c>
      <c r="BD298" t="inlineStr">
        <is>
          <t>893527312</t>
        </is>
      </c>
    </row>
    <row r="299">
      <c r="A299" t="inlineStr">
        <is>
          <t>No</t>
        </is>
      </c>
      <c r="B299" t="inlineStr">
        <is>
          <t>HM141 .S53 1995</t>
        </is>
      </c>
      <c r="C299" t="inlineStr">
        <is>
          <t>0                      HM 0141000S  53          1995</t>
        </is>
      </c>
      <c r="D299" t="inlineStr">
        <is>
          <t>The cultural context of leadership and power / Jai B.P. Sinha.</t>
        </is>
      </c>
      <c r="F299" t="inlineStr">
        <is>
          <t>No</t>
        </is>
      </c>
      <c r="G299" t="inlineStr">
        <is>
          <t>1</t>
        </is>
      </c>
      <c r="H299" t="inlineStr">
        <is>
          <t>No</t>
        </is>
      </c>
      <c r="I299" t="inlineStr">
        <is>
          <t>No</t>
        </is>
      </c>
      <c r="J299" t="inlineStr">
        <is>
          <t>0</t>
        </is>
      </c>
      <c r="K299" t="inlineStr">
        <is>
          <t>Sinha, Jai B. P. (Jai Ballabha Prasad), 1936-</t>
        </is>
      </c>
      <c r="L299" t="inlineStr">
        <is>
          <t>New Delhi ; Thousand Oaks, CA : Sage Publications, 1995.</t>
        </is>
      </c>
      <c r="M299" t="inlineStr">
        <is>
          <t>1995</t>
        </is>
      </c>
      <c r="O299" t="inlineStr">
        <is>
          <t>eng</t>
        </is>
      </c>
      <c r="P299" t="inlineStr">
        <is>
          <t xml:space="preserve">ii </t>
        </is>
      </c>
      <c r="R299" t="inlineStr">
        <is>
          <t xml:space="preserve">HM </t>
        </is>
      </c>
      <c r="S299" t="n">
        <v>2</v>
      </c>
      <c r="T299" t="n">
        <v>2</v>
      </c>
      <c r="U299" t="inlineStr">
        <is>
          <t>2000-11-26</t>
        </is>
      </c>
      <c r="V299" t="inlineStr">
        <is>
          <t>2000-11-26</t>
        </is>
      </c>
      <c r="W299" t="inlineStr">
        <is>
          <t>1999-03-23</t>
        </is>
      </c>
      <c r="X299" t="inlineStr">
        <is>
          <t>1999-03-23</t>
        </is>
      </c>
      <c r="Y299" t="n">
        <v>172</v>
      </c>
      <c r="Z299" t="n">
        <v>109</v>
      </c>
      <c r="AA299" t="n">
        <v>111</v>
      </c>
      <c r="AB299" t="n">
        <v>2</v>
      </c>
      <c r="AC299" t="n">
        <v>2</v>
      </c>
      <c r="AD299" t="n">
        <v>6</v>
      </c>
      <c r="AE299" t="n">
        <v>6</v>
      </c>
      <c r="AF299" t="n">
        <v>2</v>
      </c>
      <c r="AG299" t="n">
        <v>2</v>
      </c>
      <c r="AH299" t="n">
        <v>1</v>
      </c>
      <c r="AI299" t="n">
        <v>1</v>
      </c>
      <c r="AJ299" t="n">
        <v>4</v>
      </c>
      <c r="AK299" t="n">
        <v>4</v>
      </c>
      <c r="AL299" t="n">
        <v>1</v>
      </c>
      <c r="AM299" t="n">
        <v>1</v>
      </c>
      <c r="AN299" t="n">
        <v>0</v>
      </c>
      <c r="AO299" t="n">
        <v>0</v>
      </c>
      <c r="AP299" t="inlineStr">
        <is>
          <t>No</t>
        </is>
      </c>
      <c r="AQ299" t="inlineStr">
        <is>
          <t>Yes</t>
        </is>
      </c>
      <c r="AR299">
        <f>HYPERLINK("http://catalog.hathitrust.org/Record/003017991","HathiTrust Record")</f>
        <v/>
      </c>
      <c r="AS299">
        <f>HYPERLINK("https://creighton-primo.hosted.exlibrisgroup.com/primo-explore/search?tab=default_tab&amp;search_scope=EVERYTHING&amp;vid=01CRU&amp;lang=en_US&amp;offset=0&amp;query=any,contains,991002467259702656","Catalog Record")</f>
        <v/>
      </c>
      <c r="AT299">
        <f>HYPERLINK("http://www.worldcat.org/oclc/32133242","WorldCat Record")</f>
        <v/>
      </c>
      <c r="AU299" t="inlineStr">
        <is>
          <t>24586641:eng</t>
        </is>
      </c>
      <c r="AV299" t="inlineStr">
        <is>
          <t>32133242</t>
        </is>
      </c>
      <c r="AW299" t="inlineStr">
        <is>
          <t>991002467259702656</t>
        </is>
      </c>
      <c r="AX299" t="inlineStr">
        <is>
          <t>991002467259702656</t>
        </is>
      </c>
      <c r="AY299" t="inlineStr">
        <is>
          <t>2264264770002656</t>
        </is>
      </c>
      <c r="AZ299" t="inlineStr">
        <is>
          <t>BOOK</t>
        </is>
      </c>
      <c r="BB299" t="inlineStr">
        <is>
          <t>9780803992313</t>
        </is>
      </c>
      <c r="BC299" t="inlineStr">
        <is>
          <t>32285003545141</t>
        </is>
      </c>
      <c r="BD299" t="inlineStr">
        <is>
          <t>893892581</t>
        </is>
      </c>
    </row>
    <row r="300">
      <c r="A300" t="inlineStr">
        <is>
          <t>No</t>
        </is>
      </c>
      <c r="B300" t="inlineStr">
        <is>
          <t>HM141 .W523 1984</t>
        </is>
      </c>
      <c r="C300" t="inlineStr">
        <is>
          <t>0                      HM 0141000W  523         1984</t>
        </is>
      </c>
      <c r="D300" t="inlineStr">
        <is>
          <t>The spellbinders : charismatic political leadership / Ann Ruth Willner.</t>
        </is>
      </c>
      <c r="F300" t="inlineStr">
        <is>
          <t>No</t>
        </is>
      </c>
      <c r="G300" t="inlineStr">
        <is>
          <t>1</t>
        </is>
      </c>
      <c r="H300" t="inlineStr">
        <is>
          <t>No</t>
        </is>
      </c>
      <c r="I300" t="inlineStr">
        <is>
          <t>No</t>
        </is>
      </c>
      <c r="J300" t="inlineStr">
        <is>
          <t>0</t>
        </is>
      </c>
      <c r="K300" t="inlineStr">
        <is>
          <t>Willner, Ann Ruth.</t>
        </is>
      </c>
      <c r="L300" t="inlineStr">
        <is>
          <t>New Haven, [Conn.] : Yale University Press, c1984.</t>
        </is>
      </c>
      <c r="M300" t="inlineStr">
        <is>
          <t>1984</t>
        </is>
      </c>
      <c r="O300" t="inlineStr">
        <is>
          <t>eng</t>
        </is>
      </c>
      <c r="P300" t="inlineStr">
        <is>
          <t>ctu</t>
        </is>
      </c>
      <c r="R300" t="inlineStr">
        <is>
          <t xml:space="preserve">HM </t>
        </is>
      </c>
      <c r="S300" t="n">
        <v>4</v>
      </c>
      <c r="T300" t="n">
        <v>4</v>
      </c>
      <c r="U300" t="inlineStr">
        <is>
          <t>2006-04-04</t>
        </is>
      </c>
      <c r="V300" t="inlineStr">
        <is>
          <t>2006-04-04</t>
        </is>
      </c>
      <c r="W300" t="inlineStr">
        <is>
          <t>1990-03-08</t>
        </is>
      </c>
      <c r="X300" t="inlineStr">
        <is>
          <t>1990-03-08</t>
        </is>
      </c>
      <c r="Y300" t="n">
        <v>916</v>
      </c>
      <c r="Z300" t="n">
        <v>771</v>
      </c>
      <c r="AA300" t="n">
        <v>910</v>
      </c>
      <c r="AB300" t="n">
        <v>2</v>
      </c>
      <c r="AC300" t="n">
        <v>2</v>
      </c>
      <c r="AD300" t="n">
        <v>34</v>
      </c>
      <c r="AE300" t="n">
        <v>40</v>
      </c>
      <c r="AF300" t="n">
        <v>16</v>
      </c>
      <c r="AG300" t="n">
        <v>21</v>
      </c>
      <c r="AH300" t="n">
        <v>8</v>
      </c>
      <c r="AI300" t="n">
        <v>9</v>
      </c>
      <c r="AJ300" t="n">
        <v>18</v>
      </c>
      <c r="AK300" t="n">
        <v>19</v>
      </c>
      <c r="AL300" t="n">
        <v>1</v>
      </c>
      <c r="AM300" t="n">
        <v>1</v>
      </c>
      <c r="AN300" t="n">
        <v>1</v>
      </c>
      <c r="AO300" t="n">
        <v>1</v>
      </c>
      <c r="AP300" t="inlineStr">
        <is>
          <t>No</t>
        </is>
      </c>
      <c r="AQ300" t="inlineStr">
        <is>
          <t>No</t>
        </is>
      </c>
      <c r="AS300">
        <f>HYPERLINK("https://creighton-primo.hosted.exlibrisgroup.com/primo-explore/search?tab=default_tab&amp;search_scope=EVERYTHING&amp;vid=01CRU&amp;lang=en_US&amp;offset=0&amp;query=any,contains,991000183369702656","Catalog Record")</f>
        <v/>
      </c>
      <c r="AT300">
        <f>HYPERLINK("http://www.worldcat.org/oclc/9392895","WorldCat Record")</f>
        <v/>
      </c>
      <c r="AU300" t="inlineStr">
        <is>
          <t>478999957:eng</t>
        </is>
      </c>
      <c r="AV300" t="inlineStr">
        <is>
          <t>9392895</t>
        </is>
      </c>
      <c r="AW300" t="inlineStr">
        <is>
          <t>991000183369702656</t>
        </is>
      </c>
      <c r="AX300" t="inlineStr">
        <is>
          <t>991000183369702656</t>
        </is>
      </c>
      <c r="AY300" t="inlineStr">
        <is>
          <t>2268732530002656</t>
        </is>
      </c>
      <c r="AZ300" t="inlineStr">
        <is>
          <t>BOOK</t>
        </is>
      </c>
      <c r="BB300" t="inlineStr">
        <is>
          <t>9780300028096</t>
        </is>
      </c>
      <c r="BC300" t="inlineStr">
        <is>
          <t>32285000078658</t>
        </is>
      </c>
      <c r="BD300" t="inlineStr">
        <is>
          <t>893620280</t>
        </is>
      </c>
    </row>
    <row r="301">
      <c r="A301" t="inlineStr">
        <is>
          <t>No</t>
        </is>
      </c>
      <c r="B301" t="inlineStr">
        <is>
          <t>HM141 .W53 1952</t>
        </is>
      </c>
      <c r="C301" t="inlineStr">
        <is>
          <t>0                      HM 0141000W  53          1952</t>
        </is>
      </c>
      <c r="D301" t="inlineStr">
        <is>
          <t>Leaders of men / edited, with introduction and notes, by T.H. Vail Motter.</t>
        </is>
      </c>
      <c r="F301" t="inlineStr">
        <is>
          <t>No</t>
        </is>
      </c>
      <c r="G301" t="inlineStr">
        <is>
          <t>1</t>
        </is>
      </c>
      <c r="H301" t="inlineStr">
        <is>
          <t>No</t>
        </is>
      </c>
      <c r="I301" t="inlineStr">
        <is>
          <t>No</t>
        </is>
      </c>
      <c r="J301" t="inlineStr">
        <is>
          <t>0</t>
        </is>
      </c>
      <c r="K301" t="inlineStr">
        <is>
          <t>Wilson, Woodrow, 1856-1924.</t>
        </is>
      </c>
      <c r="L301" t="inlineStr">
        <is>
          <t>Princeton : Princeton University Press, 1952.</t>
        </is>
      </c>
      <c r="M301" t="inlineStr">
        <is>
          <t>1952</t>
        </is>
      </c>
      <c r="O301" t="inlineStr">
        <is>
          <t>eng</t>
        </is>
      </c>
      <c r="P301" t="inlineStr">
        <is>
          <t>nju</t>
        </is>
      </c>
      <c r="R301" t="inlineStr">
        <is>
          <t xml:space="preserve">HM </t>
        </is>
      </c>
      <c r="S301" t="n">
        <v>1</v>
      </c>
      <c r="T301" t="n">
        <v>1</v>
      </c>
      <c r="U301" t="inlineStr">
        <is>
          <t>2007-02-22</t>
        </is>
      </c>
      <c r="V301" t="inlineStr">
        <is>
          <t>2007-02-22</t>
        </is>
      </c>
      <c r="W301" t="inlineStr">
        <is>
          <t>1995-03-02</t>
        </is>
      </c>
      <c r="X301" t="inlineStr">
        <is>
          <t>1995-03-02</t>
        </is>
      </c>
      <c r="Y301" t="n">
        <v>287</v>
      </c>
      <c r="Z301" t="n">
        <v>262</v>
      </c>
      <c r="AA301" t="n">
        <v>264</v>
      </c>
      <c r="AB301" t="n">
        <v>3</v>
      </c>
      <c r="AC301" t="n">
        <v>3</v>
      </c>
      <c r="AD301" t="n">
        <v>14</v>
      </c>
      <c r="AE301" t="n">
        <v>14</v>
      </c>
      <c r="AF301" t="n">
        <v>5</v>
      </c>
      <c r="AG301" t="n">
        <v>5</v>
      </c>
      <c r="AH301" t="n">
        <v>1</v>
      </c>
      <c r="AI301" t="n">
        <v>1</v>
      </c>
      <c r="AJ301" t="n">
        <v>7</v>
      </c>
      <c r="AK301" t="n">
        <v>7</v>
      </c>
      <c r="AL301" t="n">
        <v>2</v>
      </c>
      <c r="AM301" t="n">
        <v>2</v>
      </c>
      <c r="AN301" t="n">
        <v>0</v>
      </c>
      <c r="AO301" t="n">
        <v>0</v>
      </c>
      <c r="AP301" t="inlineStr">
        <is>
          <t>Yes</t>
        </is>
      </c>
      <c r="AQ301" t="inlineStr">
        <is>
          <t>No</t>
        </is>
      </c>
      <c r="AR301">
        <f>HYPERLINK("http://catalog.hathitrust.org/Record/000973483","HathiTrust Record")</f>
        <v/>
      </c>
      <c r="AS301">
        <f>HYPERLINK("https://creighton-primo.hosted.exlibrisgroup.com/primo-explore/search?tab=default_tab&amp;search_scope=EVERYTHING&amp;vid=01CRU&amp;lang=en_US&amp;offset=0&amp;query=any,contains,991003562019702656","Catalog Record")</f>
        <v/>
      </c>
      <c r="AT301">
        <f>HYPERLINK("http://www.worldcat.org/oclc/1133024","WorldCat Record")</f>
        <v/>
      </c>
      <c r="AU301" t="inlineStr">
        <is>
          <t>2048727:eng</t>
        </is>
      </c>
      <c r="AV301" t="inlineStr">
        <is>
          <t>1133024</t>
        </is>
      </c>
      <c r="AW301" t="inlineStr">
        <is>
          <t>991003562019702656</t>
        </is>
      </c>
      <c r="AX301" t="inlineStr">
        <is>
          <t>991003562019702656</t>
        </is>
      </c>
      <c r="AY301" t="inlineStr">
        <is>
          <t>2266218070002656</t>
        </is>
      </c>
      <c r="AZ301" t="inlineStr">
        <is>
          <t>BOOK</t>
        </is>
      </c>
      <c r="BC301" t="inlineStr">
        <is>
          <t>32285001779932</t>
        </is>
      </c>
      <c r="BD301" t="inlineStr">
        <is>
          <t>893531304</t>
        </is>
      </c>
    </row>
    <row r="302">
      <c r="A302" t="inlineStr">
        <is>
          <t>No</t>
        </is>
      </c>
      <c r="B302" t="inlineStr">
        <is>
          <t>HM146 .B56 1983</t>
        </is>
      </c>
      <c r="C302" t="inlineStr">
        <is>
          <t>0                      HM 0146000B  56          1983</t>
        </is>
      </c>
      <c r="D302" t="inlineStr">
        <is>
          <t>Biological differences and social equality : implications for social policy / edited by Masako N. Darrough and Robert H. Blank ; foreword by Gardner Lindzey.</t>
        </is>
      </c>
      <c r="F302" t="inlineStr">
        <is>
          <t>No</t>
        </is>
      </c>
      <c r="G302" t="inlineStr">
        <is>
          <t>1</t>
        </is>
      </c>
      <c r="H302" t="inlineStr">
        <is>
          <t>No</t>
        </is>
      </c>
      <c r="I302" t="inlineStr">
        <is>
          <t>No</t>
        </is>
      </c>
      <c r="J302" t="inlineStr">
        <is>
          <t>0</t>
        </is>
      </c>
      <c r="L302" t="inlineStr">
        <is>
          <t>Westport, Conn. : Greenwood Press, c1983.</t>
        </is>
      </c>
      <c r="M302" t="inlineStr">
        <is>
          <t>1983</t>
        </is>
      </c>
      <c r="O302" t="inlineStr">
        <is>
          <t>eng</t>
        </is>
      </c>
      <c r="P302" t="inlineStr">
        <is>
          <t>ctu</t>
        </is>
      </c>
      <c r="R302" t="inlineStr">
        <is>
          <t xml:space="preserve">HM </t>
        </is>
      </c>
      <c r="S302" t="n">
        <v>19</v>
      </c>
      <c r="T302" t="n">
        <v>19</v>
      </c>
      <c r="U302" t="inlineStr">
        <is>
          <t>1999-02-07</t>
        </is>
      </c>
      <c r="V302" t="inlineStr">
        <is>
          <t>1999-02-07</t>
        </is>
      </c>
      <c r="W302" t="inlineStr">
        <is>
          <t>1992-08-28</t>
        </is>
      </c>
      <c r="X302" t="inlineStr">
        <is>
          <t>1992-08-28</t>
        </is>
      </c>
      <c r="Y302" t="n">
        <v>469</v>
      </c>
      <c r="Z302" t="n">
        <v>399</v>
      </c>
      <c r="AA302" t="n">
        <v>401</v>
      </c>
      <c r="AB302" t="n">
        <v>3</v>
      </c>
      <c r="AC302" t="n">
        <v>3</v>
      </c>
      <c r="AD302" t="n">
        <v>18</v>
      </c>
      <c r="AE302" t="n">
        <v>18</v>
      </c>
      <c r="AF302" t="n">
        <v>5</v>
      </c>
      <c r="AG302" t="n">
        <v>5</v>
      </c>
      <c r="AH302" t="n">
        <v>3</v>
      </c>
      <c r="AI302" t="n">
        <v>3</v>
      </c>
      <c r="AJ302" t="n">
        <v>11</v>
      </c>
      <c r="AK302" t="n">
        <v>11</v>
      </c>
      <c r="AL302" t="n">
        <v>2</v>
      </c>
      <c r="AM302" t="n">
        <v>2</v>
      </c>
      <c r="AN302" t="n">
        <v>1</v>
      </c>
      <c r="AO302" t="n">
        <v>1</v>
      </c>
      <c r="AP302" t="inlineStr">
        <is>
          <t>No</t>
        </is>
      </c>
      <c r="AQ302" t="inlineStr">
        <is>
          <t>Yes</t>
        </is>
      </c>
      <c r="AR302">
        <f>HYPERLINK("http://catalog.hathitrust.org/Record/000238785","HathiTrust Record")</f>
        <v/>
      </c>
      <c r="AS302">
        <f>HYPERLINK("https://creighton-primo.hosted.exlibrisgroup.com/primo-explore/search?tab=default_tab&amp;search_scope=EVERYTHING&amp;vid=01CRU&amp;lang=en_US&amp;offset=0&amp;query=any,contains,991000034219702656","Catalog Record")</f>
        <v/>
      </c>
      <c r="AT302">
        <f>HYPERLINK("http://www.worldcat.org/oclc/8627023","WorldCat Record")</f>
        <v/>
      </c>
      <c r="AU302" t="inlineStr">
        <is>
          <t>836698913:eng</t>
        </is>
      </c>
      <c r="AV302" t="inlineStr">
        <is>
          <t>8627023</t>
        </is>
      </c>
      <c r="AW302" t="inlineStr">
        <is>
          <t>991000034219702656</t>
        </is>
      </c>
      <c r="AX302" t="inlineStr">
        <is>
          <t>991000034219702656</t>
        </is>
      </c>
      <c r="AY302" t="inlineStr">
        <is>
          <t>2261648750002656</t>
        </is>
      </c>
      <c r="AZ302" t="inlineStr">
        <is>
          <t>BOOK</t>
        </is>
      </c>
      <c r="BB302" t="inlineStr">
        <is>
          <t>9780313230226</t>
        </is>
      </c>
      <c r="BC302" t="inlineStr">
        <is>
          <t>32285001266807</t>
        </is>
      </c>
      <c r="BD302" t="inlineStr">
        <is>
          <t>893345317</t>
        </is>
      </c>
    </row>
    <row r="303">
      <c r="A303" t="inlineStr">
        <is>
          <t>No</t>
        </is>
      </c>
      <c r="B303" t="inlineStr">
        <is>
          <t>HM146 .K64 1998</t>
        </is>
      </c>
      <c r="C303" t="inlineStr">
        <is>
          <t>0                      HM 0146000K  64          1998</t>
        </is>
      </c>
      <c r="D303" t="inlineStr">
        <is>
          <t>Perspectives on equality : constructing a relational theory / Christine M. Koggel.</t>
        </is>
      </c>
      <c r="F303" t="inlineStr">
        <is>
          <t>No</t>
        </is>
      </c>
      <c r="G303" t="inlineStr">
        <is>
          <t>1</t>
        </is>
      </c>
      <c r="H303" t="inlineStr">
        <is>
          <t>No</t>
        </is>
      </c>
      <c r="I303" t="inlineStr">
        <is>
          <t>No</t>
        </is>
      </c>
      <c r="J303" t="inlineStr">
        <is>
          <t>0</t>
        </is>
      </c>
      <c r="K303" t="inlineStr">
        <is>
          <t>Koggel, Christine M., 1955-</t>
        </is>
      </c>
      <c r="L303" t="inlineStr">
        <is>
          <t>Lanham, MD : Rowman &amp; Littlefield Publishers, c1998.</t>
        </is>
      </c>
      <c r="M303" t="inlineStr">
        <is>
          <t>1998</t>
        </is>
      </c>
      <c r="O303" t="inlineStr">
        <is>
          <t>eng</t>
        </is>
      </c>
      <c r="P303" t="inlineStr">
        <is>
          <t>mdu</t>
        </is>
      </c>
      <c r="R303" t="inlineStr">
        <is>
          <t xml:space="preserve">HM </t>
        </is>
      </c>
      <c r="S303" t="n">
        <v>0</v>
      </c>
      <c r="T303" t="n">
        <v>0</v>
      </c>
      <c r="U303" t="inlineStr">
        <is>
          <t>2001-03-05</t>
        </is>
      </c>
      <c r="V303" t="inlineStr">
        <is>
          <t>2001-03-05</t>
        </is>
      </c>
      <c r="W303" t="inlineStr">
        <is>
          <t>1999-02-25</t>
        </is>
      </c>
      <c r="X303" t="inlineStr">
        <is>
          <t>1999-02-25</t>
        </is>
      </c>
      <c r="Y303" t="n">
        <v>331</v>
      </c>
      <c r="Z303" t="n">
        <v>279</v>
      </c>
      <c r="AA303" t="n">
        <v>289</v>
      </c>
      <c r="AB303" t="n">
        <v>3</v>
      </c>
      <c r="AC303" t="n">
        <v>3</v>
      </c>
      <c r="AD303" t="n">
        <v>15</v>
      </c>
      <c r="AE303" t="n">
        <v>15</v>
      </c>
      <c r="AF303" t="n">
        <v>2</v>
      </c>
      <c r="AG303" t="n">
        <v>2</v>
      </c>
      <c r="AH303" t="n">
        <v>4</v>
      </c>
      <c r="AI303" t="n">
        <v>4</v>
      </c>
      <c r="AJ303" t="n">
        <v>8</v>
      </c>
      <c r="AK303" t="n">
        <v>8</v>
      </c>
      <c r="AL303" t="n">
        <v>2</v>
      </c>
      <c r="AM303" t="n">
        <v>2</v>
      </c>
      <c r="AN303" t="n">
        <v>0</v>
      </c>
      <c r="AO303" t="n">
        <v>0</v>
      </c>
      <c r="AP303" t="inlineStr">
        <is>
          <t>No</t>
        </is>
      </c>
      <c r="AQ303" t="inlineStr">
        <is>
          <t>Yes</t>
        </is>
      </c>
      <c r="AR303">
        <f>HYPERLINK("http://catalog.hathitrust.org/Record/004575869","HathiTrust Record")</f>
        <v/>
      </c>
      <c r="AS303">
        <f>HYPERLINK("https://creighton-primo.hosted.exlibrisgroup.com/primo-explore/search?tab=default_tab&amp;search_scope=EVERYTHING&amp;vid=01CRU&amp;lang=en_US&amp;offset=0&amp;query=any,contains,991002839949702656","Catalog Record")</f>
        <v/>
      </c>
      <c r="AT303">
        <f>HYPERLINK("http://www.worldcat.org/oclc/37401106","WorldCat Record")</f>
        <v/>
      </c>
      <c r="AU303" t="inlineStr">
        <is>
          <t>891677326:eng</t>
        </is>
      </c>
      <c r="AV303" t="inlineStr">
        <is>
          <t>37401106</t>
        </is>
      </c>
      <c r="AW303" t="inlineStr">
        <is>
          <t>991002839949702656</t>
        </is>
      </c>
      <c r="AX303" t="inlineStr">
        <is>
          <t>991002839949702656</t>
        </is>
      </c>
      <c r="AY303" t="inlineStr">
        <is>
          <t>2258645470002656</t>
        </is>
      </c>
      <c r="AZ303" t="inlineStr">
        <is>
          <t>BOOK</t>
        </is>
      </c>
      <c r="BB303" t="inlineStr">
        <is>
          <t>9780847688050</t>
        </is>
      </c>
      <c r="BC303" t="inlineStr">
        <is>
          <t>32285003527214</t>
        </is>
      </c>
      <c r="BD303" t="inlineStr">
        <is>
          <t>893428120</t>
        </is>
      </c>
    </row>
    <row r="304">
      <c r="A304" t="inlineStr">
        <is>
          <t>No</t>
        </is>
      </c>
      <c r="B304" t="inlineStr">
        <is>
          <t>HM146 .T3 1961</t>
        </is>
      </c>
      <c r="C304" t="inlineStr">
        <is>
          <t>0                      HM 0146000T  3           1961</t>
        </is>
      </c>
      <c r="D304" t="inlineStr">
        <is>
          <t>Equality / Richard Henry Tawney.</t>
        </is>
      </c>
      <c r="F304" t="inlineStr">
        <is>
          <t>No</t>
        </is>
      </c>
      <c r="G304" t="inlineStr">
        <is>
          <t>1</t>
        </is>
      </c>
      <c r="H304" t="inlineStr">
        <is>
          <t>No</t>
        </is>
      </c>
      <c r="I304" t="inlineStr">
        <is>
          <t>No</t>
        </is>
      </c>
      <c r="J304" t="inlineStr">
        <is>
          <t>0</t>
        </is>
      </c>
      <c r="K304" t="inlineStr">
        <is>
          <t>Tawney, R. H. (Richard Henry), 1880-1962.</t>
        </is>
      </c>
      <c r="L304" t="inlineStr">
        <is>
          <t>New York : Capricorn Books, [1961]</t>
        </is>
      </c>
      <c r="M304" t="inlineStr">
        <is>
          <t>1961</t>
        </is>
      </c>
      <c r="O304" t="inlineStr">
        <is>
          <t>eng</t>
        </is>
      </c>
      <c r="P304" t="inlineStr">
        <is>
          <t xml:space="preserve">xx </t>
        </is>
      </c>
      <c r="Q304" t="inlineStr">
        <is>
          <t>Capricorn books ; CAP 53</t>
        </is>
      </c>
      <c r="R304" t="inlineStr">
        <is>
          <t xml:space="preserve">HM </t>
        </is>
      </c>
      <c r="S304" t="n">
        <v>4</v>
      </c>
      <c r="T304" t="n">
        <v>4</v>
      </c>
      <c r="U304" t="inlineStr">
        <is>
          <t>2008-11-30</t>
        </is>
      </c>
      <c r="V304" t="inlineStr">
        <is>
          <t>2008-11-30</t>
        </is>
      </c>
      <c r="W304" t="inlineStr">
        <is>
          <t>1997-02-05</t>
        </is>
      </c>
      <c r="X304" t="inlineStr">
        <is>
          <t>1997-02-05</t>
        </is>
      </c>
      <c r="Y304" t="n">
        <v>62</v>
      </c>
      <c r="Z304" t="n">
        <v>56</v>
      </c>
      <c r="AA304" t="n">
        <v>928</v>
      </c>
      <c r="AB304" t="n">
        <v>2</v>
      </c>
      <c r="AC304" t="n">
        <v>6</v>
      </c>
      <c r="AD304" t="n">
        <v>2</v>
      </c>
      <c r="AE304" t="n">
        <v>42</v>
      </c>
      <c r="AF304" t="n">
        <v>0</v>
      </c>
      <c r="AG304" t="n">
        <v>18</v>
      </c>
      <c r="AH304" t="n">
        <v>0</v>
      </c>
      <c r="AI304" t="n">
        <v>7</v>
      </c>
      <c r="AJ304" t="n">
        <v>1</v>
      </c>
      <c r="AK304" t="n">
        <v>21</v>
      </c>
      <c r="AL304" t="n">
        <v>1</v>
      </c>
      <c r="AM304" t="n">
        <v>5</v>
      </c>
      <c r="AN304" t="n">
        <v>0</v>
      </c>
      <c r="AO304" t="n">
        <v>2</v>
      </c>
      <c r="AP304" t="inlineStr">
        <is>
          <t>No</t>
        </is>
      </c>
      <c r="AQ304" t="inlineStr">
        <is>
          <t>Yes</t>
        </is>
      </c>
      <c r="AR304">
        <f>HYPERLINK("http://catalog.hathitrust.org/Record/102639992","HathiTrust Record")</f>
        <v/>
      </c>
      <c r="AS304">
        <f>HYPERLINK("https://creighton-primo.hosted.exlibrisgroup.com/primo-explore/search?tab=default_tab&amp;search_scope=EVERYTHING&amp;vid=01CRU&amp;lang=en_US&amp;offset=0&amp;query=any,contains,991004819299702656","Catalog Record")</f>
        <v/>
      </c>
      <c r="AT304">
        <f>HYPERLINK("http://www.worldcat.org/oclc/5320557","WorldCat Record")</f>
        <v/>
      </c>
      <c r="AU304" t="inlineStr">
        <is>
          <t>1351372:eng</t>
        </is>
      </c>
      <c r="AV304" t="inlineStr">
        <is>
          <t>5320557</t>
        </is>
      </c>
      <c r="AW304" t="inlineStr">
        <is>
          <t>991004819299702656</t>
        </is>
      </c>
      <c r="AX304" t="inlineStr">
        <is>
          <t>991004819299702656</t>
        </is>
      </c>
      <c r="AY304" t="inlineStr">
        <is>
          <t>2262697150002656</t>
        </is>
      </c>
      <c r="AZ304" t="inlineStr">
        <is>
          <t>BOOK</t>
        </is>
      </c>
      <c r="BC304" t="inlineStr">
        <is>
          <t>32285002423233</t>
        </is>
      </c>
      <c r="BD304" t="inlineStr">
        <is>
          <t>893612809</t>
        </is>
      </c>
    </row>
    <row r="305">
      <c r="A305" t="inlineStr">
        <is>
          <t>No</t>
        </is>
      </c>
      <c r="B305" t="inlineStr">
        <is>
          <t>HM19 .C67</t>
        </is>
      </c>
      <c r="C305" t="inlineStr">
        <is>
          <t>0                      HM 0019000C  67</t>
        </is>
      </c>
      <c r="D305" t="inlineStr">
        <is>
          <t>Masters of sociological thought; ideas in historical and social context [by] Lewis A. Coser.</t>
        </is>
      </c>
      <c r="F305" t="inlineStr">
        <is>
          <t>No</t>
        </is>
      </c>
      <c r="G305" t="inlineStr">
        <is>
          <t>1</t>
        </is>
      </c>
      <c r="H305" t="inlineStr">
        <is>
          <t>No</t>
        </is>
      </c>
      <c r="I305" t="inlineStr">
        <is>
          <t>No</t>
        </is>
      </c>
      <c r="J305" t="inlineStr">
        <is>
          <t>0</t>
        </is>
      </c>
      <c r="K305" t="inlineStr">
        <is>
          <t>Coser, Lewis A., 1913-2003.</t>
        </is>
      </c>
      <c r="L305" t="inlineStr">
        <is>
          <t>New York, Harcourt Brace Jovanovich [1971]</t>
        </is>
      </c>
      <c r="M305" t="inlineStr">
        <is>
          <t>1971</t>
        </is>
      </c>
      <c r="O305" t="inlineStr">
        <is>
          <t>eng</t>
        </is>
      </c>
      <c r="P305" t="inlineStr">
        <is>
          <t>nyu</t>
        </is>
      </c>
      <c r="R305" t="inlineStr">
        <is>
          <t xml:space="preserve">HM </t>
        </is>
      </c>
      <c r="S305" t="n">
        <v>5</v>
      </c>
      <c r="T305" t="n">
        <v>5</v>
      </c>
      <c r="U305" t="inlineStr">
        <is>
          <t>2000-12-04</t>
        </is>
      </c>
      <c r="V305" t="inlineStr">
        <is>
          <t>2000-12-04</t>
        </is>
      </c>
      <c r="W305" t="inlineStr">
        <is>
          <t>1997-07-25</t>
        </is>
      </c>
      <c r="X305" t="inlineStr">
        <is>
          <t>1997-07-25</t>
        </is>
      </c>
      <c r="Y305" t="n">
        <v>960</v>
      </c>
      <c r="Z305" t="n">
        <v>748</v>
      </c>
      <c r="AA305" t="n">
        <v>1181</v>
      </c>
      <c r="AB305" t="n">
        <v>8</v>
      </c>
      <c r="AC305" t="n">
        <v>10</v>
      </c>
      <c r="AD305" t="n">
        <v>34</v>
      </c>
      <c r="AE305" t="n">
        <v>48</v>
      </c>
      <c r="AF305" t="n">
        <v>16</v>
      </c>
      <c r="AG305" t="n">
        <v>21</v>
      </c>
      <c r="AH305" t="n">
        <v>5</v>
      </c>
      <c r="AI305" t="n">
        <v>9</v>
      </c>
      <c r="AJ305" t="n">
        <v>14</v>
      </c>
      <c r="AK305" t="n">
        <v>20</v>
      </c>
      <c r="AL305" t="n">
        <v>7</v>
      </c>
      <c r="AM305" t="n">
        <v>9</v>
      </c>
      <c r="AN305" t="n">
        <v>0</v>
      </c>
      <c r="AO305" t="n">
        <v>0</v>
      </c>
      <c r="AP305" t="inlineStr">
        <is>
          <t>No</t>
        </is>
      </c>
      <c r="AQ305" t="inlineStr">
        <is>
          <t>Yes</t>
        </is>
      </c>
      <c r="AR305">
        <f>HYPERLINK("http://catalog.hathitrust.org/Record/000972199","HathiTrust Record")</f>
        <v/>
      </c>
      <c r="AS305">
        <f>HYPERLINK("https://creighton-primo.hosted.exlibrisgroup.com/primo-explore/search?tab=default_tab&amp;search_scope=EVERYTHING&amp;vid=01CRU&amp;lang=en_US&amp;offset=0&amp;query=any,contains,991000794489702656","Catalog Record")</f>
        <v/>
      </c>
      <c r="AT305">
        <f>HYPERLINK("http://www.worldcat.org/oclc/136530","WorldCat Record")</f>
        <v/>
      </c>
      <c r="AU305" t="inlineStr">
        <is>
          <t>821693935:eng</t>
        </is>
      </c>
      <c r="AV305" t="inlineStr">
        <is>
          <t>136530</t>
        </is>
      </c>
      <c r="AW305" t="inlineStr">
        <is>
          <t>991000794489702656</t>
        </is>
      </c>
      <c r="AX305" t="inlineStr">
        <is>
          <t>991000794489702656</t>
        </is>
      </c>
      <c r="AY305" t="inlineStr">
        <is>
          <t>2263915820002656</t>
        </is>
      </c>
      <c r="AZ305" t="inlineStr">
        <is>
          <t>BOOK</t>
        </is>
      </c>
      <c r="BB305" t="inlineStr">
        <is>
          <t>9780155551282</t>
        </is>
      </c>
      <c r="BC305" t="inlineStr">
        <is>
          <t>32285003007639</t>
        </is>
      </c>
      <c r="BD305" t="inlineStr">
        <is>
          <t>893522019</t>
        </is>
      </c>
    </row>
    <row r="306">
      <c r="A306" t="inlineStr">
        <is>
          <t>No</t>
        </is>
      </c>
      <c r="B306" t="inlineStr">
        <is>
          <t>HM19 .C84 1995</t>
        </is>
      </c>
      <c r="C306" t="inlineStr">
        <is>
          <t>0                      HM 0019000C  84          1995</t>
        </is>
      </c>
      <c r="D306" t="inlineStr">
        <is>
          <t>Twentieth-century social thought / R.P. Cuzzort, Edith W. King.</t>
        </is>
      </c>
      <c r="F306" t="inlineStr">
        <is>
          <t>No</t>
        </is>
      </c>
      <c r="G306" t="inlineStr">
        <is>
          <t>1</t>
        </is>
      </c>
      <c r="H306" t="inlineStr">
        <is>
          <t>No</t>
        </is>
      </c>
      <c r="I306" t="inlineStr">
        <is>
          <t>No</t>
        </is>
      </c>
      <c r="J306" t="inlineStr">
        <is>
          <t>0</t>
        </is>
      </c>
      <c r="K306" t="inlineStr">
        <is>
          <t>Cuzzort, Raymond Paul, 1926-</t>
        </is>
      </c>
      <c r="L306" t="inlineStr">
        <is>
          <t>Fort Worth : Harcourt Brace College Publishers, c1995.</t>
        </is>
      </c>
      <c r="M306" t="inlineStr">
        <is>
          <t>1995</t>
        </is>
      </c>
      <c r="N306" t="inlineStr">
        <is>
          <t>5th ed.</t>
        </is>
      </c>
      <c r="O306" t="inlineStr">
        <is>
          <t>eng</t>
        </is>
      </c>
      <c r="P306" t="inlineStr">
        <is>
          <t>txu</t>
        </is>
      </c>
      <c r="R306" t="inlineStr">
        <is>
          <t xml:space="preserve">HM </t>
        </is>
      </c>
      <c r="S306" t="n">
        <v>9</v>
      </c>
      <c r="T306" t="n">
        <v>9</v>
      </c>
      <c r="U306" t="inlineStr">
        <is>
          <t>2002-10-10</t>
        </is>
      </c>
      <c r="V306" t="inlineStr">
        <is>
          <t>2002-10-10</t>
        </is>
      </c>
      <c r="W306" t="inlineStr">
        <is>
          <t>1998-08-27</t>
        </is>
      </c>
      <c r="X306" t="inlineStr">
        <is>
          <t>1998-08-27</t>
        </is>
      </c>
      <c r="Y306" t="n">
        <v>95</v>
      </c>
      <c r="Z306" t="n">
        <v>51</v>
      </c>
      <c r="AA306" t="n">
        <v>252</v>
      </c>
      <c r="AB306" t="n">
        <v>1</v>
      </c>
      <c r="AC306" t="n">
        <v>2</v>
      </c>
      <c r="AD306" t="n">
        <v>0</v>
      </c>
      <c r="AE306" t="n">
        <v>6</v>
      </c>
      <c r="AF306" t="n">
        <v>0</v>
      </c>
      <c r="AG306" t="n">
        <v>1</v>
      </c>
      <c r="AH306" t="n">
        <v>0</v>
      </c>
      <c r="AI306" t="n">
        <v>0</v>
      </c>
      <c r="AJ306" t="n">
        <v>0</v>
      </c>
      <c r="AK306" t="n">
        <v>4</v>
      </c>
      <c r="AL306" t="n">
        <v>0</v>
      </c>
      <c r="AM306" t="n">
        <v>1</v>
      </c>
      <c r="AN306" t="n">
        <v>0</v>
      </c>
      <c r="AO306" t="n">
        <v>1</v>
      </c>
      <c r="AP306" t="inlineStr">
        <is>
          <t>No</t>
        </is>
      </c>
      <c r="AQ306" t="inlineStr">
        <is>
          <t>No</t>
        </is>
      </c>
      <c r="AS306">
        <f>HYPERLINK("https://creighton-primo.hosted.exlibrisgroup.com/primo-explore/search?tab=default_tab&amp;search_scope=EVERYTHING&amp;vid=01CRU&amp;lang=en_US&amp;offset=0&amp;query=any,contains,991002476929702656","Catalog Record")</f>
        <v/>
      </c>
      <c r="AT306">
        <f>HYPERLINK("http://www.worldcat.org/oclc/32243414","WorldCat Record")</f>
        <v/>
      </c>
      <c r="AU306" t="inlineStr">
        <is>
          <t>17699896:eng</t>
        </is>
      </c>
      <c r="AV306" t="inlineStr">
        <is>
          <t>32243414</t>
        </is>
      </c>
      <c r="AW306" t="inlineStr">
        <is>
          <t>991002476929702656</t>
        </is>
      </c>
      <c r="AX306" t="inlineStr">
        <is>
          <t>991002476929702656</t>
        </is>
      </c>
      <c r="AY306" t="inlineStr">
        <is>
          <t>2255474810002656</t>
        </is>
      </c>
      <c r="AZ306" t="inlineStr">
        <is>
          <t>BOOK</t>
        </is>
      </c>
      <c r="BB306" t="inlineStr">
        <is>
          <t>9780155017504</t>
        </is>
      </c>
      <c r="BC306" t="inlineStr">
        <is>
          <t>32285003463535</t>
        </is>
      </c>
      <c r="BD306" t="inlineStr">
        <is>
          <t>893322992</t>
        </is>
      </c>
    </row>
    <row r="307">
      <c r="A307" t="inlineStr">
        <is>
          <t>No</t>
        </is>
      </c>
      <c r="B307" t="inlineStr">
        <is>
          <t>HM19 .G53</t>
        </is>
      </c>
      <c r="C307" t="inlineStr">
        <is>
          <t>0                      HM 0019000G  53</t>
        </is>
      </c>
      <c r="D307" t="inlineStr">
        <is>
          <t>Capitalism and modern social theory : an analysis of the writings of Marx, Durkheim and Max Weber.</t>
        </is>
      </c>
      <c r="F307" t="inlineStr">
        <is>
          <t>No</t>
        </is>
      </c>
      <c r="G307" t="inlineStr">
        <is>
          <t>1</t>
        </is>
      </c>
      <c r="H307" t="inlineStr">
        <is>
          <t>Yes</t>
        </is>
      </c>
      <c r="I307" t="inlineStr">
        <is>
          <t>No</t>
        </is>
      </c>
      <c r="J307" t="inlineStr">
        <is>
          <t>0</t>
        </is>
      </c>
      <c r="K307" t="inlineStr">
        <is>
          <t>Giddens, Anthony.</t>
        </is>
      </c>
      <c r="L307" t="inlineStr">
        <is>
          <t>Cambridge [Eng.] : University Press, 1971.</t>
        </is>
      </c>
      <c r="M307" t="inlineStr">
        <is>
          <t>1971</t>
        </is>
      </c>
      <c r="O307" t="inlineStr">
        <is>
          <t>eng</t>
        </is>
      </c>
      <c r="P307" t="inlineStr">
        <is>
          <t>enk</t>
        </is>
      </c>
      <c r="R307" t="inlineStr">
        <is>
          <t xml:space="preserve">HM </t>
        </is>
      </c>
      <c r="S307" t="n">
        <v>2</v>
      </c>
      <c r="T307" t="n">
        <v>2</v>
      </c>
      <c r="U307" t="inlineStr">
        <is>
          <t>2007-02-21</t>
        </is>
      </c>
      <c r="V307" t="inlineStr">
        <is>
          <t>2007-02-21</t>
        </is>
      </c>
      <c r="W307" t="inlineStr">
        <is>
          <t>1997-07-25</t>
        </is>
      </c>
      <c r="X307" t="inlineStr">
        <is>
          <t>1997-07-25</t>
        </is>
      </c>
      <c r="Y307" t="n">
        <v>1360</v>
      </c>
      <c r="Z307" t="n">
        <v>939</v>
      </c>
      <c r="AA307" t="n">
        <v>972</v>
      </c>
      <c r="AB307" t="n">
        <v>11</v>
      </c>
      <c r="AC307" t="n">
        <v>11</v>
      </c>
      <c r="AD307" t="n">
        <v>44</v>
      </c>
      <c r="AE307" t="n">
        <v>45</v>
      </c>
      <c r="AF307" t="n">
        <v>20</v>
      </c>
      <c r="AG307" t="n">
        <v>21</v>
      </c>
      <c r="AH307" t="n">
        <v>8</v>
      </c>
      <c r="AI307" t="n">
        <v>8</v>
      </c>
      <c r="AJ307" t="n">
        <v>21</v>
      </c>
      <c r="AK307" t="n">
        <v>21</v>
      </c>
      <c r="AL307" t="n">
        <v>8</v>
      </c>
      <c r="AM307" t="n">
        <v>8</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HYPERLINK("https://creighton-primo.hosted.exlibrisgroup.com/primo-explore/search?tab=default_tab&amp;search_scope=EVERYTHING&amp;vid=01CRU&amp;lang=en_US&amp;offset=0&amp;query=any,contains,991001773949702656","Catalog Record")</f>
        <v/>
      </c>
      <c r="AT307">
        <f>HYPERLINK("http://www.worldcat.org/oclc/161759","WorldCat Record")</f>
        <v/>
      </c>
      <c r="AU307" t="inlineStr">
        <is>
          <t>147213:eng</t>
        </is>
      </c>
      <c r="AV307" t="inlineStr">
        <is>
          <t>161759</t>
        </is>
      </c>
      <c r="AW307" t="inlineStr">
        <is>
          <t>991001773949702656</t>
        </is>
      </c>
      <c r="AX307" t="inlineStr">
        <is>
          <t>991001773949702656</t>
        </is>
      </c>
      <c r="AY307" t="inlineStr">
        <is>
          <t>2269504940002656</t>
        </is>
      </c>
      <c r="AZ307" t="inlineStr">
        <is>
          <t>BOOK</t>
        </is>
      </c>
      <c r="BB307" t="inlineStr">
        <is>
          <t>9780521082938</t>
        </is>
      </c>
      <c r="BC307" t="inlineStr">
        <is>
          <t>32285003007662</t>
        </is>
      </c>
      <c r="BD307" t="inlineStr">
        <is>
          <t>893866471</t>
        </is>
      </c>
    </row>
    <row r="308">
      <c r="A308" t="inlineStr">
        <is>
          <t>No</t>
        </is>
      </c>
      <c r="B308" t="inlineStr">
        <is>
          <t>HM201 .B37 1995</t>
        </is>
      </c>
      <c r="C308" t="inlineStr">
        <is>
          <t>0                      HM 0201000B  37          1995</t>
        </is>
      </c>
      <c r="D308" t="inlineStr">
        <is>
          <t>Jihad vs. McWorld / Benjamin R. Barber.</t>
        </is>
      </c>
      <c r="F308" t="inlineStr">
        <is>
          <t>No</t>
        </is>
      </c>
      <c r="G308" t="inlineStr">
        <is>
          <t>1</t>
        </is>
      </c>
      <c r="H308" t="inlineStr">
        <is>
          <t>No</t>
        </is>
      </c>
      <c r="I308" t="inlineStr">
        <is>
          <t>No</t>
        </is>
      </c>
      <c r="J308" t="inlineStr">
        <is>
          <t>0</t>
        </is>
      </c>
      <c r="K308" t="inlineStr">
        <is>
          <t>Barber, Benjamin R., 1939-2017.</t>
        </is>
      </c>
      <c r="L308" t="inlineStr">
        <is>
          <t>New York : Times Books, c1995.</t>
        </is>
      </c>
      <c r="M308" t="inlineStr">
        <is>
          <t>1995</t>
        </is>
      </c>
      <c r="N308" t="inlineStr">
        <is>
          <t>1st ed.</t>
        </is>
      </c>
      <c r="O308" t="inlineStr">
        <is>
          <t>eng</t>
        </is>
      </c>
      <c r="P308" t="inlineStr">
        <is>
          <t>nyu</t>
        </is>
      </c>
      <c r="R308" t="inlineStr">
        <is>
          <t xml:space="preserve">HM </t>
        </is>
      </c>
      <c r="S308" t="n">
        <v>12</v>
      </c>
      <c r="T308" t="n">
        <v>12</v>
      </c>
      <c r="U308" t="inlineStr">
        <is>
          <t>2008-02-23</t>
        </is>
      </c>
      <c r="V308" t="inlineStr">
        <is>
          <t>2008-02-23</t>
        </is>
      </c>
      <c r="W308" t="inlineStr">
        <is>
          <t>1995-10-23</t>
        </is>
      </c>
      <c r="X308" t="inlineStr">
        <is>
          <t>1995-10-23</t>
        </is>
      </c>
      <c r="Y308" t="n">
        <v>1005</v>
      </c>
      <c r="Z308" t="n">
        <v>906</v>
      </c>
      <c r="AA308" t="n">
        <v>2014</v>
      </c>
      <c r="AB308" t="n">
        <v>3</v>
      </c>
      <c r="AC308" t="n">
        <v>13</v>
      </c>
      <c r="AD308" t="n">
        <v>30</v>
      </c>
      <c r="AE308" t="n">
        <v>57</v>
      </c>
      <c r="AF308" t="n">
        <v>15</v>
      </c>
      <c r="AG308" t="n">
        <v>24</v>
      </c>
      <c r="AH308" t="n">
        <v>9</v>
      </c>
      <c r="AI308" t="n">
        <v>10</v>
      </c>
      <c r="AJ308" t="n">
        <v>16</v>
      </c>
      <c r="AK308" t="n">
        <v>26</v>
      </c>
      <c r="AL308" t="n">
        <v>1</v>
      </c>
      <c r="AM308" t="n">
        <v>9</v>
      </c>
      <c r="AN308" t="n">
        <v>0</v>
      </c>
      <c r="AO308" t="n">
        <v>2</v>
      </c>
      <c r="AP308" t="inlineStr">
        <is>
          <t>No</t>
        </is>
      </c>
      <c r="AQ308" t="inlineStr">
        <is>
          <t>Yes</t>
        </is>
      </c>
      <c r="AR308">
        <f>HYPERLINK("http://catalog.hathitrust.org/Record/002992621","HathiTrust Record")</f>
        <v/>
      </c>
      <c r="AS308">
        <f>HYPERLINK("https://creighton-primo.hosted.exlibrisgroup.com/primo-explore/search?tab=default_tab&amp;search_scope=EVERYTHING&amp;vid=01CRU&amp;lang=en_US&amp;offset=0&amp;query=any,contains,991005420359702656","Catalog Record")</f>
        <v/>
      </c>
      <c r="AT308">
        <f>HYPERLINK("http://www.worldcat.org/oclc/31969451","WorldCat Record")</f>
        <v/>
      </c>
      <c r="AU308" t="inlineStr">
        <is>
          <t>13289854:eng</t>
        </is>
      </c>
      <c r="AV308" t="inlineStr">
        <is>
          <t>31969451</t>
        </is>
      </c>
      <c r="AW308" t="inlineStr">
        <is>
          <t>991005420359702656</t>
        </is>
      </c>
      <c r="AX308" t="inlineStr">
        <is>
          <t>991005420359702656</t>
        </is>
      </c>
      <c r="AY308" t="inlineStr">
        <is>
          <t>2260892020002656</t>
        </is>
      </c>
      <c r="AZ308" t="inlineStr">
        <is>
          <t>BOOK</t>
        </is>
      </c>
      <c r="BB308" t="inlineStr">
        <is>
          <t>9780812923506</t>
        </is>
      </c>
      <c r="BC308" t="inlineStr">
        <is>
          <t>32285002097151</t>
        </is>
      </c>
      <c r="BD308" t="inlineStr">
        <is>
          <t>893783655</t>
        </is>
      </c>
    </row>
    <row r="309">
      <c r="A309" t="inlineStr">
        <is>
          <t>No</t>
        </is>
      </c>
      <c r="B309" t="inlineStr">
        <is>
          <t>HM201 .B63 1985</t>
        </is>
      </c>
      <c r="C309" t="inlineStr">
        <is>
          <t>0                      HM 0201000B  63          1985</t>
        </is>
      </c>
      <c r="D309" t="inlineStr">
        <is>
          <t>The world as a total system / Kenneth E. Boulding.</t>
        </is>
      </c>
      <c r="F309" t="inlineStr">
        <is>
          <t>No</t>
        </is>
      </c>
      <c r="G309" t="inlineStr">
        <is>
          <t>1</t>
        </is>
      </c>
      <c r="H309" t="inlineStr">
        <is>
          <t>No</t>
        </is>
      </c>
      <c r="I309" t="inlineStr">
        <is>
          <t>No</t>
        </is>
      </c>
      <c r="J309" t="inlineStr">
        <is>
          <t>0</t>
        </is>
      </c>
      <c r="K309" t="inlineStr">
        <is>
          <t>Boulding, Kenneth E. (Kenneth Ewart), 1910-1993.</t>
        </is>
      </c>
      <c r="L309" t="inlineStr">
        <is>
          <t>Beverly Hills, Calif. : Sage Publications, c1985.</t>
        </is>
      </c>
      <c r="M309" t="inlineStr">
        <is>
          <t>1985</t>
        </is>
      </c>
      <c r="O309" t="inlineStr">
        <is>
          <t>eng</t>
        </is>
      </c>
      <c r="P309" t="inlineStr">
        <is>
          <t>cau</t>
        </is>
      </c>
      <c r="R309" t="inlineStr">
        <is>
          <t xml:space="preserve">HM </t>
        </is>
      </c>
      <c r="S309" t="n">
        <v>4</v>
      </c>
      <c r="T309" t="n">
        <v>4</v>
      </c>
      <c r="U309" t="inlineStr">
        <is>
          <t>2003-10-04</t>
        </is>
      </c>
      <c r="V309" t="inlineStr">
        <is>
          <t>2003-10-04</t>
        </is>
      </c>
      <c r="W309" t="inlineStr">
        <is>
          <t>1991-08-12</t>
        </is>
      </c>
      <c r="X309" t="inlineStr">
        <is>
          <t>1991-08-12</t>
        </is>
      </c>
      <c r="Y309" t="n">
        <v>656</v>
      </c>
      <c r="Z309" t="n">
        <v>520</v>
      </c>
      <c r="AA309" t="n">
        <v>527</v>
      </c>
      <c r="AB309" t="n">
        <v>3</v>
      </c>
      <c r="AC309" t="n">
        <v>3</v>
      </c>
      <c r="AD309" t="n">
        <v>26</v>
      </c>
      <c r="AE309" t="n">
        <v>26</v>
      </c>
      <c r="AF309" t="n">
        <v>10</v>
      </c>
      <c r="AG309" t="n">
        <v>10</v>
      </c>
      <c r="AH309" t="n">
        <v>7</v>
      </c>
      <c r="AI309" t="n">
        <v>7</v>
      </c>
      <c r="AJ309" t="n">
        <v>12</v>
      </c>
      <c r="AK309" t="n">
        <v>12</v>
      </c>
      <c r="AL309" t="n">
        <v>2</v>
      </c>
      <c r="AM309" t="n">
        <v>2</v>
      </c>
      <c r="AN309" t="n">
        <v>0</v>
      </c>
      <c r="AO309" t="n">
        <v>0</v>
      </c>
      <c r="AP309" t="inlineStr">
        <is>
          <t>No</t>
        </is>
      </c>
      <c r="AQ309" t="inlineStr">
        <is>
          <t>Yes</t>
        </is>
      </c>
      <c r="AR309">
        <f>HYPERLINK("http://catalog.hathitrust.org/Record/000572420","HathiTrust Record")</f>
        <v/>
      </c>
      <c r="AS309">
        <f>HYPERLINK("https://creighton-primo.hosted.exlibrisgroup.com/primo-explore/search?tab=default_tab&amp;search_scope=EVERYTHING&amp;vid=01CRU&amp;lang=en_US&amp;offset=0&amp;query=any,contains,991000575499702656","Catalog Record")</f>
        <v/>
      </c>
      <c r="AT309">
        <f>HYPERLINK("http://www.worldcat.org/oclc/11677668","WorldCat Record")</f>
        <v/>
      </c>
      <c r="AU309" t="inlineStr">
        <is>
          <t>507352663:eng</t>
        </is>
      </c>
      <c r="AV309" t="inlineStr">
        <is>
          <t>11677668</t>
        </is>
      </c>
      <c r="AW309" t="inlineStr">
        <is>
          <t>991000575499702656</t>
        </is>
      </c>
      <c r="AX309" t="inlineStr">
        <is>
          <t>991000575499702656</t>
        </is>
      </c>
      <c r="AY309" t="inlineStr">
        <is>
          <t>2255202160002656</t>
        </is>
      </c>
      <c r="AZ309" t="inlineStr">
        <is>
          <t>BOOK</t>
        </is>
      </c>
      <c r="BB309" t="inlineStr">
        <is>
          <t>9780803924437</t>
        </is>
      </c>
      <c r="BC309" t="inlineStr">
        <is>
          <t>32285000682939</t>
        </is>
      </c>
      <c r="BD309" t="inlineStr">
        <is>
          <t>893802902</t>
        </is>
      </c>
    </row>
    <row r="310">
      <c r="A310" t="inlineStr">
        <is>
          <t>No</t>
        </is>
      </c>
      <c r="B310" t="inlineStr">
        <is>
          <t>HM201 .B74 1984</t>
        </is>
      </c>
      <c r="C310" t="inlineStr">
        <is>
          <t>0                      HM 0201000B  74          1984</t>
        </is>
      </c>
      <c r="D310" t="inlineStr">
        <is>
          <t>The nature of social laws : Machiavelli to Mill / Robert Brown.</t>
        </is>
      </c>
      <c r="F310" t="inlineStr">
        <is>
          <t>No</t>
        </is>
      </c>
      <c r="G310" t="inlineStr">
        <is>
          <t>1</t>
        </is>
      </c>
      <c r="H310" t="inlineStr">
        <is>
          <t>No</t>
        </is>
      </c>
      <c r="I310" t="inlineStr">
        <is>
          <t>No</t>
        </is>
      </c>
      <c r="J310" t="inlineStr">
        <is>
          <t>0</t>
        </is>
      </c>
      <c r="K310" t="inlineStr">
        <is>
          <t>Brown, Robert, 1920-</t>
        </is>
      </c>
      <c r="L310" t="inlineStr">
        <is>
          <t>Cambridge [Cambridgeshire] ; New York : Cambridge University Press, 1984.</t>
        </is>
      </c>
      <c r="M310" t="inlineStr">
        <is>
          <t>1984</t>
        </is>
      </c>
      <c r="O310" t="inlineStr">
        <is>
          <t>eng</t>
        </is>
      </c>
      <c r="P310" t="inlineStr">
        <is>
          <t>enk</t>
        </is>
      </c>
      <c r="R310" t="inlineStr">
        <is>
          <t xml:space="preserve">HM </t>
        </is>
      </c>
      <c r="S310" t="n">
        <v>6</v>
      </c>
      <c r="T310" t="n">
        <v>6</v>
      </c>
      <c r="U310" t="inlineStr">
        <is>
          <t>1999-11-03</t>
        </is>
      </c>
      <c r="V310" t="inlineStr">
        <is>
          <t>1999-11-03</t>
        </is>
      </c>
      <c r="W310" t="inlineStr">
        <is>
          <t>1992-08-28</t>
        </is>
      </c>
      <c r="X310" t="inlineStr">
        <is>
          <t>1992-08-28</t>
        </is>
      </c>
      <c r="Y310" t="n">
        <v>552</v>
      </c>
      <c r="Z310" t="n">
        <v>367</v>
      </c>
      <c r="AA310" t="n">
        <v>372</v>
      </c>
      <c r="AB310" t="n">
        <v>3</v>
      </c>
      <c r="AC310" t="n">
        <v>3</v>
      </c>
      <c r="AD310" t="n">
        <v>29</v>
      </c>
      <c r="AE310" t="n">
        <v>29</v>
      </c>
      <c r="AF310" t="n">
        <v>7</v>
      </c>
      <c r="AG310" t="n">
        <v>7</v>
      </c>
      <c r="AH310" t="n">
        <v>7</v>
      </c>
      <c r="AI310" t="n">
        <v>7</v>
      </c>
      <c r="AJ310" t="n">
        <v>13</v>
      </c>
      <c r="AK310" t="n">
        <v>13</v>
      </c>
      <c r="AL310" t="n">
        <v>2</v>
      </c>
      <c r="AM310" t="n">
        <v>2</v>
      </c>
      <c r="AN310" t="n">
        <v>6</v>
      </c>
      <c r="AO310" t="n">
        <v>6</v>
      </c>
      <c r="AP310" t="inlineStr">
        <is>
          <t>No</t>
        </is>
      </c>
      <c r="AQ310" t="inlineStr">
        <is>
          <t>No</t>
        </is>
      </c>
      <c r="AS310">
        <f>HYPERLINK("https://creighton-primo.hosted.exlibrisgroup.com/primo-explore/search?tab=default_tab&amp;search_scope=EVERYTHING&amp;vid=01CRU&amp;lang=en_US&amp;offset=0&amp;query=any,contains,991000268869702656","Catalog Record")</f>
        <v/>
      </c>
      <c r="AT310">
        <f>HYPERLINK("http://www.worldcat.org/oclc/9852672","WorldCat Record")</f>
        <v/>
      </c>
      <c r="AU310" t="inlineStr">
        <is>
          <t>836627929:eng</t>
        </is>
      </c>
      <c r="AV310" t="inlineStr">
        <is>
          <t>9852672</t>
        </is>
      </c>
      <c r="AW310" t="inlineStr">
        <is>
          <t>991000268869702656</t>
        </is>
      </c>
      <c r="AX310" t="inlineStr">
        <is>
          <t>991000268869702656</t>
        </is>
      </c>
      <c r="AY310" t="inlineStr">
        <is>
          <t>2264141260002656</t>
        </is>
      </c>
      <c r="AZ310" t="inlineStr">
        <is>
          <t>BOOK</t>
        </is>
      </c>
      <c r="BB310" t="inlineStr">
        <is>
          <t>9780521257824</t>
        </is>
      </c>
      <c r="BC310" t="inlineStr">
        <is>
          <t>32285001266880</t>
        </is>
      </c>
      <c r="BD310" t="inlineStr">
        <is>
          <t>893896749</t>
        </is>
      </c>
    </row>
    <row r="311">
      <c r="A311" t="inlineStr">
        <is>
          <t>No</t>
        </is>
      </c>
      <c r="B311" t="inlineStr">
        <is>
          <t>HM206 .D86</t>
        </is>
      </c>
      <c r="C311" t="inlineStr">
        <is>
          <t>0                      HM 0206000D  86</t>
        </is>
      </c>
      <c r="D311" t="inlineStr">
        <is>
          <t>A God within / [by] René Dubos.</t>
        </is>
      </c>
      <c r="F311" t="inlineStr">
        <is>
          <t>No</t>
        </is>
      </c>
      <c r="G311" t="inlineStr">
        <is>
          <t>1</t>
        </is>
      </c>
      <c r="H311" t="inlineStr">
        <is>
          <t>No</t>
        </is>
      </c>
      <c r="I311" t="inlineStr">
        <is>
          <t>No</t>
        </is>
      </c>
      <c r="J311" t="inlineStr">
        <is>
          <t>0</t>
        </is>
      </c>
      <c r="K311" t="inlineStr">
        <is>
          <t>Dubos, René J. (René Jules), 1901-1982.</t>
        </is>
      </c>
      <c r="L311" t="inlineStr">
        <is>
          <t>New York : Scribner, [1972]</t>
        </is>
      </c>
      <c r="M311" t="inlineStr">
        <is>
          <t>1972</t>
        </is>
      </c>
      <c r="O311" t="inlineStr">
        <is>
          <t>eng</t>
        </is>
      </c>
      <c r="P311" t="inlineStr">
        <is>
          <t>nyu</t>
        </is>
      </c>
      <c r="R311" t="inlineStr">
        <is>
          <t xml:space="preserve">HM </t>
        </is>
      </c>
      <c r="S311" t="n">
        <v>6</v>
      </c>
      <c r="T311" t="n">
        <v>6</v>
      </c>
      <c r="U311" t="inlineStr">
        <is>
          <t>2005-11-13</t>
        </is>
      </c>
      <c r="V311" t="inlineStr">
        <is>
          <t>2005-11-13</t>
        </is>
      </c>
      <c r="W311" t="inlineStr">
        <is>
          <t>1991-06-20</t>
        </is>
      </c>
      <c r="X311" t="inlineStr">
        <is>
          <t>1991-06-20</t>
        </is>
      </c>
      <c r="Y311" t="n">
        <v>1462</v>
      </c>
      <c r="Z311" t="n">
        <v>1341</v>
      </c>
      <c r="AA311" t="n">
        <v>1363</v>
      </c>
      <c r="AB311" t="n">
        <v>9</v>
      </c>
      <c r="AC311" t="n">
        <v>9</v>
      </c>
      <c r="AD311" t="n">
        <v>42</v>
      </c>
      <c r="AE311" t="n">
        <v>42</v>
      </c>
      <c r="AF311" t="n">
        <v>15</v>
      </c>
      <c r="AG311" t="n">
        <v>15</v>
      </c>
      <c r="AH311" t="n">
        <v>9</v>
      </c>
      <c r="AI311" t="n">
        <v>9</v>
      </c>
      <c r="AJ311" t="n">
        <v>21</v>
      </c>
      <c r="AK311" t="n">
        <v>21</v>
      </c>
      <c r="AL311" t="n">
        <v>6</v>
      </c>
      <c r="AM311" t="n">
        <v>6</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HYPERLINK("https://creighton-primo.hosted.exlibrisgroup.com/primo-explore/search?tab=default_tab&amp;search_scope=EVERYTHING&amp;vid=01CRU&amp;lang=en_US&amp;offset=0&amp;query=any,contains,991002745059702656","Catalog Record")</f>
        <v/>
      </c>
      <c r="AT311">
        <f>HYPERLINK("http://www.worldcat.org/oclc/422485","WorldCat Record")</f>
        <v/>
      </c>
      <c r="AU311" t="inlineStr">
        <is>
          <t>48596129:eng</t>
        </is>
      </c>
      <c r="AV311" t="inlineStr">
        <is>
          <t>422485</t>
        </is>
      </c>
      <c r="AW311" t="inlineStr">
        <is>
          <t>991002745059702656</t>
        </is>
      </c>
      <c r="AX311" t="inlineStr">
        <is>
          <t>991002745059702656</t>
        </is>
      </c>
      <c r="AY311" t="inlineStr">
        <is>
          <t>2267166970002656</t>
        </is>
      </c>
      <c r="AZ311" t="inlineStr">
        <is>
          <t>BOOK</t>
        </is>
      </c>
      <c r="BB311" t="inlineStr">
        <is>
          <t>9780684127682</t>
        </is>
      </c>
      <c r="BC311" t="inlineStr">
        <is>
          <t>32285000631548</t>
        </is>
      </c>
      <c r="BD311" t="inlineStr">
        <is>
          <t>893504770</t>
        </is>
      </c>
    </row>
    <row r="312">
      <c r="A312" t="inlineStr">
        <is>
          <t>No</t>
        </is>
      </c>
      <c r="B312" t="inlineStr">
        <is>
          <t>HM206 .E19 1997</t>
        </is>
      </c>
      <c r="C312" t="inlineStr">
        <is>
          <t>0                      HM 0206000E  19          1997</t>
        </is>
      </c>
      <c r="D312" t="inlineStr">
        <is>
          <t>Transforming human culture : social evolution and the planetary crisis / Jay Earley.</t>
        </is>
      </c>
      <c r="F312" t="inlineStr">
        <is>
          <t>No</t>
        </is>
      </c>
      <c r="G312" t="inlineStr">
        <is>
          <t>1</t>
        </is>
      </c>
      <c r="H312" t="inlineStr">
        <is>
          <t>No</t>
        </is>
      </c>
      <c r="I312" t="inlineStr">
        <is>
          <t>No</t>
        </is>
      </c>
      <c r="J312" t="inlineStr">
        <is>
          <t>0</t>
        </is>
      </c>
      <c r="K312" t="inlineStr">
        <is>
          <t>Earley, Jay, 1944-</t>
        </is>
      </c>
      <c r="L312" t="inlineStr">
        <is>
          <t>Albany : State University of New York Press, c1997.</t>
        </is>
      </c>
      <c r="M312" t="inlineStr">
        <is>
          <t>1997</t>
        </is>
      </c>
      <c r="O312" t="inlineStr">
        <is>
          <t>eng</t>
        </is>
      </c>
      <c r="P312" t="inlineStr">
        <is>
          <t>nyu</t>
        </is>
      </c>
      <c r="Q312" t="inlineStr">
        <is>
          <t>SUNY series in constructive postmodern thought</t>
        </is>
      </c>
      <c r="R312" t="inlineStr">
        <is>
          <t xml:space="preserve">HM </t>
        </is>
      </c>
      <c r="S312" t="n">
        <v>4</v>
      </c>
      <c r="T312" t="n">
        <v>4</v>
      </c>
      <c r="U312" t="inlineStr">
        <is>
          <t>2000-03-19</t>
        </is>
      </c>
      <c r="V312" t="inlineStr">
        <is>
          <t>2000-03-19</t>
        </is>
      </c>
      <c r="W312" t="inlineStr">
        <is>
          <t>1997-10-29</t>
        </is>
      </c>
      <c r="X312" t="inlineStr">
        <is>
          <t>1997-10-29</t>
        </is>
      </c>
      <c r="Y312" t="n">
        <v>276</v>
      </c>
      <c r="Z312" t="n">
        <v>230</v>
      </c>
      <c r="AA312" t="n">
        <v>230</v>
      </c>
      <c r="AB312" t="n">
        <v>2</v>
      </c>
      <c r="AC312" t="n">
        <v>2</v>
      </c>
      <c r="AD312" t="n">
        <v>11</v>
      </c>
      <c r="AE312" t="n">
        <v>11</v>
      </c>
      <c r="AF312" t="n">
        <v>3</v>
      </c>
      <c r="AG312" t="n">
        <v>3</v>
      </c>
      <c r="AH312" t="n">
        <v>3</v>
      </c>
      <c r="AI312" t="n">
        <v>3</v>
      </c>
      <c r="AJ312" t="n">
        <v>8</v>
      </c>
      <c r="AK312" t="n">
        <v>8</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HYPERLINK("https://creighton-primo.hosted.exlibrisgroup.com/primo-explore/search?tab=default_tab&amp;search_scope=EVERYTHING&amp;vid=01CRU&amp;lang=en_US&amp;offset=0&amp;query=any,contains,991002768159702656","Catalog Record")</f>
        <v/>
      </c>
      <c r="AT312">
        <f>HYPERLINK("http://www.worldcat.org/oclc/36327366","WorldCat Record")</f>
        <v/>
      </c>
      <c r="AU312" t="inlineStr">
        <is>
          <t>198585025:eng</t>
        </is>
      </c>
      <c r="AV312" t="inlineStr">
        <is>
          <t>36327366</t>
        </is>
      </c>
      <c r="AW312" t="inlineStr">
        <is>
          <t>991002768159702656</t>
        </is>
      </c>
      <c r="AX312" t="inlineStr">
        <is>
          <t>991002768159702656</t>
        </is>
      </c>
      <c r="AY312" t="inlineStr">
        <is>
          <t>2265045580002656</t>
        </is>
      </c>
      <c r="AZ312" t="inlineStr">
        <is>
          <t>BOOK</t>
        </is>
      </c>
      <c r="BB312" t="inlineStr">
        <is>
          <t>9780791433737</t>
        </is>
      </c>
      <c r="BC312" t="inlineStr">
        <is>
          <t>32285003266185</t>
        </is>
      </c>
      <c r="BD312" t="inlineStr">
        <is>
          <t>893409505</t>
        </is>
      </c>
    </row>
    <row r="313">
      <c r="A313" t="inlineStr">
        <is>
          <t>No</t>
        </is>
      </c>
      <c r="B313" t="inlineStr">
        <is>
          <t>HM211 .G77 1978</t>
        </is>
      </c>
      <c r="C313" t="inlineStr">
        <is>
          <t>0                      HM 0211000G  77          1978</t>
        </is>
      </c>
      <c r="D313" t="inlineStr">
        <is>
          <t>Quaderno 22, americanismo e fordismo / Antonio Gramsci ; introduzione e note di Franco de Felice.</t>
        </is>
      </c>
      <c r="F313" t="inlineStr">
        <is>
          <t>No</t>
        </is>
      </c>
      <c r="G313" t="inlineStr">
        <is>
          <t>1</t>
        </is>
      </c>
      <c r="H313" t="inlineStr">
        <is>
          <t>No</t>
        </is>
      </c>
      <c r="I313" t="inlineStr">
        <is>
          <t>No</t>
        </is>
      </c>
      <c r="J313" t="inlineStr">
        <is>
          <t>0</t>
        </is>
      </c>
      <c r="K313" t="inlineStr">
        <is>
          <t>Gramsci, Antonio, 1891-1937.</t>
        </is>
      </c>
      <c r="L313" t="inlineStr">
        <is>
          <t>Torino : G. Einaudi, [1978], c1975.</t>
        </is>
      </c>
      <c r="M313" t="inlineStr">
        <is>
          <t>1978</t>
        </is>
      </c>
      <c r="O313" t="inlineStr">
        <is>
          <t>ita</t>
        </is>
      </c>
      <c r="P313" t="inlineStr">
        <is>
          <t xml:space="preserve">it </t>
        </is>
      </c>
      <c r="Q313" t="inlineStr">
        <is>
          <t>Piccola biblioteca Einaudi ; 335</t>
        </is>
      </c>
      <c r="R313" t="inlineStr">
        <is>
          <t xml:space="preserve">HM </t>
        </is>
      </c>
      <c r="S313" t="n">
        <v>1</v>
      </c>
      <c r="T313" t="n">
        <v>1</v>
      </c>
      <c r="U313" t="inlineStr">
        <is>
          <t>2008-03-10</t>
        </is>
      </c>
      <c r="V313" t="inlineStr">
        <is>
          <t>2008-03-10</t>
        </is>
      </c>
      <c r="W313" t="inlineStr">
        <is>
          <t>2008-03-10</t>
        </is>
      </c>
      <c r="X313" t="inlineStr">
        <is>
          <t>2008-03-10</t>
        </is>
      </c>
      <c r="Y313" t="n">
        <v>16</v>
      </c>
      <c r="Z313" t="n">
        <v>11</v>
      </c>
      <c r="AA313" t="n">
        <v>11</v>
      </c>
      <c r="AB313" t="n">
        <v>1</v>
      </c>
      <c r="AC313" t="n">
        <v>1</v>
      </c>
      <c r="AD313" t="n">
        <v>0</v>
      </c>
      <c r="AE313" t="n">
        <v>0</v>
      </c>
      <c r="AF313" t="n">
        <v>0</v>
      </c>
      <c r="AG313" t="n">
        <v>0</v>
      </c>
      <c r="AH313" t="n">
        <v>0</v>
      </c>
      <c r="AI313" t="n">
        <v>0</v>
      </c>
      <c r="AJ313" t="n">
        <v>0</v>
      </c>
      <c r="AK313" t="n">
        <v>0</v>
      </c>
      <c r="AL313" t="n">
        <v>0</v>
      </c>
      <c r="AM313" t="n">
        <v>0</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HYPERLINK("https://creighton-primo.hosted.exlibrisgroup.com/primo-explore/search?tab=default_tab&amp;search_scope=EVERYTHING&amp;vid=01CRU&amp;lang=en_US&amp;offset=0&amp;query=any,contains,991005190989702656","Catalog Record")</f>
        <v/>
      </c>
      <c r="AT313">
        <f>HYPERLINK("http://www.worldcat.org/oclc/11260162","WorldCat Record")</f>
        <v/>
      </c>
      <c r="AU313" t="inlineStr">
        <is>
          <t>2908437005:ita</t>
        </is>
      </c>
      <c r="AV313" t="inlineStr">
        <is>
          <t>11260162</t>
        </is>
      </c>
      <c r="AW313" t="inlineStr">
        <is>
          <t>991005190989702656</t>
        </is>
      </c>
      <c r="AX313" t="inlineStr">
        <is>
          <t>991005190989702656</t>
        </is>
      </c>
      <c r="AY313" t="inlineStr">
        <is>
          <t>2264965980002656</t>
        </is>
      </c>
      <c r="AZ313" t="inlineStr">
        <is>
          <t>BOOK</t>
        </is>
      </c>
      <c r="BB313" t="inlineStr">
        <is>
          <t>9788806390167</t>
        </is>
      </c>
      <c r="BC313" t="inlineStr">
        <is>
          <t>32285005390405</t>
        </is>
      </c>
      <c r="BD313" t="inlineStr">
        <is>
          <t>893889823</t>
        </is>
      </c>
    </row>
    <row r="314">
      <c r="A314" t="inlineStr">
        <is>
          <t>No</t>
        </is>
      </c>
      <c r="B314" t="inlineStr">
        <is>
          <t>HM216 .B17 1982</t>
        </is>
      </c>
      <c r="C314" t="inlineStr">
        <is>
          <t>0                      HM 0216000B  17          1982</t>
        </is>
      </c>
      <c r="D314" t="inlineStr">
        <is>
          <t>Injustice, inequality, and ethics : a philsophical introduction to moral problems / Robin Barrow.</t>
        </is>
      </c>
      <c r="F314" t="inlineStr">
        <is>
          <t>No</t>
        </is>
      </c>
      <c r="G314" t="inlineStr">
        <is>
          <t>1</t>
        </is>
      </c>
      <c r="H314" t="inlineStr">
        <is>
          <t>No</t>
        </is>
      </c>
      <c r="I314" t="inlineStr">
        <is>
          <t>No</t>
        </is>
      </c>
      <c r="J314" t="inlineStr">
        <is>
          <t>0</t>
        </is>
      </c>
      <c r="K314" t="inlineStr">
        <is>
          <t>Barrow, Robin.</t>
        </is>
      </c>
      <c r="L314" t="inlineStr">
        <is>
          <t>Brighton, Sussex : Wheatsheaf Books ; Totowa, N.J. : Barnes &amp; Noble, 1982.</t>
        </is>
      </c>
      <c r="M314" t="inlineStr">
        <is>
          <t>1982</t>
        </is>
      </c>
      <c r="O314" t="inlineStr">
        <is>
          <t>eng</t>
        </is>
      </c>
      <c r="P314" t="inlineStr">
        <is>
          <t>enk</t>
        </is>
      </c>
      <c r="R314" t="inlineStr">
        <is>
          <t xml:space="preserve">HM </t>
        </is>
      </c>
      <c r="S314" t="n">
        <v>6</v>
      </c>
      <c r="T314" t="n">
        <v>6</v>
      </c>
      <c r="U314" t="inlineStr">
        <is>
          <t>1998-04-09</t>
        </is>
      </c>
      <c r="V314" t="inlineStr">
        <is>
          <t>1998-04-09</t>
        </is>
      </c>
      <c r="W314" t="inlineStr">
        <is>
          <t>1992-03-10</t>
        </is>
      </c>
      <c r="X314" t="inlineStr">
        <is>
          <t>1992-03-10</t>
        </is>
      </c>
      <c r="Y314" t="n">
        <v>697</v>
      </c>
      <c r="Z314" t="n">
        <v>517</v>
      </c>
      <c r="AA314" t="n">
        <v>563</v>
      </c>
      <c r="AB314" t="n">
        <v>5</v>
      </c>
      <c r="AC314" t="n">
        <v>5</v>
      </c>
      <c r="AD314" t="n">
        <v>37</v>
      </c>
      <c r="AE314" t="n">
        <v>37</v>
      </c>
      <c r="AF314" t="n">
        <v>10</v>
      </c>
      <c r="AG314" t="n">
        <v>10</v>
      </c>
      <c r="AH314" t="n">
        <v>7</v>
      </c>
      <c r="AI314" t="n">
        <v>7</v>
      </c>
      <c r="AJ314" t="n">
        <v>13</v>
      </c>
      <c r="AK314" t="n">
        <v>13</v>
      </c>
      <c r="AL314" t="n">
        <v>3</v>
      </c>
      <c r="AM314" t="n">
        <v>3</v>
      </c>
      <c r="AN314" t="n">
        <v>11</v>
      </c>
      <c r="AO314" t="n">
        <v>11</v>
      </c>
      <c r="AP314" t="inlineStr">
        <is>
          <t>No</t>
        </is>
      </c>
      <c r="AQ314" t="inlineStr">
        <is>
          <t>Yes</t>
        </is>
      </c>
      <c r="AR314">
        <f>HYPERLINK("http://catalog.hathitrust.org/Record/000764446","HathiTrust Record")</f>
        <v/>
      </c>
      <c r="AS314">
        <f>HYPERLINK("https://creighton-primo.hosted.exlibrisgroup.com/primo-explore/search?tab=default_tab&amp;search_scope=EVERYTHING&amp;vid=01CRU&amp;lang=en_US&amp;offset=0&amp;query=any,contains,991005213999702656","Catalog Record")</f>
        <v/>
      </c>
      <c r="AT314">
        <f>HYPERLINK("http://www.worldcat.org/oclc/8171873","WorldCat Record")</f>
        <v/>
      </c>
      <c r="AU314" t="inlineStr">
        <is>
          <t>308760190:eng</t>
        </is>
      </c>
      <c r="AV314" t="inlineStr">
        <is>
          <t>8171873</t>
        </is>
      </c>
      <c r="AW314" t="inlineStr">
        <is>
          <t>991005213999702656</t>
        </is>
      </c>
      <c r="AX314" t="inlineStr">
        <is>
          <t>991005213999702656</t>
        </is>
      </c>
      <c r="AY314" t="inlineStr">
        <is>
          <t>2255590700002656</t>
        </is>
      </c>
      <c r="AZ314" t="inlineStr">
        <is>
          <t>BOOK</t>
        </is>
      </c>
      <c r="BB314" t="inlineStr">
        <is>
          <t>9780389202691</t>
        </is>
      </c>
      <c r="BC314" t="inlineStr">
        <is>
          <t>32285001000990</t>
        </is>
      </c>
      <c r="BD314" t="inlineStr">
        <is>
          <t>893896066</t>
        </is>
      </c>
    </row>
    <row r="315">
      <c r="A315" t="inlineStr">
        <is>
          <t>No</t>
        </is>
      </c>
      <c r="B315" t="inlineStr">
        <is>
          <t>HM216 .C59 1996</t>
        </is>
      </c>
      <c r="C315" t="inlineStr">
        <is>
          <t>0                      HM 0216000C  59          1996</t>
        </is>
      </c>
      <c r="D315" t="inlineStr">
        <is>
          <t>Public morality and liberal society : essays on decency, law, and pornography / Harry M. Clor.</t>
        </is>
      </c>
      <c r="F315" t="inlineStr">
        <is>
          <t>No</t>
        </is>
      </c>
      <c r="G315" t="inlineStr">
        <is>
          <t>1</t>
        </is>
      </c>
      <c r="H315" t="inlineStr">
        <is>
          <t>No</t>
        </is>
      </c>
      <c r="I315" t="inlineStr">
        <is>
          <t>No</t>
        </is>
      </c>
      <c r="J315" t="inlineStr">
        <is>
          <t>0</t>
        </is>
      </c>
      <c r="K315" t="inlineStr">
        <is>
          <t>Clor, Harry M., 1929-</t>
        </is>
      </c>
      <c r="L315" t="inlineStr">
        <is>
          <t>Notre Dame : University of Notre Dame Press, c1996.</t>
        </is>
      </c>
      <c r="M315" t="inlineStr">
        <is>
          <t>1996</t>
        </is>
      </c>
      <c r="O315" t="inlineStr">
        <is>
          <t>eng</t>
        </is>
      </c>
      <c r="P315" t="inlineStr">
        <is>
          <t>inu</t>
        </is>
      </c>
      <c r="R315" t="inlineStr">
        <is>
          <t xml:space="preserve">HM </t>
        </is>
      </c>
      <c r="S315" t="n">
        <v>8</v>
      </c>
      <c r="T315" t="n">
        <v>8</v>
      </c>
      <c r="U315" t="inlineStr">
        <is>
          <t>2002-09-23</t>
        </is>
      </c>
      <c r="V315" t="inlineStr">
        <is>
          <t>2002-09-23</t>
        </is>
      </c>
      <c r="W315" t="inlineStr">
        <is>
          <t>1997-02-20</t>
        </is>
      </c>
      <c r="X315" t="inlineStr">
        <is>
          <t>1997-02-20</t>
        </is>
      </c>
      <c r="Y315" t="n">
        <v>602</v>
      </c>
      <c r="Z315" t="n">
        <v>540</v>
      </c>
      <c r="AA315" t="n">
        <v>566</v>
      </c>
      <c r="AB315" t="n">
        <v>3</v>
      </c>
      <c r="AC315" t="n">
        <v>4</v>
      </c>
      <c r="AD315" t="n">
        <v>35</v>
      </c>
      <c r="AE315" t="n">
        <v>37</v>
      </c>
      <c r="AF315" t="n">
        <v>12</v>
      </c>
      <c r="AG315" t="n">
        <v>13</v>
      </c>
      <c r="AH315" t="n">
        <v>7</v>
      </c>
      <c r="AI315" t="n">
        <v>7</v>
      </c>
      <c r="AJ315" t="n">
        <v>16</v>
      </c>
      <c r="AK315" t="n">
        <v>16</v>
      </c>
      <c r="AL315" t="n">
        <v>2</v>
      </c>
      <c r="AM315" t="n">
        <v>3</v>
      </c>
      <c r="AN315" t="n">
        <v>7</v>
      </c>
      <c r="AO315" t="n">
        <v>7</v>
      </c>
      <c r="AP315" t="inlineStr">
        <is>
          <t>No</t>
        </is>
      </c>
      <c r="AQ315" t="inlineStr">
        <is>
          <t>Yes</t>
        </is>
      </c>
      <c r="AR315">
        <f>HYPERLINK("http://catalog.hathitrust.org/Record/003065484","HathiTrust Record")</f>
        <v/>
      </c>
      <c r="AS315">
        <f>HYPERLINK("https://creighton-primo.hosted.exlibrisgroup.com/primo-explore/search?tab=default_tab&amp;search_scope=EVERYTHING&amp;vid=01CRU&amp;lang=en_US&amp;offset=0&amp;query=any,contains,991005422939702656","Catalog Record")</f>
        <v/>
      </c>
      <c r="AT315">
        <f>HYPERLINK("http://www.worldcat.org/oclc/33948257","WorldCat Record")</f>
        <v/>
      </c>
      <c r="AU315" t="inlineStr">
        <is>
          <t>23678735:eng</t>
        </is>
      </c>
      <c r="AV315" t="inlineStr">
        <is>
          <t>33948257</t>
        </is>
      </c>
      <c r="AW315" t="inlineStr">
        <is>
          <t>991005422939702656</t>
        </is>
      </c>
      <c r="AX315" t="inlineStr">
        <is>
          <t>991005422939702656</t>
        </is>
      </c>
      <c r="AY315" t="inlineStr">
        <is>
          <t>2263036410002656</t>
        </is>
      </c>
      <c r="AZ315" t="inlineStr">
        <is>
          <t>BOOK</t>
        </is>
      </c>
      <c r="BB315" t="inlineStr">
        <is>
          <t>9780268038137</t>
        </is>
      </c>
      <c r="BC315" t="inlineStr">
        <is>
          <t>32285002432036</t>
        </is>
      </c>
      <c r="BD315" t="inlineStr">
        <is>
          <t>893595032</t>
        </is>
      </c>
    </row>
    <row r="316">
      <c r="A316" t="inlineStr">
        <is>
          <t>No</t>
        </is>
      </c>
      <c r="B316" t="inlineStr">
        <is>
          <t>HM216 .C87 1982</t>
        </is>
      </c>
      <c r="C316" t="inlineStr">
        <is>
          <t>0                      HM 0216000C  87          1982</t>
        </is>
      </c>
      <c r="D316" t="inlineStr">
        <is>
          <t>Evolution or extinction : the choice before us : a systems approach to the study of the future / by Richard K. Curtis.</t>
        </is>
      </c>
      <c r="F316" t="inlineStr">
        <is>
          <t>No</t>
        </is>
      </c>
      <c r="G316" t="inlineStr">
        <is>
          <t>1</t>
        </is>
      </c>
      <c r="H316" t="inlineStr">
        <is>
          <t>No</t>
        </is>
      </c>
      <c r="I316" t="inlineStr">
        <is>
          <t>No</t>
        </is>
      </c>
      <c r="J316" t="inlineStr">
        <is>
          <t>0</t>
        </is>
      </c>
      <c r="K316" t="inlineStr">
        <is>
          <t>Curtis, Richard K. (Richard Kenneth), 1924-2015</t>
        </is>
      </c>
      <c r="L316" t="inlineStr">
        <is>
          <t>Oxford [Oxfordshire] ; New York : Pergamon Press, 1982.</t>
        </is>
      </c>
      <c r="M316" t="inlineStr">
        <is>
          <t>1982</t>
        </is>
      </c>
      <c r="N316" t="inlineStr">
        <is>
          <t>1st ed.</t>
        </is>
      </c>
      <c r="O316" t="inlineStr">
        <is>
          <t>eng</t>
        </is>
      </c>
      <c r="P316" t="inlineStr">
        <is>
          <t>enk</t>
        </is>
      </c>
      <c r="Q316" t="inlineStr">
        <is>
          <t>Systems science and world order library. Innovations in systems science</t>
        </is>
      </c>
      <c r="R316" t="inlineStr">
        <is>
          <t xml:space="preserve">HM </t>
        </is>
      </c>
      <c r="S316" t="n">
        <v>8</v>
      </c>
      <c r="T316" t="n">
        <v>8</v>
      </c>
      <c r="U316" t="inlineStr">
        <is>
          <t>1995-07-24</t>
        </is>
      </c>
      <c r="V316" t="inlineStr">
        <is>
          <t>1995-07-24</t>
        </is>
      </c>
      <c r="W316" t="inlineStr">
        <is>
          <t>1992-08-28</t>
        </is>
      </c>
      <c r="X316" t="inlineStr">
        <is>
          <t>1992-08-28</t>
        </is>
      </c>
      <c r="Y316" t="n">
        <v>231</v>
      </c>
      <c r="Z316" t="n">
        <v>177</v>
      </c>
      <c r="AA316" t="n">
        <v>183</v>
      </c>
      <c r="AB316" t="n">
        <v>2</v>
      </c>
      <c r="AC316" t="n">
        <v>2</v>
      </c>
      <c r="AD316" t="n">
        <v>3</v>
      </c>
      <c r="AE316" t="n">
        <v>3</v>
      </c>
      <c r="AF316" t="n">
        <v>1</v>
      </c>
      <c r="AG316" t="n">
        <v>1</v>
      </c>
      <c r="AH316" t="n">
        <v>2</v>
      </c>
      <c r="AI316" t="n">
        <v>2</v>
      </c>
      <c r="AJ316" t="n">
        <v>1</v>
      </c>
      <c r="AK316" t="n">
        <v>1</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HYPERLINK("https://creighton-primo.hosted.exlibrisgroup.com/primo-explore/search?tab=default_tab&amp;search_scope=EVERYTHING&amp;vid=01CRU&amp;lang=en_US&amp;offset=0&amp;query=any,contains,991005248369702656","Catalog Record")</f>
        <v/>
      </c>
      <c r="AT316">
        <f>HYPERLINK("http://www.worldcat.org/oclc/8475397","WorldCat Record")</f>
        <v/>
      </c>
      <c r="AU316" t="inlineStr">
        <is>
          <t>867259013:eng</t>
        </is>
      </c>
      <c r="AV316" t="inlineStr">
        <is>
          <t>8475397</t>
        </is>
      </c>
      <c r="AW316" t="inlineStr">
        <is>
          <t>991005248369702656</t>
        </is>
      </c>
      <c r="AX316" t="inlineStr">
        <is>
          <t>991005248369702656</t>
        </is>
      </c>
      <c r="AY316" t="inlineStr">
        <is>
          <t>2259516790002656</t>
        </is>
      </c>
      <c r="AZ316" t="inlineStr">
        <is>
          <t>BOOK</t>
        </is>
      </c>
      <c r="BB316" t="inlineStr">
        <is>
          <t>9780080279329</t>
        </is>
      </c>
      <c r="BC316" t="inlineStr">
        <is>
          <t>32285001266948</t>
        </is>
      </c>
      <c r="BD316" t="inlineStr">
        <is>
          <t>893437396</t>
        </is>
      </c>
    </row>
    <row r="317">
      <c r="A317" t="inlineStr">
        <is>
          <t>No</t>
        </is>
      </c>
      <c r="B317" t="inlineStr">
        <is>
          <t>HM216 .E4 1975</t>
        </is>
      </c>
      <c r="C317" t="inlineStr">
        <is>
          <t>0                      HM 0216000E  4           1975</t>
        </is>
      </c>
      <c r="D317" t="inlineStr">
        <is>
          <t>Rules, roles, and relations / Dorothy Emmet.</t>
        </is>
      </c>
      <c r="F317" t="inlineStr">
        <is>
          <t>No</t>
        </is>
      </c>
      <c r="G317" t="inlineStr">
        <is>
          <t>1</t>
        </is>
      </c>
      <c r="H317" t="inlineStr">
        <is>
          <t>No</t>
        </is>
      </c>
      <c r="I317" t="inlineStr">
        <is>
          <t>No</t>
        </is>
      </c>
      <c r="J317" t="inlineStr">
        <is>
          <t>0</t>
        </is>
      </c>
      <c r="K317" t="inlineStr">
        <is>
          <t>Emmet, Dorothy M.</t>
        </is>
      </c>
      <c r="L317" t="inlineStr">
        <is>
          <t>Boston : Beacon Press, 1975, c1966.</t>
        </is>
      </c>
      <c r="M317" t="inlineStr">
        <is>
          <t>1975</t>
        </is>
      </c>
      <c r="O317" t="inlineStr">
        <is>
          <t>eng</t>
        </is>
      </c>
      <c r="P317" t="inlineStr">
        <is>
          <t>mau</t>
        </is>
      </c>
      <c r="Q317" t="inlineStr">
        <is>
          <t>Beacon paperback, 506</t>
        </is>
      </c>
      <c r="R317" t="inlineStr">
        <is>
          <t xml:space="preserve">HM </t>
        </is>
      </c>
      <c r="S317" t="n">
        <v>1</v>
      </c>
      <c r="T317" t="n">
        <v>1</v>
      </c>
      <c r="U317" t="inlineStr">
        <is>
          <t>2002-07-25</t>
        </is>
      </c>
      <c r="V317" t="inlineStr">
        <is>
          <t>2002-07-25</t>
        </is>
      </c>
      <c r="W317" t="inlineStr">
        <is>
          <t>1992-08-28</t>
        </is>
      </c>
      <c r="X317" t="inlineStr">
        <is>
          <t>1992-08-28</t>
        </is>
      </c>
      <c r="Y317" t="n">
        <v>84</v>
      </c>
      <c r="Z317" t="n">
        <v>74</v>
      </c>
      <c r="AA317" t="n">
        <v>447</v>
      </c>
      <c r="AB317" t="n">
        <v>1</v>
      </c>
      <c r="AC317" t="n">
        <v>2</v>
      </c>
      <c r="AD317" t="n">
        <v>3</v>
      </c>
      <c r="AE317" t="n">
        <v>21</v>
      </c>
      <c r="AF317" t="n">
        <v>1</v>
      </c>
      <c r="AG317" t="n">
        <v>8</v>
      </c>
      <c r="AH317" t="n">
        <v>1</v>
      </c>
      <c r="AI317" t="n">
        <v>4</v>
      </c>
      <c r="AJ317" t="n">
        <v>2</v>
      </c>
      <c r="AK317" t="n">
        <v>16</v>
      </c>
      <c r="AL317" t="n">
        <v>0</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HYPERLINK("https://creighton-primo.hosted.exlibrisgroup.com/primo-explore/search?tab=default_tab&amp;search_scope=EVERYTHING&amp;vid=01CRU&amp;lang=en_US&amp;offset=0&amp;query=any,contains,991003537929702656","Catalog Record")</f>
        <v/>
      </c>
      <c r="AT317">
        <f>HYPERLINK("http://www.worldcat.org/oclc/1103161","WorldCat Record")</f>
        <v/>
      </c>
      <c r="AU317" t="inlineStr">
        <is>
          <t>1969007:eng</t>
        </is>
      </c>
      <c r="AV317" t="inlineStr">
        <is>
          <t>1103161</t>
        </is>
      </c>
      <c r="AW317" t="inlineStr">
        <is>
          <t>991003537929702656</t>
        </is>
      </c>
      <c r="AX317" t="inlineStr">
        <is>
          <t>991003537929702656</t>
        </is>
      </c>
      <c r="AY317" t="inlineStr">
        <is>
          <t>2267391090002656</t>
        </is>
      </c>
      <c r="AZ317" t="inlineStr">
        <is>
          <t>BOOK</t>
        </is>
      </c>
      <c r="BB317" t="inlineStr">
        <is>
          <t>9780807015254</t>
        </is>
      </c>
      <c r="BC317" t="inlineStr">
        <is>
          <t>32285001266971</t>
        </is>
      </c>
      <c r="BD317" t="inlineStr">
        <is>
          <t>893234268</t>
        </is>
      </c>
    </row>
    <row r="318">
      <c r="A318" t="inlineStr">
        <is>
          <t>No</t>
        </is>
      </c>
      <c r="B318" t="inlineStr">
        <is>
          <t>HM216 .E755 1998</t>
        </is>
      </c>
      <c r="C318" t="inlineStr">
        <is>
          <t>0                      HM 0216000E  755         1998</t>
        </is>
      </c>
      <c r="D318" t="inlineStr">
        <is>
          <t>The essential communitarian reader / edited by Amitai Etzioni.</t>
        </is>
      </c>
      <c r="F318" t="inlineStr">
        <is>
          <t>No</t>
        </is>
      </c>
      <c r="G318" t="inlineStr">
        <is>
          <t>1</t>
        </is>
      </c>
      <c r="H318" t="inlineStr">
        <is>
          <t>No</t>
        </is>
      </c>
      <c r="I318" t="inlineStr">
        <is>
          <t>No</t>
        </is>
      </c>
      <c r="J318" t="inlineStr">
        <is>
          <t>0</t>
        </is>
      </c>
      <c r="L318" t="inlineStr">
        <is>
          <t>Lanham, Md. : Rowman &amp; Littlefield, c1998.</t>
        </is>
      </c>
      <c r="M318" t="inlineStr">
        <is>
          <t>1998</t>
        </is>
      </c>
      <c r="O318" t="inlineStr">
        <is>
          <t>eng</t>
        </is>
      </c>
      <c r="P318" t="inlineStr">
        <is>
          <t>mdu</t>
        </is>
      </c>
      <c r="R318" t="inlineStr">
        <is>
          <t xml:space="preserve">HM </t>
        </is>
      </c>
      <c r="S318" t="n">
        <v>5</v>
      </c>
      <c r="T318" t="n">
        <v>5</v>
      </c>
      <c r="U318" t="inlineStr">
        <is>
          <t>2005-02-18</t>
        </is>
      </c>
      <c r="V318" t="inlineStr">
        <is>
          <t>2005-02-18</t>
        </is>
      </c>
      <c r="W318" t="inlineStr">
        <is>
          <t>1999-12-02</t>
        </is>
      </c>
      <c r="X318" t="inlineStr">
        <is>
          <t>1999-12-02</t>
        </is>
      </c>
      <c r="Y318" t="n">
        <v>430</v>
      </c>
      <c r="Z318" t="n">
        <v>341</v>
      </c>
      <c r="AA318" t="n">
        <v>355</v>
      </c>
      <c r="AB318" t="n">
        <v>3</v>
      </c>
      <c r="AC318" t="n">
        <v>3</v>
      </c>
      <c r="AD318" t="n">
        <v>26</v>
      </c>
      <c r="AE318" t="n">
        <v>26</v>
      </c>
      <c r="AF318" t="n">
        <v>10</v>
      </c>
      <c r="AG318" t="n">
        <v>10</v>
      </c>
      <c r="AH318" t="n">
        <v>7</v>
      </c>
      <c r="AI318" t="n">
        <v>7</v>
      </c>
      <c r="AJ318" t="n">
        <v>15</v>
      </c>
      <c r="AK318" t="n">
        <v>15</v>
      </c>
      <c r="AL318" t="n">
        <v>2</v>
      </c>
      <c r="AM318" t="n">
        <v>2</v>
      </c>
      <c r="AN318" t="n">
        <v>1</v>
      </c>
      <c r="AO318" t="n">
        <v>1</v>
      </c>
      <c r="AP318" t="inlineStr">
        <is>
          <t>No</t>
        </is>
      </c>
      <c r="AQ318" t="inlineStr">
        <is>
          <t>No</t>
        </is>
      </c>
      <c r="AS318">
        <f>HYPERLINK("https://creighton-primo.hosted.exlibrisgroup.com/primo-explore/search?tab=default_tab&amp;search_scope=EVERYTHING&amp;vid=01CRU&amp;lang=en_US&amp;offset=0&amp;query=any,contains,991002869129702656","Catalog Record")</f>
        <v/>
      </c>
      <c r="AT318">
        <f>HYPERLINK("http://www.worldcat.org/oclc/37820025","WorldCat Record")</f>
        <v/>
      </c>
      <c r="AU318" t="inlineStr">
        <is>
          <t>56221618:eng</t>
        </is>
      </c>
      <c r="AV318" t="inlineStr">
        <is>
          <t>37820025</t>
        </is>
      </c>
      <c r="AW318" t="inlineStr">
        <is>
          <t>991002869129702656</t>
        </is>
      </c>
      <c r="AX318" t="inlineStr">
        <is>
          <t>991002869129702656</t>
        </is>
      </c>
      <c r="AY318" t="inlineStr">
        <is>
          <t>2272272450002656</t>
        </is>
      </c>
      <c r="AZ318" t="inlineStr">
        <is>
          <t>BOOK</t>
        </is>
      </c>
      <c r="BB318" t="inlineStr">
        <is>
          <t>9780847688265</t>
        </is>
      </c>
      <c r="BC318" t="inlineStr">
        <is>
          <t>32285003627600</t>
        </is>
      </c>
      <c r="BD318" t="inlineStr">
        <is>
          <t>893786667</t>
        </is>
      </c>
    </row>
    <row r="319">
      <c r="A319" t="inlineStr">
        <is>
          <t>No</t>
        </is>
      </c>
      <c r="B319" t="inlineStr">
        <is>
          <t>HM216 .E768 1989</t>
        </is>
      </c>
      <c r="C319" t="inlineStr">
        <is>
          <t>0                      HM 0216000E  768         1989</t>
        </is>
      </c>
      <c r="D319" t="inlineStr">
        <is>
          <t>Ethics and social concern / edited by Anthony Serafini.</t>
        </is>
      </c>
      <c r="F319" t="inlineStr">
        <is>
          <t>No</t>
        </is>
      </c>
      <c r="G319" t="inlineStr">
        <is>
          <t>1</t>
        </is>
      </c>
      <c r="H319" t="inlineStr">
        <is>
          <t>No</t>
        </is>
      </c>
      <c r="I319" t="inlineStr">
        <is>
          <t>No</t>
        </is>
      </c>
      <c r="J319" t="inlineStr">
        <is>
          <t>0</t>
        </is>
      </c>
      <c r="L319" t="inlineStr">
        <is>
          <t>New York : Paragon House, 1989.</t>
        </is>
      </c>
      <c r="M319" t="inlineStr">
        <is>
          <t>1989</t>
        </is>
      </c>
      <c r="N319" t="inlineStr">
        <is>
          <t>1st ed.</t>
        </is>
      </c>
      <c r="O319" t="inlineStr">
        <is>
          <t>eng</t>
        </is>
      </c>
      <c r="P319" t="inlineStr">
        <is>
          <t>nyu</t>
        </is>
      </c>
      <c r="R319" t="inlineStr">
        <is>
          <t xml:space="preserve">HM </t>
        </is>
      </c>
      <c r="S319" t="n">
        <v>8</v>
      </c>
      <c r="T319" t="n">
        <v>8</v>
      </c>
      <c r="U319" t="inlineStr">
        <is>
          <t>1998-04-09</t>
        </is>
      </c>
      <c r="V319" t="inlineStr">
        <is>
          <t>1998-04-09</t>
        </is>
      </c>
      <c r="W319" t="inlineStr">
        <is>
          <t>1991-01-28</t>
        </is>
      </c>
      <c r="X319" t="inlineStr">
        <is>
          <t>1991-01-28</t>
        </is>
      </c>
      <c r="Y319" t="n">
        <v>184</v>
      </c>
      <c r="Z319" t="n">
        <v>149</v>
      </c>
      <c r="AA319" t="n">
        <v>155</v>
      </c>
      <c r="AB319" t="n">
        <v>1</v>
      </c>
      <c r="AC319" t="n">
        <v>1</v>
      </c>
      <c r="AD319" t="n">
        <v>10</v>
      </c>
      <c r="AE319" t="n">
        <v>10</v>
      </c>
      <c r="AF319" t="n">
        <v>2</v>
      </c>
      <c r="AG319" t="n">
        <v>2</v>
      </c>
      <c r="AH319" t="n">
        <v>4</v>
      </c>
      <c r="AI319" t="n">
        <v>4</v>
      </c>
      <c r="AJ319" t="n">
        <v>6</v>
      </c>
      <c r="AK319" t="n">
        <v>6</v>
      </c>
      <c r="AL319" t="n">
        <v>0</v>
      </c>
      <c r="AM319" t="n">
        <v>0</v>
      </c>
      <c r="AN319" t="n">
        <v>1</v>
      </c>
      <c r="AO319" t="n">
        <v>1</v>
      </c>
      <c r="AP319" t="inlineStr">
        <is>
          <t>No</t>
        </is>
      </c>
      <c r="AQ319" t="inlineStr">
        <is>
          <t>Yes</t>
        </is>
      </c>
      <c r="AR319">
        <f>HYPERLINK("http://catalog.hathitrust.org/Record/007472803","HathiTrust Record")</f>
        <v/>
      </c>
      <c r="AS319">
        <f>HYPERLINK("https://creighton-primo.hosted.exlibrisgroup.com/primo-explore/search?tab=default_tab&amp;search_scope=EVERYTHING&amp;vid=01CRU&amp;lang=en_US&amp;offset=0&amp;query=any,contains,991001469749702656","Catalog Record")</f>
        <v/>
      </c>
      <c r="AT319">
        <f>HYPERLINK("http://www.worldcat.org/oclc/19520658","WorldCat Record")</f>
        <v/>
      </c>
      <c r="AU319" t="inlineStr">
        <is>
          <t>55202225:eng</t>
        </is>
      </c>
      <c r="AV319" t="inlineStr">
        <is>
          <t>19520658</t>
        </is>
      </c>
      <c r="AW319" t="inlineStr">
        <is>
          <t>991001469749702656</t>
        </is>
      </c>
      <c r="AX319" t="inlineStr">
        <is>
          <t>991001469749702656</t>
        </is>
      </c>
      <c r="AY319" t="inlineStr">
        <is>
          <t>2254787450002656</t>
        </is>
      </c>
      <c r="AZ319" t="inlineStr">
        <is>
          <t>BOOK</t>
        </is>
      </c>
      <c r="BB319" t="inlineStr">
        <is>
          <t>9781557780621</t>
        </is>
      </c>
      <c r="BC319" t="inlineStr">
        <is>
          <t>32285000461870</t>
        </is>
      </c>
      <c r="BD319" t="inlineStr">
        <is>
          <t>893866259</t>
        </is>
      </c>
    </row>
    <row r="320">
      <c r="A320" t="inlineStr">
        <is>
          <t>No</t>
        </is>
      </c>
      <c r="B320" t="inlineStr">
        <is>
          <t>HM216 .E85 1996</t>
        </is>
      </c>
      <c r="C320" t="inlineStr">
        <is>
          <t>0                      HM 0216000E  85          1996</t>
        </is>
      </c>
      <c r="D320" t="inlineStr">
        <is>
          <t>The new Golden rule : community and morality in a democratic society / Amitai Etzioni.</t>
        </is>
      </c>
      <c r="F320" t="inlineStr">
        <is>
          <t>No</t>
        </is>
      </c>
      <c r="G320" t="inlineStr">
        <is>
          <t>1</t>
        </is>
      </c>
      <c r="H320" t="inlineStr">
        <is>
          <t>No</t>
        </is>
      </c>
      <c r="I320" t="inlineStr">
        <is>
          <t>No</t>
        </is>
      </c>
      <c r="J320" t="inlineStr">
        <is>
          <t>0</t>
        </is>
      </c>
      <c r="K320" t="inlineStr">
        <is>
          <t>Etzioni, Amitai.</t>
        </is>
      </c>
      <c r="L320" t="inlineStr">
        <is>
          <t>New York : BasicBooks, c1996.</t>
        </is>
      </c>
      <c r="M320" t="inlineStr">
        <is>
          <t>1996</t>
        </is>
      </c>
      <c r="N320" t="inlineStr">
        <is>
          <t>1st ed.</t>
        </is>
      </c>
      <c r="O320" t="inlineStr">
        <is>
          <t>eng</t>
        </is>
      </c>
      <c r="P320" t="inlineStr">
        <is>
          <t>nyu</t>
        </is>
      </c>
      <c r="R320" t="inlineStr">
        <is>
          <t xml:space="preserve">HM </t>
        </is>
      </c>
      <c r="S320" t="n">
        <v>4</v>
      </c>
      <c r="T320" t="n">
        <v>4</v>
      </c>
      <c r="U320" t="inlineStr">
        <is>
          <t>2001-10-01</t>
        </is>
      </c>
      <c r="V320" t="inlineStr">
        <is>
          <t>2001-10-01</t>
        </is>
      </c>
      <c r="W320" t="inlineStr">
        <is>
          <t>1997-01-27</t>
        </is>
      </c>
      <c r="X320" t="inlineStr">
        <is>
          <t>1997-01-27</t>
        </is>
      </c>
      <c r="Y320" t="n">
        <v>1109</v>
      </c>
      <c r="Z320" t="n">
        <v>978</v>
      </c>
      <c r="AA320" t="n">
        <v>1007</v>
      </c>
      <c r="AB320" t="n">
        <v>8</v>
      </c>
      <c r="AC320" t="n">
        <v>8</v>
      </c>
      <c r="AD320" t="n">
        <v>43</v>
      </c>
      <c r="AE320" t="n">
        <v>43</v>
      </c>
      <c r="AF320" t="n">
        <v>14</v>
      </c>
      <c r="AG320" t="n">
        <v>14</v>
      </c>
      <c r="AH320" t="n">
        <v>8</v>
      </c>
      <c r="AI320" t="n">
        <v>8</v>
      </c>
      <c r="AJ320" t="n">
        <v>20</v>
      </c>
      <c r="AK320" t="n">
        <v>20</v>
      </c>
      <c r="AL320" t="n">
        <v>6</v>
      </c>
      <c r="AM320" t="n">
        <v>6</v>
      </c>
      <c r="AN320" t="n">
        <v>4</v>
      </c>
      <c r="AO320" t="n">
        <v>4</v>
      </c>
      <c r="AP320" t="inlineStr">
        <is>
          <t>No</t>
        </is>
      </c>
      <c r="AQ320" t="inlineStr">
        <is>
          <t>Yes</t>
        </is>
      </c>
      <c r="AR320">
        <f>HYPERLINK("http://catalog.hathitrust.org/Record/003126466","HathiTrust Record")</f>
        <v/>
      </c>
      <c r="AS320">
        <f>HYPERLINK("https://creighton-primo.hosted.exlibrisgroup.com/primo-explore/search?tab=default_tab&amp;search_scope=EVERYTHING&amp;vid=01CRU&amp;lang=en_US&amp;offset=0&amp;query=any,contains,991002686619702656","Catalog Record")</f>
        <v/>
      </c>
      <c r="AT320">
        <f>HYPERLINK("http://www.worldcat.org/oclc/35102550","WorldCat Record")</f>
        <v/>
      </c>
      <c r="AU320" t="inlineStr">
        <is>
          <t>864484141:eng</t>
        </is>
      </c>
      <c r="AV320" t="inlineStr">
        <is>
          <t>35102550</t>
        </is>
      </c>
      <c r="AW320" t="inlineStr">
        <is>
          <t>991002686619702656</t>
        </is>
      </c>
      <c r="AX320" t="inlineStr">
        <is>
          <t>991002686619702656</t>
        </is>
      </c>
      <c r="AY320" t="inlineStr">
        <is>
          <t>2266972450002656</t>
        </is>
      </c>
      <c r="AZ320" t="inlineStr">
        <is>
          <t>BOOK</t>
        </is>
      </c>
      <c r="BB320" t="inlineStr">
        <is>
          <t>9780465052974</t>
        </is>
      </c>
      <c r="BC320" t="inlineStr">
        <is>
          <t>32285002411352</t>
        </is>
      </c>
      <c r="BD320" t="inlineStr">
        <is>
          <t>893804891</t>
        </is>
      </c>
    </row>
    <row r="321">
      <c r="A321" t="inlineStr">
        <is>
          <t>No</t>
        </is>
      </c>
      <c r="B321" t="inlineStr">
        <is>
          <t>HM216 .F83 1989</t>
        </is>
      </c>
      <c r="C321" t="inlineStr">
        <is>
          <t>0                      HM 0216000F  83          1989</t>
        </is>
      </c>
      <c r="D321" t="inlineStr">
        <is>
          <t>Freedom, equality, and social change / edited by Creighton Peden and James P. Sterba.</t>
        </is>
      </c>
      <c r="F321" t="inlineStr">
        <is>
          <t>No</t>
        </is>
      </c>
      <c r="G321" t="inlineStr">
        <is>
          <t>1</t>
        </is>
      </c>
      <c r="H321" t="inlineStr">
        <is>
          <t>No</t>
        </is>
      </c>
      <c r="I321" t="inlineStr">
        <is>
          <t>No</t>
        </is>
      </c>
      <c r="J321" t="inlineStr">
        <is>
          <t>0</t>
        </is>
      </c>
      <c r="L321" t="inlineStr">
        <is>
          <t>Lewiston, NY : Edwin Mellen Press, 1989.</t>
        </is>
      </c>
      <c r="M321" t="inlineStr">
        <is>
          <t>1989</t>
        </is>
      </c>
      <c r="O321" t="inlineStr">
        <is>
          <t>eng</t>
        </is>
      </c>
      <c r="P321" t="inlineStr">
        <is>
          <t>nyu</t>
        </is>
      </c>
      <c r="Q321" t="inlineStr">
        <is>
          <t>Studies in social and political theory ; v. 3</t>
        </is>
      </c>
      <c r="R321" t="inlineStr">
        <is>
          <t xml:space="preserve">HM </t>
        </is>
      </c>
      <c r="S321" t="n">
        <v>7</v>
      </c>
      <c r="T321" t="n">
        <v>7</v>
      </c>
      <c r="U321" t="inlineStr">
        <is>
          <t>2001-09-06</t>
        </is>
      </c>
      <c r="V321" t="inlineStr">
        <is>
          <t>2001-09-06</t>
        </is>
      </c>
      <c r="W321" t="inlineStr">
        <is>
          <t>1990-06-28</t>
        </is>
      </c>
      <c r="X321" t="inlineStr">
        <is>
          <t>1990-06-28</t>
        </is>
      </c>
      <c r="Y321" t="n">
        <v>94</v>
      </c>
      <c r="Z321" t="n">
        <v>73</v>
      </c>
      <c r="AA321" t="n">
        <v>73</v>
      </c>
      <c r="AB321" t="n">
        <v>1</v>
      </c>
      <c r="AC321" t="n">
        <v>1</v>
      </c>
      <c r="AD321" t="n">
        <v>3</v>
      </c>
      <c r="AE321" t="n">
        <v>3</v>
      </c>
      <c r="AF321" t="n">
        <v>1</v>
      </c>
      <c r="AG321" t="n">
        <v>1</v>
      </c>
      <c r="AH321" t="n">
        <v>0</v>
      </c>
      <c r="AI321" t="n">
        <v>0</v>
      </c>
      <c r="AJ321" t="n">
        <v>2</v>
      </c>
      <c r="AK321" t="n">
        <v>2</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HYPERLINK("https://creighton-primo.hosted.exlibrisgroup.com/primo-explore/search?tab=default_tab&amp;search_scope=EVERYTHING&amp;vid=01CRU&amp;lang=en_US&amp;offset=0&amp;query=any,contains,991001265689702656","Catalog Record")</f>
        <v/>
      </c>
      <c r="AT321">
        <f>HYPERLINK("http://www.worldcat.org/oclc/17805330","WorldCat Record")</f>
        <v/>
      </c>
      <c r="AU321" t="inlineStr">
        <is>
          <t>16340844:eng</t>
        </is>
      </c>
      <c r="AV321" t="inlineStr">
        <is>
          <t>17805330</t>
        </is>
      </c>
      <c r="AW321" t="inlineStr">
        <is>
          <t>991001265689702656</t>
        </is>
      </c>
      <c r="AX321" t="inlineStr">
        <is>
          <t>991001265689702656</t>
        </is>
      </c>
      <c r="AY321" t="inlineStr">
        <is>
          <t>2265909000002656</t>
        </is>
      </c>
      <c r="AZ321" t="inlineStr">
        <is>
          <t>BOOK</t>
        </is>
      </c>
      <c r="BB321" t="inlineStr">
        <is>
          <t>9780889461031</t>
        </is>
      </c>
      <c r="BC321" t="inlineStr">
        <is>
          <t>32285000206192</t>
        </is>
      </c>
      <c r="BD321" t="inlineStr">
        <is>
          <t>893439020</t>
        </is>
      </c>
    </row>
    <row r="322">
      <c r="A322" t="inlineStr">
        <is>
          <t>No</t>
        </is>
      </c>
      <c r="B322" t="inlineStr">
        <is>
          <t>HM216 .G35 1999</t>
        </is>
      </c>
      <c r="C322" t="inlineStr">
        <is>
          <t>0                      HM 0216000G  35          1999</t>
        </is>
      </c>
      <c r="D322" t="inlineStr">
        <is>
          <t>Social philosophy / Gerald F. Gaus.</t>
        </is>
      </c>
      <c r="F322" t="inlineStr">
        <is>
          <t>No</t>
        </is>
      </c>
      <c r="G322" t="inlineStr">
        <is>
          <t>1</t>
        </is>
      </c>
      <c r="H322" t="inlineStr">
        <is>
          <t>No</t>
        </is>
      </c>
      <c r="I322" t="inlineStr">
        <is>
          <t>No</t>
        </is>
      </c>
      <c r="J322" t="inlineStr">
        <is>
          <t>0</t>
        </is>
      </c>
      <c r="K322" t="inlineStr">
        <is>
          <t>Gaus, Gerald F.</t>
        </is>
      </c>
      <c r="L322" t="inlineStr">
        <is>
          <t>Armonk, NY : M.E. Sharpe, c1999.</t>
        </is>
      </c>
      <c r="M322" t="inlineStr">
        <is>
          <t>1999</t>
        </is>
      </c>
      <c r="O322" t="inlineStr">
        <is>
          <t>eng</t>
        </is>
      </c>
      <c r="P322" t="inlineStr">
        <is>
          <t>nyu</t>
        </is>
      </c>
      <c r="Q322" t="inlineStr">
        <is>
          <t>Explorations in philosophy</t>
        </is>
      </c>
      <c r="R322" t="inlineStr">
        <is>
          <t xml:space="preserve">HM </t>
        </is>
      </c>
      <c r="S322" t="n">
        <v>4</v>
      </c>
      <c r="T322" t="n">
        <v>4</v>
      </c>
      <c r="U322" t="inlineStr">
        <is>
          <t>2005-02-25</t>
        </is>
      </c>
      <c r="V322" t="inlineStr">
        <is>
          <t>2005-02-25</t>
        </is>
      </c>
      <c r="W322" t="inlineStr">
        <is>
          <t>2000-12-14</t>
        </is>
      </c>
      <c r="X322" t="inlineStr">
        <is>
          <t>2000-12-14</t>
        </is>
      </c>
      <c r="Y322" t="n">
        <v>188</v>
      </c>
      <c r="Z322" t="n">
        <v>132</v>
      </c>
      <c r="AA322" t="n">
        <v>160</v>
      </c>
      <c r="AB322" t="n">
        <v>2</v>
      </c>
      <c r="AC322" t="n">
        <v>2</v>
      </c>
      <c r="AD322" t="n">
        <v>3</v>
      </c>
      <c r="AE322" t="n">
        <v>3</v>
      </c>
      <c r="AF322" t="n">
        <v>0</v>
      </c>
      <c r="AG322" t="n">
        <v>0</v>
      </c>
      <c r="AH322" t="n">
        <v>1</v>
      </c>
      <c r="AI322" t="n">
        <v>1</v>
      </c>
      <c r="AJ322" t="n">
        <v>1</v>
      </c>
      <c r="AK322" t="n">
        <v>1</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HYPERLINK("https://creighton-primo.hosted.exlibrisgroup.com/primo-explore/search?tab=default_tab&amp;search_scope=EVERYTHING&amp;vid=01CRU&amp;lang=en_US&amp;offset=0&amp;query=any,contains,991003313249702656","Catalog Record")</f>
        <v/>
      </c>
      <c r="AT322">
        <f>HYPERLINK("http://www.worldcat.org/oclc/39013721","WorldCat Record")</f>
        <v/>
      </c>
      <c r="AU322" t="inlineStr">
        <is>
          <t>3769008482:eng</t>
        </is>
      </c>
      <c r="AV322" t="inlineStr">
        <is>
          <t>39013721</t>
        </is>
      </c>
      <c r="AW322" t="inlineStr">
        <is>
          <t>991003313249702656</t>
        </is>
      </c>
      <c r="AX322" t="inlineStr">
        <is>
          <t>991003313249702656</t>
        </is>
      </c>
      <c r="AY322" t="inlineStr">
        <is>
          <t>2260899450002656</t>
        </is>
      </c>
      <c r="AZ322" t="inlineStr">
        <is>
          <t>BOOK</t>
        </is>
      </c>
      <c r="BB322" t="inlineStr">
        <is>
          <t>9781563249488</t>
        </is>
      </c>
      <c r="BC322" t="inlineStr">
        <is>
          <t>32285004277298</t>
        </is>
      </c>
      <c r="BD322" t="inlineStr">
        <is>
          <t>893604660</t>
        </is>
      </c>
    </row>
    <row r="323">
      <c r="A323" t="inlineStr">
        <is>
          <t>No</t>
        </is>
      </c>
      <c r="B323" t="inlineStr">
        <is>
          <t>HM216 .G564 1988</t>
        </is>
      </c>
      <c r="C323" t="inlineStr">
        <is>
          <t>0                      HM 0216000G  564         1988</t>
        </is>
      </c>
      <c r="D323" t="inlineStr">
        <is>
          <t>Reasons for welfare : the political theory of the welfare state / Robert E. Goodin.</t>
        </is>
      </c>
      <c r="F323" t="inlineStr">
        <is>
          <t>No</t>
        </is>
      </c>
      <c r="G323" t="inlineStr">
        <is>
          <t>1</t>
        </is>
      </c>
      <c r="H323" t="inlineStr">
        <is>
          <t>No</t>
        </is>
      </c>
      <c r="I323" t="inlineStr">
        <is>
          <t>No</t>
        </is>
      </c>
      <c r="J323" t="inlineStr">
        <is>
          <t>0</t>
        </is>
      </c>
      <c r="K323" t="inlineStr">
        <is>
          <t>Goodin, Robert E.</t>
        </is>
      </c>
      <c r="L323" t="inlineStr">
        <is>
          <t>Princeton, N.J. : Princeton University Press, c1988.</t>
        </is>
      </c>
      <c r="M323" t="inlineStr">
        <is>
          <t>1988</t>
        </is>
      </c>
      <c r="O323" t="inlineStr">
        <is>
          <t>eng</t>
        </is>
      </c>
      <c r="P323" t="inlineStr">
        <is>
          <t>nju</t>
        </is>
      </c>
      <c r="Q323" t="inlineStr">
        <is>
          <t>Studies in moral, political, and legal philosophy</t>
        </is>
      </c>
      <c r="R323" t="inlineStr">
        <is>
          <t xml:space="preserve">HM </t>
        </is>
      </c>
      <c r="S323" t="n">
        <v>10</v>
      </c>
      <c r="T323" t="n">
        <v>10</v>
      </c>
      <c r="U323" t="inlineStr">
        <is>
          <t>2000-12-01</t>
        </is>
      </c>
      <c r="V323" t="inlineStr">
        <is>
          <t>2000-12-01</t>
        </is>
      </c>
      <c r="W323" t="inlineStr">
        <is>
          <t>1990-02-07</t>
        </is>
      </c>
      <c r="X323" t="inlineStr">
        <is>
          <t>1990-02-07</t>
        </is>
      </c>
      <c r="Y323" t="n">
        <v>775</v>
      </c>
      <c r="Z323" t="n">
        <v>592</v>
      </c>
      <c r="AA323" t="n">
        <v>730</v>
      </c>
      <c r="AB323" t="n">
        <v>8</v>
      </c>
      <c r="AC323" t="n">
        <v>8</v>
      </c>
      <c r="AD323" t="n">
        <v>36</v>
      </c>
      <c r="AE323" t="n">
        <v>43</v>
      </c>
      <c r="AF323" t="n">
        <v>10</v>
      </c>
      <c r="AG323" t="n">
        <v>15</v>
      </c>
      <c r="AH323" t="n">
        <v>8</v>
      </c>
      <c r="AI323" t="n">
        <v>10</v>
      </c>
      <c r="AJ323" t="n">
        <v>14</v>
      </c>
      <c r="AK323" t="n">
        <v>16</v>
      </c>
      <c r="AL323" t="n">
        <v>7</v>
      </c>
      <c r="AM323" t="n">
        <v>7</v>
      </c>
      <c r="AN323" t="n">
        <v>4</v>
      </c>
      <c r="AO323" t="n">
        <v>4</v>
      </c>
      <c r="AP323" t="inlineStr">
        <is>
          <t>No</t>
        </is>
      </c>
      <c r="AQ323" t="inlineStr">
        <is>
          <t>No</t>
        </is>
      </c>
      <c r="AS323">
        <f>HYPERLINK("https://creighton-primo.hosted.exlibrisgroup.com/primo-explore/search?tab=default_tab&amp;search_scope=EVERYTHING&amp;vid=01CRU&amp;lang=en_US&amp;offset=0&amp;query=any,contains,991001234429702656","Catalog Record")</f>
        <v/>
      </c>
      <c r="AT323">
        <f>HYPERLINK("http://www.worldcat.org/oclc/17549731","WorldCat Record")</f>
        <v/>
      </c>
      <c r="AU323" t="inlineStr">
        <is>
          <t>836813845:eng</t>
        </is>
      </c>
      <c r="AV323" t="inlineStr">
        <is>
          <t>17549731</t>
        </is>
      </c>
      <c r="AW323" t="inlineStr">
        <is>
          <t>991001234429702656</t>
        </is>
      </c>
      <c r="AX323" t="inlineStr">
        <is>
          <t>991001234429702656</t>
        </is>
      </c>
      <c r="AY323" t="inlineStr">
        <is>
          <t>2270893780002656</t>
        </is>
      </c>
      <c r="AZ323" t="inlineStr">
        <is>
          <t>BOOK</t>
        </is>
      </c>
      <c r="BB323" t="inlineStr">
        <is>
          <t>9780691022796</t>
        </is>
      </c>
      <c r="BC323" t="inlineStr">
        <is>
          <t>32285000036839</t>
        </is>
      </c>
      <c r="BD323" t="inlineStr">
        <is>
          <t>893496933</t>
        </is>
      </c>
    </row>
    <row r="324">
      <c r="A324" t="inlineStr">
        <is>
          <t>No</t>
        </is>
      </c>
      <c r="B324" t="inlineStr">
        <is>
          <t>HM216 .I35 1985</t>
        </is>
      </c>
      <c r="C324" t="inlineStr">
        <is>
          <t>0                      HM 0216000I  35          1985</t>
        </is>
      </c>
      <c r="D324" t="inlineStr">
        <is>
          <t>The needs of strangers / Michael Ignatieff.</t>
        </is>
      </c>
      <c r="F324" t="inlineStr">
        <is>
          <t>No</t>
        </is>
      </c>
      <c r="G324" t="inlineStr">
        <is>
          <t>1</t>
        </is>
      </c>
      <c r="H324" t="inlineStr">
        <is>
          <t>No</t>
        </is>
      </c>
      <c r="I324" t="inlineStr">
        <is>
          <t>No</t>
        </is>
      </c>
      <c r="J324" t="inlineStr">
        <is>
          <t>0</t>
        </is>
      </c>
      <c r="K324" t="inlineStr">
        <is>
          <t>Ignatieff, Michael.</t>
        </is>
      </c>
      <c r="L324" t="inlineStr">
        <is>
          <t>New York, N.Y., U.S.A. : Viking, 1985, c1984.</t>
        </is>
      </c>
      <c r="M324" t="inlineStr">
        <is>
          <t>1985</t>
        </is>
      </c>
      <c r="O324" t="inlineStr">
        <is>
          <t>eng</t>
        </is>
      </c>
      <c r="P324" t="inlineStr">
        <is>
          <t>nyu</t>
        </is>
      </c>
      <c r="R324" t="inlineStr">
        <is>
          <t xml:space="preserve">HM </t>
        </is>
      </c>
      <c r="S324" t="n">
        <v>18</v>
      </c>
      <c r="T324" t="n">
        <v>18</v>
      </c>
      <c r="U324" t="inlineStr">
        <is>
          <t>2004-04-28</t>
        </is>
      </c>
      <c r="V324" t="inlineStr">
        <is>
          <t>2004-04-28</t>
        </is>
      </c>
      <c r="W324" t="inlineStr">
        <is>
          <t>1991-11-21</t>
        </is>
      </c>
      <c r="X324" t="inlineStr">
        <is>
          <t>1991-11-21</t>
        </is>
      </c>
      <c r="Y324" t="n">
        <v>486</v>
      </c>
      <c r="Z324" t="n">
        <v>444</v>
      </c>
      <c r="AA324" t="n">
        <v>672</v>
      </c>
      <c r="AB324" t="n">
        <v>1</v>
      </c>
      <c r="AC324" t="n">
        <v>4</v>
      </c>
      <c r="AD324" t="n">
        <v>16</v>
      </c>
      <c r="AE324" t="n">
        <v>30</v>
      </c>
      <c r="AF324" t="n">
        <v>6</v>
      </c>
      <c r="AG324" t="n">
        <v>12</v>
      </c>
      <c r="AH324" t="n">
        <v>4</v>
      </c>
      <c r="AI324" t="n">
        <v>6</v>
      </c>
      <c r="AJ324" t="n">
        <v>11</v>
      </c>
      <c r="AK324" t="n">
        <v>17</v>
      </c>
      <c r="AL324" t="n">
        <v>0</v>
      </c>
      <c r="AM324" t="n">
        <v>3</v>
      </c>
      <c r="AN324" t="n">
        <v>0</v>
      </c>
      <c r="AO324" t="n">
        <v>1</v>
      </c>
      <c r="AP324" t="inlineStr">
        <is>
          <t>No</t>
        </is>
      </c>
      <c r="AQ324" t="inlineStr">
        <is>
          <t>Yes</t>
        </is>
      </c>
      <c r="AR324">
        <f>HYPERLINK("http://catalog.hathitrust.org/Record/007571027","HathiTrust Record")</f>
        <v/>
      </c>
      <c r="AS324">
        <f>HYPERLINK("https://creighton-primo.hosted.exlibrisgroup.com/primo-explore/search?tab=default_tab&amp;search_scope=EVERYTHING&amp;vid=01CRU&amp;lang=en_US&amp;offset=0&amp;query=any,contains,991000492359702656","Catalog Record")</f>
        <v/>
      </c>
      <c r="AT324">
        <f>HYPERLINK("http://www.worldcat.org/oclc/11113703","WorldCat Record")</f>
        <v/>
      </c>
      <c r="AU324" t="inlineStr">
        <is>
          <t>3829671:eng</t>
        </is>
      </c>
      <c r="AV324" t="inlineStr">
        <is>
          <t>11113703</t>
        </is>
      </c>
      <c r="AW324" t="inlineStr">
        <is>
          <t>991000492359702656</t>
        </is>
      </c>
      <c r="AX324" t="inlineStr">
        <is>
          <t>991000492359702656</t>
        </is>
      </c>
      <c r="AY324" t="inlineStr">
        <is>
          <t>2256373460002656</t>
        </is>
      </c>
      <c r="AZ324" t="inlineStr">
        <is>
          <t>BOOK</t>
        </is>
      </c>
      <c r="BB324" t="inlineStr">
        <is>
          <t>9780670505777</t>
        </is>
      </c>
      <c r="BC324" t="inlineStr">
        <is>
          <t>32285000843713</t>
        </is>
      </c>
      <c r="BD324" t="inlineStr">
        <is>
          <t>893345708</t>
        </is>
      </c>
    </row>
    <row r="325">
      <c r="A325" t="inlineStr">
        <is>
          <t>No</t>
        </is>
      </c>
      <c r="B325" t="inlineStr">
        <is>
          <t>HM216 .J58</t>
        </is>
      </c>
      <c r="C325" t="inlineStr">
        <is>
          <t>0                      HM 0216000J  58</t>
        </is>
      </c>
      <c r="D325" t="inlineStr">
        <is>
          <t>John Rawl's theory of social justice : an introduction / H. Gene Blocker, Elizabeth H. Smith, editors.</t>
        </is>
      </c>
      <c r="F325" t="inlineStr">
        <is>
          <t>No</t>
        </is>
      </c>
      <c r="G325" t="inlineStr">
        <is>
          <t>1</t>
        </is>
      </c>
      <c r="H325" t="inlineStr">
        <is>
          <t>Yes</t>
        </is>
      </c>
      <c r="I325" t="inlineStr">
        <is>
          <t>No</t>
        </is>
      </c>
      <c r="J325" t="inlineStr">
        <is>
          <t>0</t>
        </is>
      </c>
      <c r="L325" t="inlineStr">
        <is>
          <t>Athens : Ohio University Press, c1980.</t>
        </is>
      </c>
      <c r="M325" t="inlineStr">
        <is>
          <t>1980</t>
        </is>
      </c>
      <c r="O325" t="inlineStr">
        <is>
          <t>eng</t>
        </is>
      </c>
      <c r="P325" t="inlineStr">
        <is>
          <t>ohu</t>
        </is>
      </c>
      <c r="R325" t="inlineStr">
        <is>
          <t xml:space="preserve">HM </t>
        </is>
      </c>
      <c r="S325" t="n">
        <v>6</v>
      </c>
      <c r="T325" t="n">
        <v>12</v>
      </c>
      <c r="U325" t="inlineStr">
        <is>
          <t>2005-09-14</t>
        </is>
      </c>
      <c r="V325" t="inlineStr">
        <is>
          <t>2005-09-14</t>
        </is>
      </c>
      <c r="W325" t="inlineStr">
        <is>
          <t>1992-03-10</t>
        </is>
      </c>
      <c r="X325" t="inlineStr">
        <is>
          <t>1992-03-10</t>
        </is>
      </c>
      <c r="Y325" t="n">
        <v>902</v>
      </c>
      <c r="Z325" t="n">
        <v>767</v>
      </c>
      <c r="AA325" t="n">
        <v>769</v>
      </c>
      <c r="AB325" t="n">
        <v>6</v>
      </c>
      <c r="AC325" t="n">
        <v>6</v>
      </c>
      <c r="AD325" t="n">
        <v>48</v>
      </c>
      <c r="AE325" t="n">
        <v>48</v>
      </c>
      <c r="AF325" t="n">
        <v>19</v>
      </c>
      <c r="AG325" t="n">
        <v>19</v>
      </c>
      <c r="AH325" t="n">
        <v>8</v>
      </c>
      <c r="AI325" t="n">
        <v>8</v>
      </c>
      <c r="AJ325" t="n">
        <v>23</v>
      </c>
      <c r="AK325" t="n">
        <v>23</v>
      </c>
      <c r="AL325" t="n">
        <v>4</v>
      </c>
      <c r="AM325" t="n">
        <v>4</v>
      </c>
      <c r="AN325" t="n">
        <v>7</v>
      </c>
      <c r="AO325" t="n">
        <v>7</v>
      </c>
      <c r="AP325" t="inlineStr">
        <is>
          <t>No</t>
        </is>
      </c>
      <c r="AQ325" t="inlineStr">
        <is>
          <t>Yes</t>
        </is>
      </c>
      <c r="AR325">
        <f>HYPERLINK("http://catalog.hathitrust.org/Record/000731421","HathiTrust Record")</f>
        <v/>
      </c>
      <c r="AS325">
        <f>HYPERLINK("https://creighton-primo.hosted.exlibrisgroup.com/primo-explore/search?tab=default_tab&amp;search_scope=EVERYTHING&amp;vid=01CRU&amp;lang=en_US&amp;offset=0&amp;query=any,contains,991001765749702656","Catalog Record")</f>
        <v/>
      </c>
      <c r="AT325">
        <f>HYPERLINK("http://www.worldcat.org/oclc/6043113","WorldCat Record")</f>
        <v/>
      </c>
      <c r="AU325" t="inlineStr">
        <is>
          <t>890667831:eng</t>
        </is>
      </c>
      <c r="AV325" t="inlineStr">
        <is>
          <t>6043113</t>
        </is>
      </c>
      <c r="AW325" t="inlineStr">
        <is>
          <t>991001765749702656</t>
        </is>
      </c>
      <c r="AX325" t="inlineStr">
        <is>
          <t>991001765749702656</t>
        </is>
      </c>
      <c r="AY325" t="inlineStr">
        <is>
          <t>2255583150002656</t>
        </is>
      </c>
      <c r="AZ325" t="inlineStr">
        <is>
          <t>BOOK</t>
        </is>
      </c>
      <c r="BB325" t="inlineStr">
        <is>
          <t>9780821404454</t>
        </is>
      </c>
      <c r="BC325" t="inlineStr">
        <is>
          <t>32285001001014</t>
        </is>
      </c>
      <c r="BD325" t="inlineStr">
        <is>
          <t>893596715</t>
        </is>
      </c>
    </row>
    <row r="326">
      <c r="A326" t="inlineStr">
        <is>
          <t>No</t>
        </is>
      </c>
      <c r="B326" t="inlineStr">
        <is>
          <t>HM216 .M243</t>
        </is>
      </c>
      <c r="C326" t="inlineStr">
        <is>
          <t>0                      HM 0216000M  243</t>
        </is>
      </c>
      <c r="D326" t="inlineStr">
        <is>
          <t>The dignity of life : moral values in a changing society / Charles J. McFadden.</t>
        </is>
      </c>
      <c r="F326" t="inlineStr">
        <is>
          <t>No</t>
        </is>
      </c>
      <c r="G326" t="inlineStr">
        <is>
          <t>1</t>
        </is>
      </c>
      <c r="H326" t="inlineStr">
        <is>
          <t>No</t>
        </is>
      </c>
      <c r="I326" t="inlineStr">
        <is>
          <t>No</t>
        </is>
      </c>
      <c r="J326" t="inlineStr">
        <is>
          <t>0</t>
        </is>
      </c>
      <c r="K326" t="inlineStr">
        <is>
          <t>McFadden, Charles Joseph, 1909-</t>
        </is>
      </c>
      <c r="L326" t="inlineStr">
        <is>
          <t>Huntington, IN : Our Sunday Visitor, c1976.</t>
        </is>
      </c>
      <c r="M326" t="inlineStr">
        <is>
          <t>1976</t>
        </is>
      </c>
      <c r="O326" t="inlineStr">
        <is>
          <t>eng</t>
        </is>
      </c>
      <c r="P326" t="inlineStr">
        <is>
          <t>inu</t>
        </is>
      </c>
      <c r="R326" t="inlineStr">
        <is>
          <t xml:space="preserve">HM </t>
        </is>
      </c>
      <c r="S326" t="n">
        <v>4</v>
      </c>
      <c r="T326" t="n">
        <v>4</v>
      </c>
      <c r="U326" t="inlineStr">
        <is>
          <t>1996-11-05</t>
        </is>
      </c>
      <c r="V326" t="inlineStr">
        <is>
          <t>1996-11-05</t>
        </is>
      </c>
      <c r="W326" t="inlineStr">
        <is>
          <t>1994-05-06</t>
        </is>
      </c>
      <c r="X326" t="inlineStr">
        <is>
          <t>1994-05-06</t>
        </is>
      </c>
      <c r="Y326" t="n">
        <v>266</v>
      </c>
      <c r="Z326" t="n">
        <v>243</v>
      </c>
      <c r="AA326" t="n">
        <v>248</v>
      </c>
      <c r="AB326" t="n">
        <v>3</v>
      </c>
      <c r="AC326" t="n">
        <v>3</v>
      </c>
      <c r="AD326" t="n">
        <v>23</v>
      </c>
      <c r="AE326" t="n">
        <v>23</v>
      </c>
      <c r="AF326" t="n">
        <v>6</v>
      </c>
      <c r="AG326" t="n">
        <v>6</v>
      </c>
      <c r="AH326" t="n">
        <v>4</v>
      </c>
      <c r="AI326" t="n">
        <v>4</v>
      </c>
      <c r="AJ326" t="n">
        <v>14</v>
      </c>
      <c r="AK326" t="n">
        <v>14</v>
      </c>
      <c r="AL326" t="n">
        <v>1</v>
      </c>
      <c r="AM326" t="n">
        <v>1</v>
      </c>
      <c r="AN326" t="n">
        <v>2</v>
      </c>
      <c r="AO326" t="n">
        <v>2</v>
      </c>
      <c r="AP326" t="inlineStr">
        <is>
          <t>No</t>
        </is>
      </c>
      <c r="AQ326" t="inlineStr">
        <is>
          <t>No</t>
        </is>
      </c>
      <c r="AS326">
        <f>HYPERLINK("https://creighton-primo.hosted.exlibrisgroup.com/primo-explore/search?tab=default_tab&amp;search_scope=EVERYTHING&amp;vid=01CRU&amp;lang=en_US&amp;offset=0&amp;query=any,contains,991004110869702656","Catalog Record")</f>
        <v/>
      </c>
      <c r="AT326">
        <f>HYPERLINK("http://www.worldcat.org/oclc/2398241","WorldCat Record")</f>
        <v/>
      </c>
      <c r="AU326" t="inlineStr">
        <is>
          <t>1089559753:eng</t>
        </is>
      </c>
      <c r="AV326" t="inlineStr">
        <is>
          <t>2398241</t>
        </is>
      </c>
      <c r="AW326" t="inlineStr">
        <is>
          <t>991004110869702656</t>
        </is>
      </c>
      <c r="AX326" t="inlineStr">
        <is>
          <t>991004110869702656</t>
        </is>
      </c>
      <c r="AY326" t="inlineStr">
        <is>
          <t>2257846920002656</t>
        </is>
      </c>
      <c r="AZ326" t="inlineStr">
        <is>
          <t>BOOK</t>
        </is>
      </c>
      <c r="BB326" t="inlineStr">
        <is>
          <t>9780879738914</t>
        </is>
      </c>
      <c r="BC326" t="inlineStr">
        <is>
          <t>32285001907558</t>
        </is>
      </c>
      <c r="BD326" t="inlineStr">
        <is>
          <t>893349616</t>
        </is>
      </c>
    </row>
    <row r="327">
      <c r="A327" t="inlineStr">
        <is>
          <t>No</t>
        </is>
      </c>
      <c r="B327" t="inlineStr">
        <is>
          <t>HM216 .M264</t>
        </is>
      </c>
      <c r="C327" t="inlineStr">
        <is>
          <t>0                      HM 0216000M  264</t>
        </is>
      </c>
      <c r="D327" t="inlineStr">
        <is>
          <t>A new American justice : ending the white male monopolies / Daniel C. Maguire.</t>
        </is>
      </c>
      <c r="F327" t="inlineStr">
        <is>
          <t>No</t>
        </is>
      </c>
      <c r="G327" t="inlineStr">
        <is>
          <t>1</t>
        </is>
      </c>
      <c r="H327" t="inlineStr">
        <is>
          <t>No</t>
        </is>
      </c>
      <c r="I327" t="inlineStr">
        <is>
          <t>No</t>
        </is>
      </c>
      <c r="J327" t="inlineStr">
        <is>
          <t>0</t>
        </is>
      </c>
      <c r="K327" t="inlineStr">
        <is>
          <t>Maguire, Daniel C.</t>
        </is>
      </c>
      <c r="L327" t="inlineStr">
        <is>
          <t>Garden City, N.Y. : Doubleday, 1980.</t>
        </is>
      </c>
      <c r="M327" t="inlineStr">
        <is>
          <t>1980</t>
        </is>
      </c>
      <c r="N327" t="inlineStr">
        <is>
          <t>1st ed.</t>
        </is>
      </c>
      <c r="O327" t="inlineStr">
        <is>
          <t>eng</t>
        </is>
      </c>
      <c r="P327" t="inlineStr">
        <is>
          <t>nyu</t>
        </is>
      </c>
      <c r="R327" t="inlineStr">
        <is>
          <t xml:space="preserve">HM </t>
        </is>
      </c>
      <c r="S327" t="n">
        <v>6</v>
      </c>
      <c r="T327" t="n">
        <v>6</v>
      </c>
      <c r="U327" t="inlineStr">
        <is>
          <t>1996-04-09</t>
        </is>
      </c>
      <c r="V327" t="inlineStr">
        <is>
          <t>1996-04-09</t>
        </is>
      </c>
      <c r="W327" t="inlineStr">
        <is>
          <t>1990-03-19</t>
        </is>
      </c>
      <c r="X327" t="inlineStr">
        <is>
          <t>1990-03-19</t>
        </is>
      </c>
      <c r="Y327" t="n">
        <v>694</v>
      </c>
      <c r="Z327" t="n">
        <v>658</v>
      </c>
      <c r="AA327" t="n">
        <v>664</v>
      </c>
      <c r="AB327" t="n">
        <v>5</v>
      </c>
      <c r="AC327" t="n">
        <v>5</v>
      </c>
      <c r="AD327" t="n">
        <v>29</v>
      </c>
      <c r="AE327" t="n">
        <v>29</v>
      </c>
      <c r="AF327" t="n">
        <v>8</v>
      </c>
      <c r="AG327" t="n">
        <v>8</v>
      </c>
      <c r="AH327" t="n">
        <v>5</v>
      </c>
      <c r="AI327" t="n">
        <v>5</v>
      </c>
      <c r="AJ327" t="n">
        <v>10</v>
      </c>
      <c r="AK327" t="n">
        <v>10</v>
      </c>
      <c r="AL327" t="n">
        <v>3</v>
      </c>
      <c r="AM327" t="n">
        <v>3</v>
      </c>
      <c r="AN327" t="n">
        <v>8</v>
      </c>
      <c r="AO327" t="n">
        <v>8</v>
      </c>
      <c r="AP327" t="inlineStr">
        <is>
          <t>No</t>
        </is>
      </c>
      <c r="AQ327" t="inlineStr">
        <is>
          <t>Yes</t>
        </is>
      </c>
      <c r="AR327">
        <f>HYPERLINK("http://catalog.hathitrust.org/Record/000743902","HathiTrust Record")</f>
        <v/>
      </c>
      <c r="AS327">
        <f>HYPERLINK("https://creighton-primo.hosted.exlibrisgroup.com/primo-explore/search?tab=default_tab&amp;search_scope=EVERYTHING&amp;vid=01CRU&amp;lang=en_US&amp;offset=0&amp;query=any,contains,991004969959702656","Catalog Record")</f>
        <v/>
      </c>
      <c r="AT327">
        <f>HYPERLINK("http://www.worldcat.org/oclc/6356960","WorldCat Record")</f>
        <v/>
      </c>
      <c r="AU327" t="inlineStr">
        <is>
          <t>5616729505:eng</t>
        </is>
      </c>
      <c r="AV327" t="inlineStr">
        <is>
          <t>6356960</t>
        </is>
      </c>
      <c r="AW327" t="inlineStr">
        <is>
          <t>991004969959702656</t>
        </is>
      </c>
      <c r="AX327" t="inlineStr">
        <is>
          <t>991004969959702656</t>
        </is>
      </c>
      <c r="AY327" t="inlineStr">
        <is>
          <t>2257180200002656</t>
        </is>
      </c>
      <c r="AZ327" t="inlineStr">
        <is>
          <t>BOOK</t>
        </is>
      </c>
      <c r="BB327" t="inlineStr">
        <is>
          <t>9780385143257</t>
        </is>
      </c>
      <c r="BC327" t="inlineStr">
        <is>
          <t>32285000083955</t>
        </is>
      </c>
      <c r="BD327" t="inlineStr">
        <is>
          <t>893319838</t>
        </is>
      </c>
    </row>
    <row r="328">
      <c r="A328" t="inlineStr">
        <is>
          <t>No</t>
        </is>
      </c>
      <c r="B328" t="inlineStr">
        <is>
          <t>HM216 .M27 1997</t>
        </is>
      </c>
      <c r="C328" t="inlineStr">
        <is>
          <t>0                      HM 0216000M  27          1997</t>
        </is>
      </c>
      <c r="D328" t="inlineStr">
        <is>
          <t>Social ethics : morality and social policy / Thomas A. Mappes, Jane S. Zembaty.</t>
        </is>
      </c>
      <c r="F328" t="inlineStr">
        <is>
          <t>No</t>
        </is>
      </c>
      <c r="G328" t="inlineStr">
        <is>
          <t>1</t>
        </is>
      </c>
      <c r="H328" t="inlineStr">
        <is>
          <t>No</t>
        </is>
      </c>
      <c r="I328" t="inlineStr">
        <is>
          <t>No</t>
        </is>
      </c>
      <c r="J328" t="inlineStr">
        <is>
          <t>0</t>
        </is>
      </c>
      <c r="K328" t="inlineStr">
        <is>
          <t>Mappes, Thomas A.</t>
        </is>
      </c>
      <c r="L328" t="inlineStr">
        <is>
          <t>New York : McGraw-Hill, c1997.</t>
        </is>
      </c>
      <c r="M328" t="inlineStr">
        <is>
          <t>1997</t>
        </is>
      </c>
      <c r="N328" t="inlineStr">
        <is>
          <t>5th ed.</t>
        </is>
      </c>
      <c r="O328" t="inlineStr">
        <is>
          <t>eng</t>
        </is>
      </c>
      <c r="P328" t="inlineStr">
        <is>
          <t>nyu</t>
        </is>
      </c>
      <c r="R328" t="inlineStr">
        <is>
          <t xml:space="preserve">HM </t>
        </is>
      </c>
      <c r="S328" t="n">
        <v>9</v>
      </c>
      <c r="T328" t="n">
        <v>9</v>
      </c>
      <c r="U328" t="inlineStr">
        <is>
          <t>2000-12-01</t>
        </is>
      </c>
      <c r="V328" t="inlineStr">
        <is>
          <t>2000-12-01</t>
        </is>
      </c>
      <c r="W328" t="inlineStr">
        <is>
          <t>1997-04-14</t>
        </is>
      </c>
      <c r="X328" t="inlineStr">
        <is>
          <t>1997-04-14</t>
        </is>
      </c>
      <c r="Y328" t="n">
        <v>152</v>
      </c>
      <c r="Z328" t="n">
        <v>109</v>
      </c>
      <c r="AA328" t="n">
        <v>806</v>
      </c>
      <c r="AB328" t="n">
        <v>3</v>
      </c>
      <c r="AC328" t="n">
        <v>9</v>
      </c>
      <c r="AD328" t="n">
        <v>9</v>
      </c>
      <c r="AE328" t="n">
        <v>43</v>
      </c>
      <c r="AF328" t="n">
        <v>2</v>
      </c>
      <c r="AG328" t="n">
        <v>17</v>
      </c>
      <c r="AH328" t="n">
        <v>2</v>
      </c>
      <c r="AI328" t="n">
        <v>8</v>
      </c>
      <c r="AJ328" t="n">
        <v>4</v>
      </c>
      <c r="AK328" t="n">
        <v>20</v>
      </c>
      <c r="AL328" t="n">
        <v>2</v>
      </c>
      <c r="AM328" t="n">
        <v>7</v>
      </c>
      <c r="AN328" t="n">
        <v>0</v>
      </c>
      <c r="AO328" t="n">
        <v>0</v>
      </c>
      <c r="AP328" t="inlineStr">
        <is>
          <t>No</t>
        </is>
      </c>
      <c r="AQ328" t="inlineStr">
        <is>
          <t>Yes</t>
        </is>
      </c>
      <c r="AR328">
        <f>HYPERLINK("http://catalog.hathitrust.org/Record/003575790","HathiTrust Record")</f>
        <v/>
      </c>
      <c r="AS328">
        <f>HYPERLINK("https://creighton-primo.hosted.exlibrisgroup.com/primo-explore/search?tab=default_tab&amp;search_scope=EVERYTHING&amp;vid=01CRU&amp;lang=en_US&amp;offset=0&amp;query=any,contains,991002634989702656","Catalog Record")</f>
        <v/>
      </c>
      <c r="AT328">
        <f>HYPERLINK("http://www.worldcat.org/oclc/34517560","WorldCat Record")</f>
        <v/>
      </c>
      <c r="AU328" t="inlineStr">
        <is>
          <t>3192638:eng</t>
        </is>
      </c>
      <c r="AV328" t="inlineStr">
        <is>
          <t>34517560</t>
        </is>
      </c>
      <c r="AW328" t="inlineStr">
        <is>
          <t>991002634989702656</t>
        </is>
      </c>
      <c r="AX328" t="inlineStr">
        <is>
          <t>991002634989702656</t>
        </is>
      </c>
      <c r="AY328" t="inlineStr">
        <is>
          <t>2271302660002656</t>
        </is>
      </c>
      <c r="AZ328" t="inlineStr">
        <is>
          <t>BOOK</t>
        </is>
      </c>
      <c r="BB328" t="inlineStr">
        <is>
          <t>9780070401433</t>
        </is>
      </c>
      <c r="BC328" t="inlineStr">
        <is>
          <t>32285002496593</t>
        </is>
      </c>
      <c r="BD328" t="inlineStr">
        <is>
          <t>893517537</t>
        </is>
      </c>
    </row>
    <row r="329">
      <c r="A329" t="inlineStr">
        <is>
          <t>No</t>
        </is>
      </c>
      <c r="B329" t="inlineStr">
        <is>
          <t>HM216 .M32 1984</t>
        </is>
      </c>
      <c r="C329" t="inlineStr">
        <is>
          <t>0                      HM 0216000M  32          1984</t>
        </is>
      </c>
      <c r="D329" t="inlineStr">
        <is>
          <t>Educating for peace and justice / by James McGinnis and other contributors.</t>
        </is>
      </c>
      <c r="E329" t="inlineStr">
        <is>
          <t>V. 3</t>
        </is>
      </c>
      <c r="F329" t="inlineStr">
        <is>
          <t>Yes</t>
        </is>
      </c>
      <c r="G329" t="inlineStr">
        <is>
          <t>1</t>
        </is>
      </c>
      <c r="H329" t="inlineStr">
        <is>
          <t>No</t>
        </is>
      </c>
      <c r="I329" t="inlineStr">
        <is>
          <t>No</t>
        </is>
      </c>
      <c r="J329" t="inlineStr">
        <is>
          <t>0</t>
        </is>
      </c>
      <c r="K329" t="inlineStr">
        <is>
          <t>McGinnis, James B.</t>
        </is>
      </c>
      <c r="L329" t="inlineStr">
        <is>
          <t>St. Louis, Mo. : Institute for Peace and Justice, c1984-c1985.</t>
        </is>
      </c>
      <c r="M329" t="inlineStr">
        <is>
          <t>1984</t>
        </is>
      </c>
      <c r="N329" t="inlineStr">
        <is>
          <t>[7th ed.].</t>
        </is>
      </c>
      <c r="O329" t="inlineStr">
        <is>
          <t>eng</t>
        </is>
      </c>
      <c r="P329" t="inlineStr">
        <is>
          <t>mou</t>
        </is>
      </c>
      <c r="R329" t="inlineStr">
        <is>
          <t xml:space="preserve">HM </t>
        </is>
      </c>
      <c r="S329" t="n">
        <v>1</v>
      </c>
      <c r="T329" t="n">
        <v>1</v>
      </c>
      <c r="U329" t="inlineStr">
        <is>
          <t>2002-02-06</t>
        </is>
      </c>
      <c r="V329" t="inlineStr">
        <is>
          <t>2002-02-06</t>
        </is>
      </c>
      <c r="W329" t="inlineStr">
        <is>
          <t>2002-02-06</t>
        </is>
      </c>
      <c r="X329" t="inlineStr">
        <is>
          <t>2002-02-06</t>
        </is>
      </c>
      <c r="Y329" t="n">
        <v>9</v>
      </c>
      <c r="Z329" t="n">
        <v>5</v>
      </c>
      <c r="AA329" t="n">
        <v>71</v>
      </c>
      <c r="AB329" t="n">
        <v>1</v>
      </c>
      <c r="AC329" t="n">
        <v>1</v>
      </c>
      <c r="AD329" t="n">
        <v>1</v>
      </c>
      <c r="AE329" t="n">
        <v>8</v>
      </c>
      <c r="AF329" t="n">
        <v>0</v>
      </c>
      <c r="AG329" t="n">
        <v>3</v>
      </c>
      <c r="AH329" t="n">
        <v>0</v>
      </c>
      <c r="AI329" t="n">
        <v>3</v>
      </c>
      <c r="AJ329" t="n">
        <v>1</v>
      </c>
      <c r="AK329" t="n">
        <v>7</v>
      </c>
      <c r="AL329" t="n">
        <v>0</v>
      </c>
      <c r="AM329" t="n">
        <v>0</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HYPERLINK("https://creighton-primo.hosted.exlibrisgroup.com/primo-explore/search?tab=default_tab&amp;search_scope=EVERYTHING&amp;vid=01CRU&amp;lang=en_US&amp;offset=0&amp;query=any,contains,991003713749702656","Catalog Record")</f>
        <v/>
      </c>
      <c r="AT329">
        <f>HYPERLINK("http://www.worldcat.org/oclc/19881177","WorldCat Record")</f>
        <v/>
      </c>
      <c r="AU329" t="inlineStr">
        <is>
          <t>4593759:eng</t>
        </is>
      </c>
      <c r="AV329" t="inlineStr">
        <is>
          <t>19881177</t>
        </is>
      </c>
      <c r="AW329" t="inlineStr">
        <is>
          <t>991003713749702656</t>
        </is>
      </c>
      <c r="AX329" t="inlineStr">
        <is>
          <t>991003713749702656</t>
        </is>
      </c>
      <c r="AY329" t="inlineStr">
        <is>
          <t>2263657530002656</t>
        </is>
      </c>
      <c r="AZ329" t="inlineStr">
        <is>
          <t>BOOK</t>
        </is>
      </c>
      <c r="BC329" t="inlineStr">
        <is>
          <t>32285004450580</t>
        </is>
      </c>
      <c r="BD329" t="inlineStr">
        <is>
          <t>893435340</t>
        </is>
      </c>
    </row>
    <row r="330">
      <c r="A330" t="inlineStr">
        <is>
          <t>No</t>
        </is>
      </c>
      <c r="B330" t="inlineStr">
        <is>
          <t>HM216 .M653 1985</t>
        </is>
      </c>
      <c r="C330" t="inlineStr">
        <is>
          <t>0                      HM 0216000M  653         1985</t>
        </is>
      </c>
      <c r="D330" t="inlineStr">
        <is>
          <t>Moral dilemmas : readings in ethics and social philosophy / [edited by] Richard L. Purtill.</t>
        </is>
      </c>
      <c r="F330" t="inlineStr">
        <is>
          <t>No</t>
        </is>
      </c>
      <c r="G330" t="inlineStr">
        <is>
          <t>1</t>
        </is>
      </c>
      <c r="H330" t="inlineStr">
        <is>
          <t>No</t>
        </is>
      </c>
      <c r="I330" t="inlineStr">
        <is>
          <t>No</t>
        </is>
      </c>
      <c r="J330" t="inlineStr">
        <is>
          <t>0</t>
        </is>
      </c>
      <c r="L330" t="inlineStr">
        <is>
          <t>Belmont, Calif. : Wadsworth Pub. Co., c1985.</t>
        </is>
      </c>
      <c r="M330" t="inlineStr">
        <is>
          <t>1985</t>
        </is>
      </c>
      <c r="O330" t="inlineStr">
        <is>
          <t>eng</t>
        </is>
      </c>
      <c r="P330" t="inlineStr">
        <is>
          <t>cau</t>
        </is>
      </c>
      <c r="R330" t="inlineStr">
        <is>
          <t xml:space="preserve">HM </t>
        </is>
      </c>
      <c r="S330" t="n">
        <v>6</v>
      </c>
      <c r="T330" t="n">
        <v>6</v>
      </c>
      <c r="U330" t="inlineStr">
        <is>
          <t>1995-03-21</t>
        </is>
      </c>
      <c r="V330" t="inlineStr">
        <is>
          <t>1995-03-21</t>
        </is>
      </c>
      <c r="W330" t="inlineStr">
        <is>
          <t>1992-09-01</t>
        </is>
      </c>
      <c r="X330" t="inlineStr">
        <is>
          <t>1992-09-01</t>
        </is>
      </c>
      <c r="Y330" t="n">
        <v>166</v>
      </c>
      <c r="Z330" t="n">
        <v>132</v>
      </c>
      <c r="AA330" t="n">
        <v>137</v>
      </c>
      <c r="AB330" t="n">
        <v>1</v>
      </c>
      <c r="AC330" t="n">
        <v>1</v>
      </c>
      <c r="AD330" t="n">
        <v>4</v>
      </c>
      <c r="AE330" t="n">
        <v>4</v>
      </c>
      <c r="AF330" t="n">
        <v>1</v>
      </c>
      <c r="AG330" t="n">
        <v>1</v>
      </c>
      <c r="AH330" t="n">
        <v>2</v>
      </c>
      <c r="AI330" t="n">
        <v>2</v>
      </c>
      <c r="AJ330" t="n">
        <v>1</v>
      </c>
      <c r="AK330" t="n">
        <v>1</v>
      </c>
      <c r="AL330" t="n">
        <v>0</v>
      </c>
      <c r="AM330" t="n">
        <v>0</v>
      </c>
      <c r="AN330" t="n">
        <v>1</v>
      </c>
      <c r="AO330" t="n">
        <v>1</v>
      </c>
      <c r="AP330" t="inlineStr">
        <is>
          <t>No</t>
        </is>
      </c>
      <c r="AQ330" t="inlineStr">
        <is>
          <t>No</t>
        </is>
      </c>
      <c r="AS330">
        <f>HYPERLINK("https://creighton-primo.hosted.exlibrisgroup.com/primo-explore/search?tab=default_tab&amp;search_scope=EVERYTHING&amp;vid=01CRU&amp;lang=en_US&amp;offset=0&amp;query=any,contains,991000381959702656","Catalog Record")</f>
        <v/>
      </c>
      <c r="AT330">
        <f>HYPERLINK("http://www.worldcat.org/oclc/10505125","WorldCat Record")</f>
        <v/>
      </c>
      <c r="AU330" t="inlineStr">
        <is>
          <t>796286650:eng</t>
        </is>
      </c>
      <c r="AV330" t="inlineStr">
        <is>
          <t>10505125</t>
        </is>
      </c>
      <c r="AW330" t="inlineStr">
        <is>
          <t>991000381959702656</t>
        </is>
      </c>
      <c r="AX330" t="inlineStr">
        <is>
          <t>991000381959702656</t>
        </is>
      </c>
      <c r="AY330" t="inlineStr">
        <is>
          <t>2254924300002656</t>
        </is>
      </c>
      <c r="AZ330" t="inlineStr">
        <is>
          <t>BOOK</t>
        </is>
      </c>
      <c r="BB330" t="inlineStr">
        <is>
          <t>9780534033668</t>
        </is>
      </c>
      <c r="BC330" t="inlineStr">
        <is>
          <t>32285001267060</t>
        </is>
      </c>
      <c r="BD330" t="inlineStr">
        <is>
          <t>893796590</t>
        </is>
      </c>
    </row>
    <row r="331">
      <c r="A331" t="inlineStr">
        <is>
          <t>No</t>
        </is>
      </c>
      <c r="B331" t="inlineStr">
        <is>
          <t>HM216 .N35 1993</t>
        </is>
      </c>
      <c r="C331" t="inlineStr">
        <is>
          <t>0                      HM 0216000N  35          1993</t>
        </is>
      </c>
      <c r="D331" t="inlineStr">
        <is>
          <t>Moral matters / Jan Narveson.</t>
        </is>
      </c>
      <c r="F331" t="inlineStr">
        <is>
          <t>No</t>
        </is>
      </c>
      <c r="G331" t="inlineStr">
        <is>
          <t>1</t>
        </is>
      </c>
      <c r="H331" t="inlineStr">
        <is>
          <t>No</t>
        </is>
      </c>
      <c r="I331" t="inlineStr">
        <is>
          <t>No</t>
        </is>
      </c>
      <c r="J331" t="inlineStr">
        <is>
          <t>0</t>
        </is>
      </c>
      <c r="K331" t="inlineStr">
        <is>
          <t>Narveson, Jan, 1936-</t>
        </is>
      </c>
      <c r="L331" t="inlineStr">
        <is>
          <t>Peterborough, Ont. ; Lewiston, N.Y : Broadview Press, 1993.</t>
        </is>
      </c>
      <c r="M331" t="inlineStr">
        <is>
          <t>1993</t>
        </is>
      </c>
      <c r="O331" t="inlineStr">
        <is>
          <t>eng</t>
        </is>
      </c>
      <c r="P331" t="inlineStr">
        <is>
          <t>onc</t>
        </is>
      </c>
      <c r="R331" t="inlineStr">
        <is>
          <t xml:space="preserve">HM </t>
        </is>
      </c>
      <c r="S331" t="n">
        <v>5</v>
      </c>
      <c r="T331" t="n">
        <v>5</v>
      </c>
      <c r="U331" t="inlineStr">
        <is>
          <t>2001-11-26</t>
        </is>
      </c>
      <c r="V331" t="inlineStr">
        <is>
          <t>2001-11-26</t>
        </is>
      </c>
      <c r="W331" t="inlineStr">
        <is>
          <t>1997-03-19</t>
        </is>
      </c>
      <c r="X331" t="inlineStr">
        <is>
          <t>1997-03-19</t>
        </is>
      </c>
      <c r="Y331" t="n">
        <v>136</v>
      </c>
      <c r="Z331" t="n">
        <v>86</v>
      </c>
      <c r="AA331" t="n">
        <v>971</v>
      </c>
      <c r="AB331" t="n">
        <v>1</v>
      </c>
      <c r="AC331" t="n">
        <v>2</v>
      </c>
      <c r="AD331" t="n">
        <v>2</v>
      </c>
      <c r="AE331" t="n">
        <v>18</v>
      </c>
      <c r="AF331" t="n">
        <v>1</v>
      </c>
      <c r="AG331" t="n">
        <v>12</v>
      </c>
      <c r="AH331" t="n">
        <v>0</v>
      </c>
      <c r="AI331" t="n">
        <v>2</v>
      </c>
      <c r="AJ331" t="n">
        <v>2</v>
      </c>
      <c r="AK331" t="n">
        <v>7</v>
      </c>
      <c r="AL331" t="n">
        <v>0</v>
      </c>
      <c r="AM331" t="n">
        <v>1</v>
      </c>
      <c r="AN331" t="n">
        <v>0</v>
      </c>
      <c r="AO331" t="n">
        <v>0</v>
      </c>
      <c r="AP331" t="inlineStr">
        <is>
          <t>No</t>
        </is>
      </c>
      <c r="AQ331" t="inlineStr">
        <is>
          <t>Yes</t>
        </is>
      </c>
      <c r="AR331">
        <f>HYPERLINK("http://catalog.hathitrust.org/Record/009805935","HathiTrust Record")</f>
        <v/>
      </c>
      <c r="AS331">
        <f>HYPERLINK("https://creighton-primo.hosted.exlibrisgroup.com/primo-explore/search?tab=default_tab&amp;search_scope=EVERYTHING&amp;vid=01CRU&amp;lang=en_US&amp;offset=0&amp;query=any,contains,991002147789702656","Catalog Record")</f>
        <v/>
      </c>
      <c r="AT331">
        <f>HYPERLINK("http://www.worldcat.org/oclc/27679630","WorldCat Record")</f>
        <v/>
      </c>
      <c r="AU331" t="inlineStr">
        <is>
          <t>30387293:eng</t>
        </is>
      </c>
      <c r="AV331" t="inlineStr">
        <is>
          <t>27679630</t>
        </is>
      </c>
      <c r="AW331" t="inlineStr">
        <is>
          <t>991002147789702656</t>
        </is>
      </c>
      <c r="AX331" t="inlineStr">
        <is>
          <t>991002147789702656</t>
        </is>
      </c>
      <c r="AY331" t="inlineStr">
        <is>
          <t>2263692090002656</t>
        </is>
      </c>
      <c r="AZ331" t="inlineStr">
        <is>
          <t>BOOK</t>
        </is>
      </c>
      <c r="BB331" t="inlineStr">
        <is>
          <t>9781551110110</t>
        </is>
      </c>
      <c r="BC331" t="inlineStr">
        <is>
          <t>32285002444387</t>
        </is>
      </c>
      <c r="BD331" t="inlineStr">
        <is>
          <t>893516943</t>
        </is>
      </c>
    </row>
    <row r="332">
      <c r="A332" t="inlineStr">
        <is>
          <t>No</t>
        </is>
      </c>
      <c r="B332" t="inlineStr">
        <is>
          <t>HM216 .N4 1998</t>
        </is>
      </c>
      <c r="C332" t="inlineStr">
        <is>
          <t>0                      HM 0216000N  4           1998</t>
        </is>
      </c>
      <c r="D332" t="inlineStr">
        <is>
          <t>Necessary goods : our responsibility to meet others' needs / edited by Gillian Brock.</t>
        </is>
      </c>
      <c r="F332" t="inlineStr">
        <is>
          <t>No</t>
        </is>
      </c>
      <c r="G332" t="inlineStr">
        <is>
          <t>1</t>
        </is>
      </c>
      <c r="H332" t="inlineStr">
        <is>
          <t>No</t>
        </is>
      </c>
      <c r="I332" t="inlineStr">
        <is>
          <t>No</t>
        </is>
      </c>
      <c r="J332" t="inlineStr">
        <is>
          <t>0</t>
        </is>
      </c>
      <c r="L332" t="inlineStr">
        <is>
          <t>Lanham, Md. : Rowman &amp; Littlefield, c1998.</t>
        </is>
      </c>
      <c r="M332" t="inlineStr">
        <is>
          <t>1998</t>
        </is>
      </c>
      <c r="O332" t="inlineStr">
        <is>
          <t>eng</t>
        </is>
      </c>
      <c r="P332" t="inlineStr">
        <is>
          <t>mdu</t>
        </is>
      </c>
      <c r="Q332" t="inlineStr">
        <is>
          <t>Studies in social, political, and legal philosophy</t>
        </is>
      </c>
      <c r="R332" t="inlineStr">
        <is>
          <t xml:space="preserve">HM </t>
        </is>
      </c>
      <c r="S332" t="n">
        <v>6</v>
      </c>
      <c r="T332" t="n">
        <v>6</v>
      </c>
      <c r="U332" t="inlineStr">
        <is>
          <t>2010-04-28</t>
        </is>
      </c>
      <c r="V332" t="inlineStr">
        <is>
          <t>2010-04-28</t>
        </is>
      </c>
      <c r="W332" t="inlineStr">
        <is>
          <t>2000-01-31</t>
        </is>
      </c>
      <c r="X332" t="inlineStr">
        <is>
          <t>2000-01-31</t>
        </is>
      </c>
      <c r="Y332" t="n">
        <v>177</v>
      </c>
      <c r="Z332" t="n">
        <v>133</v>
      </c>
      <c r="AA332" t="n">
        <v>151</v>
      </c>
      <c r="AB332" t="n">
        <v>1</v>
      </c>
      <c r="AC332" t="n">
        <v>1</v>
      </c>
      <c r="AD332" t="n">
        <v>12</v>
      </c>
      <c r="AE332" t="n">
        <v>14</v>
      </c>
      <c r="AF332" t="n">
        <v>3</v>
      </c>
      <c r="AG332" t="n">
        <v>4</v>
      </c>
      <c r="AH332" t="n">
        <v>4</v>
      </c>
      <c r="AI332" t="n">
        <v>6</v>
      </c>
      <c r="AJ332" t="n">
        <v>7</v>
      </c>
      <c r="AK332" t="n">
        <v>8</v>
      </c>
      <c r="AL332" t="n">
        <v>0</v>
      </c>
      <c r="AM332" t="n">
        <v>0</v>
      </c>
      <c r="AN332" t="n">
        <v>0</v>
      </c>
      <c r="AO332" t="n">
        <v>0</v>
      </c>
      <c r="AP332" t="inlineStr">
        <is>
          <t>No</t>
        </is>
      </c>
      <c r="AQ332" t="inlineStr">
        <is>
          <t>Yes</t>
        </is>
      </c>
      <c r="AR332">
        <f>HYPERLINK("http://catalog.hathitrust.org/Record/004032482","HathiTrust Record")</f>
        <v/>
      </c>
      <c r="AS332">
        <f>HYPERLINK("https://creighton-primo.hosted.exlibrisgroup.com/primo-explore/search?tab=default_tab&amp;search_scope=EVERYTHING&amp;vid=01CRU&amp;lang=en_US&amp;offset=0&amp;query=any,contains,991005427419702656","Catalog Record")</f>
        <v/>
      </c>
      <c r="AT332">
        <f>HYPERLINK("http://www.worldcat.org/oclc/37909785","WorldCat Record")</f>
        <v/>
      </c>
      <c r="AU332" t="inlineStr">
        <is>
          <t>891167804:eng</t>
        </is>
      </c>
      <c r="AV332" t="inlineStr">
        <is>
          <t>37909785</t>
        </is>
      </c>
      <c r="AW332" t="inlineStr">
        <is>
          <t>991005427419702656</t>
        </is>
      </c>
      <c r="AX332" t="inlineStr">
        <is>
          <t>991005427419702656</t>
        </is>
      </c>
      <c r="AY332" t="inlineStr">
        <is>
          <t>2257585020002656</t>
        </is>
      </c>
      <c r="AZ332" t="inlineStr">
        <is>
          <t>BOOK</t>
        </is>
      </c>
      <c r="BB332" t="inlineStr">
        <is>
          <t>9780847688180</t>
        </is>
      </c>
      <c r="BC332" t="inlineStr">
        <is>
          <t>32285003656872</t>
        </is>
      </c>
      <c r="BD332" t="inlineStr">
        <is>
          <t>893263840</t>
        </is>
      </c>
    </row>
    <row r="333">
      <c r="A333" t="inlineStr">
        <is>
          <t>No</t>
        </is>
      </c>
      <c r="B333" t="inlineStr">
        <is>
          <t>HM216 .O15</t>
        </is>
      </c>
      <c r="C333" t="inlineStr">
        <is>
          <t>0                      HM 0216000O  15</t>
        </is>
      </c>
      <c r="D333" t="inlineStr">
        <is>
          <t>Obligations to future generations / edited by R. I. Sikora and Brian Barry. --</t>
        </is>
      </c>
      <c r="F333" t="inlineStr">
        <is>
          <t>No</t>
        </is>
      </c>
      <c r="G333" t="inlineStr">
        <is>
          <t>1</t>
        </is>
      </c>
      <c r="H333" t="inlineStr">
        <is>
          <t>No</t>
        </is>
      </c>
      <c r="I333" t="inlineStr">
        <is>
          <t>No</t>
        </is>
      </c>
      <c r="J333" t="inlineStr">
        <is>
          <t>0</t>
        </is>
      </c>
      <c r="L333" t="inlineStr">
        <is>
          <t>Philadelphia : Temple University Press, 1978.</t>
        </is>
      </c>
      <c r="M333" t="inlineStr">
        <is>
          <t>1978</t>
        </is>
      </c>
      <c r="O333" t="inlineStr">
        <is>
          <t>eng</t>
        </is>
      </c>
      <c r="P333" t="inlineStr">
        <is>
          <t>pau</t>
        </is>
      </c>
      <c r="Q333" t="inlineStr">
        <is>
          <t>Philosophical monographs</t>
        </is>
      </c>
      <c r="R333" t="inlineStr">
        <is>
          <t xml:space="preserve">HM </t>
        </is>
      </c>
      <c r="S333" t="n">
        <v>7</v>
      </c>
      <c r="T333" t="n">
        <v>7</v>
      </c>
      <c r="U333" t="inlineStr">
        <is>
          <t>2005-11-28</t>
        </is>
      </c>
      <c r="V333" t="inlineStr">
        <is>
          <t>2005-11-28</t>
        </is>
      </c>
      <c r="W333" t="inlineStr">
        <is>
          <t>1992-09-01</t>
        </is>
      </c>
      <c r="X333" t="inlineStr">
        <is>
          <t>1992-09-01</t>
        </is>
      </c>
      <c r="Y333" t="n">
        <v>522</v>
      </c>
      <c r="Z333" t="n">
        <v>450</v>
      </c>
      <c r="AA333" t="n">
        <v>465</v>
      </c>
      <c r="AB333" t="n">
        <v>4</v>
      </c>
      <c r="AC333" t="n">
        <v>4</v>
      </c>
      <c r="AD333" t="n">
        <v>21</v>
      </c>
      <c r="AE333" t="n">
        <v>21</v>
      </c>
      <c r="AF333" t="n">
        <v>9</v>
      </c>
      <c r="AG333" t="n">
        <v>9</v>
      </c>
      <c r="AH333" t="n">
        <v>6</v>
      </c>
      <c r="AI333" t="n">
        <v>6</v>
      </c>
      <c r="AJ333" t="n">
        <v>12</v>
      </c>
      <c r="AK333" t="n">
        <v>12</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HYPERLINK("https://creighton-primo.hosted.exlibrisgroup.com/primo-explore/search?tab=default_tab&amp;search_scope=EVERYTHING&amp;vid=01CRU&amp;lang=en_US&amp;offset=0&amp;query=any,contains,991004529739702656","Catalog Record")</f>
        <v/>
      </c>
      <c r="AT333">
        <f>HYPERLINK("http://www.worldcat.org/oclc/3844743","WorldCat Record")</f>
        <v/>
      </c>
      <c r="AU333" t="inlineStr">
        <is>
          <t>915870965:eng</t>
        </is>
      </c>
      <c r="AV333" t="inlineStr">
        <is>
          <t>3844743</t>
        </is>
      </c>
      <c r="AW333" t="inlineStr">
        <is>
          <t>991004529739702656</t>
        </is>
      </c>
      <c r="AX333" t="inlineStr">
        <is>
          <t>991004529739702656</t>
        </is>
      </c>
      <c r="AY333" t="inlineStr">
        <is>
          <t>2264791190002656</t>
        </is>
      </c>
      <c r="AZ333" t="inlineStr">
        <is>
          <t>BOOK</t>
        </is>
      </c>
      <c r="BB333" t="inlineStr">
        <is>
          <t>9780877221326</t>
        </is>
      </c>
      <c r="BC333" t="inlineStr">
        <is>
          <t>32285001267078</t>
        </is>
      </c>
      <c r="BD333" t="inlineStr">
        <is>
          <t>893700355</t>
        </is>
      </c>
    </row>
    <row r="334">
      <c r="A334" t="inlineStr">
        <is>
          <t>No</t>
        </is>
      </c>
      <c r="B334" t="inlineStr">
        <is>
          <t>HM216 .O456 1986</t>
        </is>
      </c>
      <c r="C334" t="inlineStr">
        <is>
          <t>0                      HM 0216000O  456         1986</t>
        </is>
      </c>
      <c r="D334" t="inlineStr">
        <is>
          <t>Faces of hunger : an essay on poverty, justice, and development / Onora O'Neill.</t>
        </is>
      </c>
      <c r="F334" t="inlineStr">
        <is>
          <t>No</t>
        </is>
      </c>
      <c r="G334" t="inlineStr">
        <is>
          <t>1</t>
        </is>
      </c>
      <c r="H334" t="inlineStr">
        <is>
          <t>No</t>
        </is>
      </c>
      <c r="I334" t="inlineStr">
        <is>
          <t>No</t>
        </is>
      </c>
      <c r="J334" t="inlineStr">
        <is>
          <t>0</t>
        </is>
      </c>
      <c r="K334" t="inlineStr">
        <is>
          <t>O'Neill, Onora, 1941-</t>
        </is>
      </c>
      <c r="L334" t="inlineStr">
        <is>
          <t>London ; Boston : G. Allen &amp; Unwin, 1986.</t>
        </is>
      </c>
      <c r="M334" t="inlineStr">
        <is>
          <t>1985</t>
        </is>
      </c>
      <c r="O334" t="inlineStr">
        <is>
          <t>eng</t>
        </is>
      </c>
      <c r="P334" t="inlineStr">
        <is>
          <t>enk</t>
        </is>
      </c>
      <c r="Q334" t="inlineStr">
        <is>
          <t>Studies in applied philosophy ; 3</t>
        </is>
      </c>
      <c r="R334" t="inlineStr">
        <is>
          <t xml:space="preserve">HM </t>
        </is>
      </c>
      <c r="S334" t="n">
        <v>16</v>
      </c>
      <c r="T334" t="n">
        <v>16</v>
      </c>
      <c r="U334" t="inlineStr">
        <is>
          <t>2001-02-28</t>
        </is>
      </c>
      <c r="V334" t="inlineStr">
        <is>
          <t>2001-02-28</t>
        </is>
      </c>
      <c r="W334" t="inlineStr">
        <is>
          <t>1992-09-01</t>
        </is>
      </c>
      <c r="X334" t="inlineStr">
        <is>
          <t>1992-09-01</t>
        </is>
      </c>
      <c r="Y334" t="n">
        <v>564</v>
      </c>
      <c r="Z334" t="n">
        <v>437</v>
      </c>
      <c r="AA334" t="n">
        <v>446</v>
      </c>
      <c r="AB334" t="n">
        <v>3</v>
      </c>
      <c r="AC334" t="n">
        <v>3</v>
      </c>
      <c r="AD334" t="n">
        <v>25</v>
      </c>
      <c r="AE334" t="n">
        <v>25</v>
      </c>
      <c r="AF334" t="n">
        <v>10</v>
      </c>
      <c r="AG334" t="n">
        <v>10</v>
      </c>
      <c r="AH334" t="n">
        <v>7</v>
      </c>
      <c r="AI334" t="n">
        <v>7</v>
      </c>
      <c r="AJ334" t="n">
        <v>15</v>
      </c>
      <c r="AK334" t="n">
        <v>15</v>
      </c>
      <c r="AL334" t="n">
        <v>2</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HYPERLINK("https://creighton-primo.hosted.exlibrisgroup.com/primo-explore/search?tab=default_tab&amp;search_scope=EVERYTHING&amp;vid=01CRU&amp;lang=en_US&amp;offset=0&amp;query=any,contains,991005405469702656","Catalog Record")</f>
        <v/>
      </c>
      <c r="AT334">
        <f>HYPERLINK("http://www.worldcat.org/oclc/12215160","WorldCat Record")</f>
        <v/>
      </c>
      <c r="AU334" t="inlineStr">
        <is>
          <t>836670310:eng</t>
        </is>
      </c>
      <c r="AV334" t="inlineStr">
        <is>
          <t>12215160</t>
        </is>
      </c>
      <c r="AW334" t="inlineStr">
        <is>
          <t>991005405469702656</t>
        </is>
      </c>
      <c r="AX334" t="inlineStr">
        <is>
          <t>991005405469702656</t>
        </is>
      </c>
      <c r="AY334" t="inlineStr">
        <is>
          <t>2266728530002656</t>
        </is>
      </c>
      <c r="AZ334" t="inlineStr">
        <is>
          <t>BOOK</t>
        </is>
      </c>
      <c r="BB334" t="inlineStr">
        <is>
          <t>9780041700367</t>
        </is>
      </c>
      <c r="BC334" t="inlineStr">
        <is>
          <t>32285001267086</t>
        </is>
      </c>
      <c r="BD334" t="inlineStr">
        <is>
          <t>893902684</t>
        </is>
      </c>
    </row>
    <row r="335">
      <c r="A335" t="inlineStr">
        <is>
          <t>No</t>
        </is>
      </c>
      <c r="B335" t="inlineStr">
        <is>
          <t>HM216 .P687 1994</t>
        </is>
      </c>
      <c r="C335" t="inlineStr">
        <is>
          <t>0                      HM 0216000P  687         1994</t>
        </is>
      </c>
      <c r="D335" t="inlineStr">
        <is>
          <t>Professional ethics and social responsibility / edited by Daniel E. Wueste.</t>
        </is>
      </c>
      <c r="F335" t="inlineStr">
        <is>
          <t>No</t>
        </is>
      </c>
      <c r="G335" t="inlineStr">
        <is>
          <t>1</t>
        </is>
      </c>
      <c r="H335" t="inlineStr">
        <is>
          <t>No</t>
        </is>
      </c>
      <c r="I335" t="inlineStr">
        <is>
          <t>No</t>
        </is>
      </c>
      <c r="J335" t="inlineStr">
        <is>
          <t>0</t>
        </is>
      </c>
      <c r="L335" t="inlineStr">
        <is>
          <t>Lanham, Md. : Rowman and Littlefield Publishers, c1994.</t>
        </is>
      </c>
      <c r="M335" t="inlineStr">
        <is>
          <t>1994</t>
        </is>
      </c>
      <c r="O335" t="inlineStr">
        <is>
          <t>eng</t>
        </is>
      </c>
      <c r="P335" t="inlineStr">
        <is>
          <t>mdu</t>
        </is>
      </c>
      <c r="R335" t="inlineStr">
        <is>
          <t xml:space="preserve">HM </t>
        </is>
      </c>
      <c r="S335" t="n">
        <v>16</v>
      </c>
      <c r="T335" t="n">
        <v>16</v>
      </c>
      <c r="U335" t="inlineStr">
        <is>
          <t>2004-11-18</t>
        </is>
      </c>
      <c r="V335" t="inlineStr">
        <is>
          <t>2004-11-18</t>
        </is>
      </c>
      <c r="W335" t="inlineStr">
        <is>
          <t>1996-01-16</t>
        </is>
      </c>
      <c r="X335" t="inlineStr">
        <is>
          <t>1996-01-16</t>
        </is>
      </c>
      <c r="Y335" t="n">
        <v>353</v>
      </c>
      <c r="Z335" t="n">
        <v>296</v>
      </c>
      <c r="AA335" t="n">
        <v>311</v>
      </c>
      <c r="AB335" t="n">
        <v>3</v>
      </c>
      <c r="AC335" t="n">
        <v>3</v>
      </c>
      <c r="AD335" t="n">
        <v>27</v>
      </c>
      <c r="AE335" t="n">
        <v>28</v>
      </c>
      <c r="AF335" t="n">
        <v>6</v>
      </c>
      <c r="AG335" t="n">
        <v>7</v>
      </c>
      <c r="AH335" t="n">
        <v>4</v>
      </c>
      <c r="AI335" t="n">
        <v>5</v>
      </c>
      <c r="AJ335" t="n">
        <v>11</v>
      </c>
      <c r="AK335" t="n">
        <v>11</v>
      </c>
      <c r="AL335" t="n">
        <v>2</v>
      </c>
      <c r="AM335" t="n">
        <v>2</v>
      </c>
      <c r="AN335" t="n">
        <v>8</v>
      </c>
      <c r="AO335" t="n">
        <v>8</v>
      </c>
      <c r="AP335" t="inlineStr">
        <is>
          <t>No</t>
        </is>
      </c>
      <c r="AQ335" t="inlineStr">
        <is>
          <t>Yes</t>
        </is>
      </c>
      <c r="AR335">
        <f>HYPERLINK("http://catalog.hathitrust.org/Record/002910002","HathiTrust Record")</f>
        <v/>
      </c>
      <c r="AS335">
        <f>HYPERLINK("https://creighton-primo.hosted.exlibrisgroup.com/primo-explore/search?tab=default_tab&amp;search_scope=EVERYTHING&amp;vid=01CRU&amp;lang=en_US&amp;offset=0&amp;query=any,contains,991002276909702656","Catalog Record")</f>
        <v/>
      </c>
      <c r="AT335">
        <f>HYPERLINK("http://www.worldcat.org/oclc/29548240","WorldCat Record")</f>
        <v/>
      </c>
      <c r="AU335" t="inlineStr">
        <is>
          <t>55775386:eng</t>
        </is>
      </c>
      <c r="AV335" t="inlineStr">
        <is>
          <t>29548240</t>
        </is>
      </c>
      <c r="AW335" t="inlineStr">
        <is>
          <t>991002276909702656</t>
        </is>
      </c>
      <c r="AX335" t="inlineStr">
        <is>
          <t>991002276909702656</t>
        </is>
      </c>
      <c r="AY335" t="inlineStr">
        <is>
          <t>2270890710002656</t>
        </is>
      </c>
      <c r="AZ335" t="inlineStr">
        <is>
          <t>BOOK</t>
        </is>
      </c>
      <c r="BB335" t="inlineStr">
        <is>
          <t>9780847678150</t>
        </is>
      </c>
      <c r="BC335" t="inlineStr">
        <is>
          <t>32285002116902</t>
        </is>
      </c>
      <c r="BD335" t="inlineStr">
        <is>
          <t>893703898</t>
        </is>
      </c>
    </row>
    <row r="336">
      <c r="A336" t="inlineStr">
        <is>
          <t>No</t>
        </is>
      </c>
      <c r="B336" t="inlineStr">
        <is>
          <t>HM216 .R24</t>
        </is>
      </c>
      <c r="C336" t="inlineStr">
        <is>
          <t>0                      HM 0216000R  24</t>
        </is>
      </c>
      <c r="D336" t="inlineStr">
        <is>
          <t>Moral problems : a collection of philosophical essays / edited by James Rachels.</t>
        </is>
      </c>
      <c r="F336" t="inlineStr">
        <is>
          <t>No</t>
        </is>
      </c>
      <c r="G336" t="inlineStr">
        <is>
          <t>1</t>
        </is>
      </c>
      <c r="H336" t="inlineStr">
        <is>
          <t>Yes</t>
        </is>
      </c>
      <c r="I336" t="inlineStr">
        <is>
          <t>No</t>
        </is>
      </c>
      <c r="J336" t="inlineStr">
        <is>
          <t>0</t>
        </is>
      </c>
      <c r="K336" t="inlineStr">
        <is>
          <t>Rachels, James, 1941-2003.</t>
        </is>
      </c>
      <c r="L336" t="inlineStr">
        <is>
          <t>New York : Harper &amp; Row, [1971]</t>
        </is>
      </c>
      <c r="M336" t="inlineStr">
        <is>
          <t>1971</t>
        </is>
      </c>
      <c r="O336" t="inlineStr">
        <is>
          <t>eng</t>
        </is>
      </c>
      <c r="P336" t="inlineStr">
        <is>
          <t>nyu</t>
        </is>
      </c>
      <c r="R336" t="inlineStr">
        <is>
          <t xml:space="preserve">HM </t>
        </is>
      </c>
      <c r="S336" t="n">
        <v>17</v>
      </c>
      <c r="T336" t="n">
        <v>17</v>
      </c>
      <c r="U336" t="inlineStr">
        <is>
          <t>2003-06-23</t>
        </is>
      </c>
      <c r="V336" t="inlineStr">
        <is>
          <t>2003-06-23</t>
        </is>
      </c>
      <c r="W336" t="inlineStr">
        <is>
          <t>1992-10-20</t>
        </is>
      </c>
      <c r="X336" t="inlineStr">
        <is>
          <t>1992-10-20</t>
        </is>
      </c>
      <c r="Y336" t="n">
        <v>358</v>
      </c>
      <c r="Z336" t="n">
        <v>279</v>
      </c>
      <c r="AA336" t="n">
        <v>665</v>
      </c>
      <c r="AB336" t="n">
        <v>5</v>
      </c>
      <c r="AC336" t="n">
        <v>6</v>
      </c>
      <c r="AD336" t="n">
        <v>16</v>
      </c>
      <c r="AE336" t="n">
        <v>34</v>
      </c>
      <c r="AF336" t="n">
        <v>6</v>
      </c>
      <c r="AG336" t="n">
        <v>15</v>
      </c>
      <c r="AH336" t="n">
        <v>3</v>
      </c>
      <c r="AI336" t="n">
        <v>8</v>
      </c>
      <c r="AJ336" t="n">
        <v>8</v>
      </c>
      <c r="AK336" t="n">
        <v>15</v>
      </c>
      <c r="AL336" t="n">
        <v>2</v>
      </c>
      <c r="AM336" t="n">
        <v>3</v>
      </c>
      <c r="AN336" t="n">
        <v>0</v>
      </c>
      <c r="AO336" t="n">
        <v>2</v>
      </c>
      <c r="AP336" t="inlineStr">
        <is>
          <t>No</t>
        </is>
      </c>
      <c r="AQ336" t="inlineStr">
        <is>
          <t>Yes</t>
        </is>
      </c>
      <c r="AR336">
        <f>HYPERLINK("http://catalog.hathitrust.org/Record/007128189","HathiTrust Record")</f>
        <v/>
      </c>
      <c r="AS336">
        <f>HYPERLINK("https://creighton-primo.hosted.exlibrisgroup.com/primo-explore/search?tab=default_tab&amp;search_scope=EVERYTHING&amp;vid=01CRU&amp;lang=en_US&amp;offset=0&amp;query=any,contains,991001789089702656","Catalog Record")</f>
        <v/>
      </c>
      <c r="AT336">
        <f>HYPERLINK("http://www.worldcat.org/oclc/208870","WorldCat Record")</f>
        <v/>
      </c>
      <c r="AU336" t="inlineStr">
        <is>
          <t>583712271:eng</t>
        </is>
      </c>
      <c r="AV336" t="inlineStr">
        <is>
          <t>208870</t>
        </is>
      </c>
      <c r="AW336" t="inlineStr">
        <is>
          <t>991001789089702656</t>
        </is>
      </c>
      <c r="AX336" t="inlineStr">
        <is>
          <t>991001789089702656</t>
        </is>
      </c>
      <c r="AY336" t="inlineStr">
        <is>
          <t>2270046670002656</t>
        </is>
      </c>
      <c r="AZ336" t="inlineStr">
        <is>
          <t>BOOK</t>
        </is>
      </c>
      <c r="BB336" t="inlineStr">
        <is>
          <t>9780060453060</t>
        </is>
      </c>
      <c r="BC336" t="inlineStr">
        <is>
          <t>32285001352078</t>
        </is>
      </c>
      <c r="BD336" t="inlineStr">
        <is>
          <t>893522851</t>
        </is>
      </c>
    </row>
    <row r="337">
      <c r="A337" t="inlineStr">
        <is>
          <t>No</t>
        </is>
      </c>
      <c r="B337" t="inlineStr">
        <is>
          <t>HM216 .S463 1982</t>
        </is>
      </c>
      <c r="C337" t="inlineStr">
        <is>
          <t>0                      HM 0216000S  463         1982</t>
        </is>
      </c>
      <c r="D337" t="inlineStr">
        <is>
          <t>Forced options : social decisions for the 21st century / Roger Lincoln Shinn.</t>
        </is>
      </c>
      <c r="F337" t="inlineStr">
        <is>
          <t>No</t>
        </is>
      </c>
      <c r="G337" t="inlineStr">
        <is>
          <t>1</t>
        </is>
      </c>
      <c r="H337" t="inlineStr">
        <is>
          <t>No</t>
        </is>
      </c>
      <c r="I337" t="inlineStr">
        <is>
          <t>No</t>
        </is>
      </c>
      <c r="J337" t="inlineStr">
        <is>
          <t>0</t>
        </is>
      </c>
      <c r="K337" t="inlineStr">
        <is>
          <t>Shinn, Roger Lincoln.</t>
        </is>
      </c>
      <c r="L337" t="inlineStr">
        <is>
          <t>San Francisco : Harper &amp; Row, c1982.</t>
        </is>
      </c>
      <c r="M337" t="inlineStr">
        <is>
          <t>1982</t>
        </is>
      </c>
      <c r="N337" t="inlineStr">
        <is>
          <t>1st ed.</t>
        </is>
      </c>
      <c r="O337" t="inlineStr">
        <is>
          <t>eng</t>
        </is>
      </c>
      <c r="P337" t="inlineStr">
        <is>
          <t>cau</t>
        </is>
      </c>
      <c r="Q337" t="inlineStr">
        <is>
          <t>Religious perspectives ; v. 27</t>
        </is>
      </c>
      <c r="R337" t="inlineStr">
        <is>
          <t xml:space="preserve">HM </t>
        </is>
      </c>
      <c r="S337" t="n">
        <v>2</v>
      </c>
      <c r="T337" t="n">
        <v>2</v>
      </c>
      <c r="U337" t="inlineStr">
        <is>
          <t>2000-01-25</t>
        </is>
      </c>
      <c r="V337" t="inlineStr">
        <is>
          <t>2000-01-25</t>
        </is>
      </c>
      <c r="W337" t="inlineStr">
        <is>
          <t>1992-09-01</t>
        </is>
      </c>
      <c r="X337" t="inlineStr">
        <is>
          <t>1992-09-01</t>
        </is>
      </c>
      <c r="Y337" t="n">
        <v>586</v>
      </c>
      <c r="Z337" t="n">
        <v>530</v>
      </c>
      <c r="AA337" t="n">
        <v>651</v>
      </c>
      <c r="AB337" t="n">
        <v>4</v>
      </c>
      <c r="AC337" t="n">
        <v>7</v>
      </c>
      <c r="AD337" t="n">
        <v>30</v>
      </c>
      <c r="AE337" t="n">
        <v>38</v>
      </c>
      <c r="AF337" t="n">
        <v>10</v>
      </c>
      <c r="AG337" t="n">
        <v>14</v>
      </c>
      <c r="AH337" t="n">
        <v>8</v>
      </c>
      <c r="AI337" t="n">
        <v>8</v>
      </c>
      <c r="AJ337" t="n">
        <v>16</v>
      </c>
      <c r="AK337" t="n">
        <v>20</v>
      </c>
      <c r="AL337" t="n">
        <v>2</v>
      </c>
      <c r="AM337" t="n">
        <v>5</v>
      </c>
      <c r="AN337" t="n">
        <v>0</v>
      </c>
      <c r="AO337" t="n">
        <v>0</v>
      </c>
      <c r="AP337" t="inlineStr">
        <is>
          <t>No</t>
        </is>
      </c>
      <c r="AQ337" t="inlineStr">
        <is>
          <t>Yes</t>
        </is>
      </c>
      <c r="AR337">
        <f>HYPERLINK("http://catalog.hathitrust.org/Record/000231129","HathiTrust Record")</f>
        <v/>
      </c>
      <c r="AS337">
        <f>HYPERLINK("https://creighton-primo.hosted.exlibrisgroup.com/primo-explore/search?tab=default_tab&amp;search_scope=EVERYTHING&amp;vid=01CRU&amp;lang=en_US&amp;offset=0&amp;query=any,contains,991005242169702656","Catalog Record")</f>
        <v/>
      </c>
      <c r="AT337">
        <f>HYPERLINK("http://www.worldcat.org/oclc/8430480","WorldCat Record")</f>
        <v/>
      </c>
      <c r="AU337" t="inlineStr">
        <is>
          <t>4929138:eng</t>
        </is>
      </c>
      <c r="AV337" t="inlineStr">
        <is>
          <t>8430480</t>
        </is>
      </c>
      <c r="AW337" t="inlineStr">
        <is>
          <t>991005242169702656</t>
        </is>
      </c>
      <c r="AX337" t="inlineStr">
        <is>
          <t>991005242169702656</t>
        </is>
      </c>
      <c r="AY337" t="inlineStr">
        <is>
          <t>2261319300002656</t>
        </is>
      </c>
      <c r="AZ337" t="inlineStr">
        <is>
          <t>BOOK</t>
        </is>
      </c>
      <c r="BB337" t="inlineStr">
        <is>
          <t>9780060672829</t>
        </is>
      </c>
      <c r="BC337" t="inlineStr">
        <is>
          <t>32285001267110</t>
        </is>
      </c>
      <c r="BD337" t="inlineStr">
        <is>
          <t>893260797</t>
        </is>
      </c>
    </row>
    <row r="338">
      <c r="A338" t="inlineStr">
        <is>
          <t>No</t>
        </is>
      </c>
      <c r="B338" t="inlineStr">
        <is>
          <t>HM216 .S585 1995</t>
        </is>
      </c>
      <c r="C338" t="inlineStr">
        <is>
          <t>0                      HM 0216000S  585         1995</t>
        </is>
      </c>
      <c r="D338" t="inlineStr">
        <is>
          <t>A passion for justice : emotions and the origins of the social contract / Robert C. Solomon.</t>
        </is>
      </c>
      <c r="F338" t="inlineStr">
        <is>
          <t>No</t>
        </is>
      </c>
      <c r="G338" t="inlineStr">
        <is>
          <t>1</t>
        </is>
      </c>
      <c r="H338" t="inlineStr">
        <is>
          <t>No</t>
        </is>
      </c>
      <c r="I338" t="inlineStr">
        <is>
          <t>Yes</t>
        </is>
      </c>
      <c r="J338" t="inlineStr">
        <is>
          <t>0</t>
        </is>
      </c>
      <c r="K338" t="inlineStr">
        <is>
          <t>Solomon, Robert C.</t>
        </is>
      </c>
      <c r="L338" t="inlineStr">
        <is>
          <t>Lanham, Md. : Rowman &amp; Littlefield, 1995.</t>
        </is>
      </c>
      <c r="M338" t="inlineStr">
        <is>
          <t>1995</t>
        </is>
      </c>
      <c r="O338" t="inlineStr">
        <is>
          <t>eng</t>
        </is>
      </c>
      <c r="P338" t="inlineStr">
        <is>
          <t>mdu</t>
        </is>
      </c>
      <c r="R338" t="inlineStr">
        <is>
          <t xml:space="preserve">HM </t>
        </is>
      </c>
      <c r="S338" t="n">
        <v>3</v>
      </c>
      <c r="T338" t="n">
        <v>3</v>
      </c>
      <c r="U338" t="inlineStr">
        <is>
          <t>2006-10-25</t>
        </is>
      </c>
      <c r="V338" t="inlineStr">
        <is>
          <t>2006-10-25</t>
        </is>
      </c>
      <c r="W338" t="inlineStr">
        <is>
          <t>1996-06-04</t>
        </is>
      </c>
      <c r="X338" t="inlineStr">
        <is>
          <t>1996-06-04</t>
        </is>
      </c>
      <c r="Y338" t="n">
        <v>155</v>
      </c>
      <c r="Z338" t="n">
        <v>121</v>
      </c>
      <c r="AA338" t="n">
        <v>593</v>
      </c>
      <c r="AB338" t="n">
        <v>2</v>
      </c>
      <c r="AC338" t="n">
        <v>6</v>
      </c>
      <c r="AD338" t="n">
        <v>11</v>
      </c>
      <c r="AE338" t="n">
        <v>44</v>
      </c>
      <c r="AF338" t="n">
        <v>6</v>
      </c>
      <c r="AG338" t="n">
        <v>16</v>
      </c>
      <c r="AH338" t="n">
        <v>0</v>
      </c>
      <c r="AI338" t="n">
        <v>7</v>
      </c>
      <c r="AJ338" t="n">
        <v>6</v>
      </c>
      <c r="AK338" t="n">
        <v>18</v>
      </c>
      <c r="AL338" t="n">
        <v>1</v>
      </c>
      <c r="AM338" t="n">
        <v>4</v>
      </c>
      <c r="AN338" t="n">
        <v>0</v>
      </c>
      <c r="AO338" t="n">
        <v>10</v>
      </c>
      <c r="AP338" t="inlineStr">
        <is>
          <t>No</t>
        </is>
      </c>
      <c r="AQ338" t="inlineStr">
        <is>
          <t>No</t>
        </is>
      </c>
      <c r="AS338">
        <f>HYPERLINK("https://creighton-primo.hosted.exlibrisgroup.com/primo-explore/search?tab=default_tab&amp;search_scope=EVERYTHING&amp;vid=01CRU&amp;lang=en_US&amp;offset=0&amp;query=any,contains,991002505839702656","Catalog Record")</f>
        <v/>
      </c>
      <c r="AT338">
        <f>HYPERLINK("http://www.worldcat.org/oclc/32589930","WorldCat Record")</f>
        <v/>
      </c>
      <c r="AU338" t="inlineStr">
        <is>
          <t>20881692:eng</t>
        </is>
      </c>
      <c r="AV338" t="inlineStr">
        <is>
          <t>32589930</t>
        </is>
      </c>
      <c r="AW338" t="inlineStr">
        <is>
          <t>991002505839702656</t>
        </is>
      </c>
      <c r="AX338" t="inlineStr">
        <is>
          <t>991002505839702656</t>
        </is>
      </c>
      <c r="AY338" t="inlineStr">
        <is>
          <t>2261192430002656</t>
        </is>
      </c>
      <c r="AZ338" t="inlineStr">
        <is>
          <t>BOOK</t>
        </is>
      </c>
      <c r="BB338" t="inlineStr">
        <is>
          <t>9780847680870</t>
        </is>
      </c>
      <c r="BC338" t="inlineStr">
        <is>
          <t>32285002187119</t>
        </is>
      </c>
      <c r="BD338" t="inlineStr">
        <is>
          <t>893504468</t>
        </is>
      </c>
    </row>
    <row r="339">
      <c r="A339" t="inlineStr">
        <is>
          <t>No</t>
        </is>
      </c>
      <c r="B339" t="inlineStr">
        <is>
          <t>HM216 .S75 1995</t>
        </is>
      </c>
      <c r="C339" t="inlineStr">
        <is>
          <t>0                      HM 0216000S  75          1995</t>
        </is>
      </c>
      <c r="D339" t="inlineStr">
        <is>
          <t>Contemporary social and political philosophy / James P. Sterba.</t>
        </is>
      </c>
      <c r="F339" t="inlineStr">
        <is>
          <t>No</t>
        </is>
      </c>
      <c r="G339" t="inlineStr">
        <is>
          <t>1</t>
        </is>
      </c>
      <c r="H339" t="inlineStr">
        <is>
          <t>No</t>
        </is>
      </c>
      <c r="I339" t="inlineStr">
        <is>
          <t>No</t>
        </is>
      </c>
      <c r="J339" t="inlineStr">
        <is>
          <t>0</t>
        </is>
      </c>
      <c r="K339" t="inlineStr">
        <is>
          <t>Sterba, James P.</t>
        </is>
      </c>
      <c r="L339" t="inlineStr">
        <is>
          <t>Belmont : Wadsworth Pub. Co., c1995.</t>
        </is>
      </c>
      <c r="M339" t="inlineStr">
        <is>
          <t>1995</t>
        </is>
      </c>
      <c r="O339" t="inlineStr">
        <is>
          <t>eng</t>
        </is>
      </c>
      <c r="P339" t="inlineStr">
        <is>
          <t>cau</t>
        </is>
      </c>
      <c r="R339" t="inlineStr">
        <is>
          <t xml:space="preserve">HM </t>
        </is>
      </c>
      <c r="S339" t="n">
        <v>3</v>
      </c>
      <c r="T339" t="n">
        <v>3</v>
      </c>
      <c r="U339" t="inlineStr">
        <is>
          <t>1999-01-06</t>
        </is>
      </c>
      <c r="V339" t="inlineStr">
        <is>
          <t>1999-01-06</t>
        </is>
      </c>
      <c r="W339" t="inlineStr">
        <is>
          <t>1995-02-16</t>
        </is>
      </c>
      <c r="X339" t="inlineStr">
        <is>
          <t>1995-02-16</t>
        </is>
      </c>
      <c r="Y339" t="n">
        <v>125</v>
      </c>
      <c r="Z339" t="n">
        <v>83</v>
      </c>
      <c r="AA339" t="n">
        <v>85</v>
      </c>
      <c r="AB339" t="n">
        <v>1</v>
      </c>
      <c r="AC339" t="n">
        <v>1</v>
      </c>
      <c r="AD339" t="n">
        <v>5</v>
      </c>
      <c r="AE339" t="n">
        <v>5</v>
      </c>
      <c r="AF339" t="n">
        <v>0</v>
      </c>
      <c r="AG339" t="n">
        <v>0</v>
      </c>
      <c r="AH339" t="n">
        <v>2</v>
      </c>
      <c r="AI339" t="n">
        <v>2</v>
      </c>
      <c r="AJ339" t="n">
        <v>3</v>
      </c>
      <c r="AK339" t="n">
        <v>3</v>
      </c>
      <c r="AL339" t="n">
        <v>0</v>
      </c>
      <c r="AM339" t="n">
        <v>0</v>
      </c>
      <c r="AN339" t="n">
        <v>0</v>
      </c>
      <c r="AO339" t="n">
        <v>0</v>
      </c>
      <c r="AP339" t="inlineStr">
        <is>
          <t>No</t>
        </is>
      </c>
      <c r="AQ339" t="inlineStr">
        <is>
          <t>Yes</t>
        </is>
      </c>
      <c r="AR339">
        <f>HYPERLINK("http://catalog.hathitrust.org/Record/010620852","HathiTrust Record")</f>
        <v/>
      </c>
      <c r="AS339">
        <f>HYPERLINK("https://creighton-primo.hosted.exlibrisgroup.com/primo-explore/search?tab=default_tab&amp;search_scope=EVERYTHING&amp;vid=01CRU&amp;lang=en_US&amp;offset=0&amp;query=any,contains,991002395789702656","Catalog Record")</f>
        <v/>
      </c>
      <c r="AT339">
        <f>HYPERLINK("http://www.worldcat.org/oclc/31132045","WorldCat Record")</f>
        <v/>
      </c>
      <c r="AU339" t="inlineStr">
        <is>
          <t>33208533:eng</t>
        </is>
      </c>
      <c r="AV339" t="inlineStr">
        <is>
          <t>31132045</t>
        </is>
      </c>
      <c r="AW339" t="inlineStr">
        <is>
          <t>991002395789702656</t>
        </is>
      </c>
      <c r="AX339" t="inlineStr">
        <is>
          <t>991002395789702656</t>
        </is>
      </c>
      <c r="AY339" t="inlineStr">
        <is>
          <t>2271356010002656</t>
        </is>
      </c>
      <c r="AZ339" t="inlineStr">
        <is>
          <t>BOOK</t>
        </is>
      </c>
      <c r="BB339" t="inlineStr">
        <is>
          <t>9780534239701</t>
        </is>
      </c>
      <c r="BC339" t="inlineStr">
        <is>
          <t>32285001999480</t>
        </is>
      </c>
      <c r="BD339" t="inlineStr">
        <is>
          <t>893716396</t>
        </is>
      </c>
    </row>
    <row r="340">
      <c r="A340" t="inlineStr">
        <is>
          <t>No</t>
        </is>
      </c>
      <c r="B340" t="inlineStr">
        <is>
          <t>HM216 .T24 1998</t>
        </is>
      </c>
      <c r="C340" t="inlineStr">
        <is>
          <t>0                      HM 0216000T  24          1998</t>
        </is>
      </c>
      <c r="D340" t="inlineStr">
        <is>
          <t>Communitarianism : a new agenda for politics and citizenship / Henry Tam.</t>
        </is>
      </c>
      <c r="F340" t="inlineStr">
        <is>
          <t>No</t>
        </is>
      </c>
      <c r="G340" t="inlineStr">
        <is>
          <t>1</t>
        </is>
      </c>
      <c r="H340" t="inlineStr">
        <is>
          <t>No</t>
        </is>
      </c>
      <c r="I340" t="inlineStr">
        <is>
          <t>No</t>
        </is>
      </c>
      <c r="J340" t="inlineStr">
        <is>
          <t>0</t>
        </is>
      </c>
      <c r="K340" t="inlineStr">
        <is>
          <t>Tam, Henry Benedict.</t>
        </is>
      </c>
      <c r="L340" t="inlineStr">
        <is>
          <t>New York : New York University Press, c1998.</t>
        </is>
      </c>
      <c r="M340" t="inlineStr">
        <is>
          <t>1998</t>
        </is>
      </c>
      <c r="O340" t="inlineStr">
        <is>
          <t>eng</t>
        </is>
      </c>
      <c r="P340" t="inlineStr">
        <is>
          <t>nyu</t>
        </is>
      </c>
      <c r="R340" t="inlineStr">
        <is>
          <t xml:space="preserve">HM </t>
        </is>
      </c>
      <c r="S340" t="n">
        <v>3</v>
      </c>
      <c r="T340" t="n">
        <v>3</v>
      </c>
      <c r="U340" t="inlineStr">
        <is>
          <t>2001-04-01</t>
        </is>
      </c>
      <c r="V340" t="inlineStr">
        <is>
          <t>2001-04-01</t>
        </is>
      </c>
      <c r="W340" t="inlineStr">
        <is>
          <t>1999-08-25</t>
        </is>
      </c>
      <c r="X340" t="inlineStr">
        <is>
          <t>1999-08-25</t>
        </is>
      </c>
      <c r="Y340" t="n">
        <v>353</v>
      </c>
      <c r="Z340" t="n">
        <v>292</v>
      </c>
      <c r="AA340" t="n">
        <v>298</v>
      </c>
      <c r="AB340" t="n">
        <v>3</v>
      </c>
      <c r="AC340" t="n">
        <v>3</v>
      </c>
      <c r="AD340" t="n">
        <v>18</v>
      </c>
      <c r="AE340" t="n">
        <v>18</v>
      </c>
      <c r="AF340" t="n">
        <v>7</v>
      </c>
      <c r="AG340" t="n">
        <v>7</v>
      </c>
      <c r="AH340" t="n">
        <v>6</v>
      </c>
      <c r="AI340" t="n">
        <v>6</v>
      </c>
      <c r="AJ340" t="n">
        <v>10</v>
      </c>
      <c r="AK340" t="n">
        <v>10</v>
      </c>
      <c r="AL340" t="n">
        <v>2</v>
      </c>
      <c r="AM340" t="n">
        <v>2</v>
      </c>
      <c r="AN340" t="n">
        <v>1</v>
      </c>
      <c r="AO340" t="n">
        <v>1</v>
      </c>
      <c r="AP340" t="inlineStr">
        <is>
          <t>No</t>
        </is>
      </c>
      <c r="AQ340" t="inlineStr">
        <is>
          <t>No</t>
        </is>
      </c>
      <c r="AS340">
        <f>HYPERLINK("https://creighton-primo.hosted.exlibrisgroup.com/primo-explore/search?tab=default_tab&amp;search_scope=EVERYTHING&amp;vid=01CRU&amp;lang=en_US&amp;offset=0&amp;query=any,contains,991002877239702656","Catalog Record")</f>
        <v/>
      </c>
      <c r="AT340">
        <f>HYPERLINK("http://www.worldcat.org/oclc/37917403","WorldCat Record")</f>
        <v/>
      </c>
      <c r="AU340" t="inlineStr">
        <is>
          <t>622454:eng</t>
        </is>
      </c>
      <c r="AV340" t="inlineStr">
        <is>
          <t>37917403</t>
        </is>
      </c>
      <c r="AW340" t="inlineStr">
        <is>
          <t>991002877239702656</t>
        </is>
      </c>
      <c r="AX340" t="inlineStr">
        <is>
          <t>991002877239702656</t>
        </is>
      </c>
      <c r="AY340" t="inlineStr">
        <is>
          <t>2272124450002656</t>
        </is>
      </c>
      <c r="AZ340" t="inlineStr">
        <is>
          <t>BOOK</t>
        </is>
      </c>
      <c r="BB340" t="inlineStr">
        <is>
          <t>9780814782354</t>
        </is>
      </c>
      <c r="BC340" t="inlineStr">
        <is>
          <t>32285003584421</t>
        </is>
      </c>
      <c r="BD340" t="inlineStr">
        <is>
          <t>893610406</t>
        </is>
      </c>
    </row>
    <row r="341">
      <c r="A341" t="inlineStr">
        <is>
          <t>No</t>
        </is>
      </c>
      <c r="B341" t="inlineStr">
        <is>
          <t>HM216 .W352</t>
        </is>
      </c>
      <c r="C341" t="inlineStr">
        <is>
          <t>0                      HM 0216000W  352</t>
        </is>
      </c>
      <c r="D341" t="inlineStr">
        <is>
          <t>The need for roots : prelude to a declaration of duties toward mankind / by Simone Weil ; translated by Arthur Wills ; with a pref. by T. S. Eliot.</t>
        </is>
      </c>
      <c r="F341" t="inlineStr">
        <is>
          <t>No</t>
        </is>
      </c>
      <c r="G341" t="inlineStr">
        <is>
          <t>1</t>
        </is>
      </c>
      <c r="H341" t="inlineStr">
        <is>
          <t>No</t>
        </is>
      </c>
      <c r="I341" t="inlineStr">
        <is>
          <t>No</t>
        </is>
      </c>
      <c r="J341" t="inlineStr">
        <is>
          <t>0</t>
        </is>
      </c>
      <c r="K341" t="inlineStr">
        <is>
          <t>Weil, Simone, 1909-1943.</t>
        </is>
      </c>
      <c r="L341" t="inlineStr">
        <is>
          <t>New York : Harper &amp; Row, 1971, c1952.</t>
        </is>
      </c>
      <c r="M341" t="inlineStr">
        <is>
          <t>1971</t>
        </is>
      </c>
      <c r="O341" t="inlineStr">
        <is>
          <t>eng</t>
        </is>
      </c>
      <c r="P341" t="inlineStr">
        <is>
          <t>nyu</t>
        </is>
      </c>
      <c r="Q341" t="inlineStr">
        <is>
          <t>Harper torchbooks ; TB1891</t>
        </is>
      </c>
      <c r="R341" t="inlineStr">
        <is>
          <t xml:space="preserve">HM </t>
        </is>
      </c>
      <c r="S341" t="n">
        <v>2</v>
      </c>
      <c r="T341" t="n">
        <v>2</v>
      </c>
      <c r="U341" t="inlineStr">
        <is>
          <t>2003-04-08</t>
        </is>
      </c>
      <c r="V341" t="inlineStr">
        <is>
          <t>2003-04-08</t>
        </is>
      </c>
      <c r="W341" t="inlineStr">
        <is>
          <t>1997-02-05</t>
        </is>
      </c>
      <c r="X341" t="inlineStr">
        <is>
          <t>1997-02-05</t>
        </is>
      </c>
      <c r="Y341" t="n">
        <v>73</v>
      </c>
      <c r="Z341" t="n">
        <v>69</v>
      </c>
      <c r="AA341" t="n">
        <v>861</v>
      </c>
      <c r="AB341" t="n">
        <v>2</v>
      </c>
      <c r="AC341" t="n">
        <v>5</v>
      </c>
      <c r="AD341" t="n">
        <v>4</v>
      </c>
      <c r="AE341" t="n">
        <v>40</v>
      </c>
      <c r="AF341" t="n">
        <v>2</v>
      </c>
      <c r="AG341" t="n">
        <v>18</v>
      </c>
      <c r="AH341" t="n">
        <v>1</v>
      </c>
      <c r="AI341" t="n">
        <v>8</v>
      </c>
      <c r="AJ341" t="n">
        <v>2</v>
      </c>
      <c r="AK341" t="n">
        <v>22</v>
      </c>
      <c r="AL341" t="n">
        <v>1</v>
      </c>
      <c r="AM341" t="n">
        <v>4</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HYPERLINK("https://creighton-primo.hosted.exlibrisgroup.com/primo-explore/search?tab=default_tab&amp;search_scope=EVERYTHING&amp;vid=01CRU&amp;lang=en_US&amp;offset=0&amp;query=any,contains,991005069009702656","Catalog Record")</f>
        <v/>
      </c>
      <c r="AT341">
        <f>HYPERLINK("http://www.worldcat.org/oclc/6989603","WorldCat Record")</f>
        <v/>
      </c>
      <c r="AU341" t="inlineStr">
        <is>
          <t>451395:eng</t>
        </is>
      </c>
      <c r="AV341" t="inlineStr">
        <is>
          <t>6989603</t>
        </is>
      </c>
      <c r="AW341" t="inlineStr">
        <is>
          <t>991005069009702656</t>
        </is>
      </c>
      <c r="AX341" t="inlineStr">
        <is>
          <t>991005069009702656</t>
        </is>
      </c>
      <c r="AY341" t="inlineStr">
        <is>
          <t>2259751460002656</t>
        </is>
      </c>
      <c r="AZ341" t="inlineStr">
        <is>
          <t>BOOK</t>
        </is>
      </c>
      <c r="BB341" t="inlineStr">
        <is>
          <t>9780060902261</t>
        </is>
      </c>
      <c r="BC341" t="inlineStr">
        <is>
          <t>32285002423266</t>
        </is>
      </c>
      <c r="BD341" t="inlineStr">
        <is>
          <t>893807775</t>
        </is>
      </c>
    </row>
    <row r="342">
      <c r="A342" t="inlineStr">
        <is>
          <t>No</t>
        </is>
      </c>
      <c r="B342" t="inlineStr">
        <is>
          <t>HM219 .D4</t>
        </is>
      </c>
      <c r="C342" t="inlineStr">
        <is>
          <t>0                      HM 0219000D  4</t>
        </is>
      </c>
      <c r="D342" t="inlineStr">
        <is>
          <t>Social class in American Protestantism [by] N.J. Demerath, III.</t>
        </is>
      </c>
      <c r="F342" t="inlineStr">
        <is>
          <t>No</t>
        </is>
      </c>
      <c r="G342" t="inlineStr">
        <is>
          <t>1</t>
        </is>
      </c>
      <c r="H342" t="inlineStr">
        <is>
          <t>No</t>
        </is>
      </c>
      <c r="I342" t="inlineStr">
        <is>
          <t>No</t>
        </is>
      </c>
      <c r="J342" t="inlineStr">
        <is>
          <t>0</t>
        </is>
      </c>
      <c r="K342" t="inlineStr">
        <is>
          <t>Demerath, N. J. (Nicholas Jay), 1936-</t>
        </is>
      </c>
      <c r="L342" t="inlineStr">
        <is>
          <t>Chicago, Rand McNally [1965]</t>
        </is>
      </c>
      <c r="M342" t="inlineStr">
        <is>
          <t>1965</t>
        </is>
      </c>
      <c r="O342" t="inlineStr">
        <is>
          <t>eng</t>
        </is>
      </c>
      <c r="P342" t="inlineStr">
        <is>
          <t>ilu</t>
        </is>
      </c>
      <c r="Q342" t="inlineStr">
        <is>
          <t>Rand McNally sociology series</t>
        </is>
      </c>
      <c r="R342" t="inlineStr">
        <is>
          <t xml:space="preserve">HM </t>
        </is>
      </c>
      <c r="S342" t="n">
        <v>4</v>
      </c>
      <c r="T342" t="n">
        <v>4</v>
      </c>
      <c r="U342" t="inlineStr">
        <is>
          <t>2000-02-23</t>
        </is>
      </c>
      <c r="V342" t="inlineStr">
        <is>
          <t>2000-02-23</t>
        </is>
      </c>
      <c r="W342" t="inlineStr">
        <is>
          <t>1997-07-31</t>
        </is>
      </c>
      <c r="X342" t="inlineStr">
        <is>
          <t>1997-07-31</t>
        </is>
      </c>
      <c r="Y342" t="n">
        <v>711</v>
      </c>
      <c r="Z342" t="n">
        <v>607</v>
      </c>
      <c r="AA342" t="n">
        <v>612</v>
      </c>
      <c r="AB342" t="n">
        <v>8</v>
      </c>
      <c r="AC342" t="n">
        <v>8</v>
      </c>
      <c r="AD342" t="n">
        <v>40</v>
      </c>
      <c r="AE342" t="n">
        <v>40</v>
      </c>
      <c r="AF342" t="n">
        <v>14</v>
      </c>
      <c r="AG342" t="n">
        <v>14</v>
      </c>
      <c r="AH342" t="n">
        <v>8</v>
      </c>
      <c r="AI342" t="n">
        <v>8</v>
      </c>
      <c r="AJ342" t="n">
        <v>22</v>
      </c>
      <c r="AK342" t="n">
        <v>22</v>
      </c>
      <c r="AL342" t="n">
        <v>7</v>
      </c>
      <c r="AM342" t="n">
        <v>7</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HYPERLINK("https://creighton-primo.hosted.exlibrisgroup.com/primo-explore/search?tab=default_tab&amp;search_scope=EVERYTHING&amp;vid=01CRU&amp;lang=en_US&amp;offset=0&amp;query=any,contains,991002739119702656","Catalog Record")</f>
        <v/>
      </c>
      <c r="AT342">
        <f>HYPERLINK("http://www.worldcat.org/oclc/420410","WorldCat Record")</f>
        <v/>
      </c>
      <c r="AU342" t="inlineStr">
        <is>
          <t>1500763:eng</t>
        </is>
      </c>
      <c r="AV342" t="inlineStr">
        <is>
          <t>420410</t>
        </is>
      </c>
      <c r="AW342" t="inlineStr">
        <is>
          <t>991002739119702656</t>
        </is>
      </c>
      <c r="AX342" t="inlineStr">
        <is>
          <t>991002739119702656</t>
        </is>
      </c>
      <c r="AY342" t="inlineStr">
        <is>
          <t>2270697970002656</t>
        </is>
      </c>
      <c r="AZ342" t="inlineStr">
        <is>
          <t>BOOK</t>
        </is>
      </c>
      <c r="BC342" t="inlineStr">
        <is>
          <t>32285003017232</t>
        </is>
      </c>
      <c r="BD342" t="inlineStr">
        <is>
          <t>893347859</t>
        </is>
      </c>
    </row>
    <row r="343">
      <c r="A343" t="inlineStr">
        <is>
          <t>No</t>
        </is>
      </c>
      <c r="B343" t="inlineStr">
        <is>
          <t>HM219 .E2</t>
        </is>
      </c>
      <c r="C343" t="inlineStr">
        <is>
          <t>0                      HM 0219000E  2</t>
        </is>
      </c>
      <c r="D343" t="inlineStr">
        <is>
          <t>Culture and mental disorders; a comparative study of the Hutterites and other populations, by Joseph W. Eaton in collaboration with Robert J. Weil.</t>
        </is>
      </c>
      <c r="F343" t="inlineStr">
        <is>
          <t>No</t>
        </is>
      </c>
      <c r="G343" t="inlineStr">
        <is>
          <t>1</t>
        </is>
      </c>
      <c r="H343" t="inlineStr">
        <is>
          <t>No</t>
        </is>
      </c>
      <c r="I343" t="inlineStr">
        <is>
          <t>No</t>
        </is>
      </c>
      <c r="J343" t="inlineStr">
        <is>
          <t>0</t>
        </is>
      </c>
      <c r="K343" t="inlineStr">
        <is>
          <t>Eaton, Joseph W., 1919-2012.</t>
        </is>
      </c>
      <c r="L343" t="inlineStr">
        <is>
          <t>Glencoe, Ill., Free Press [1955]</t>
        </is>
      </c>
      <c r="M343" t="inlineStr">
        <is>
          <t>1955</t>
        </is>
      </c>
      <c r="O343" t="inlineStr">
        <is>
          <t>eng</t>
        </is>
      </c>
      <c r="P343" t="inlineStr">
        <is>
          <t>ilu</t>
        </is>
      </c>
      <c r="R343" t="inlineStr">
        <is>
          <t xml:space="preserve">HM </t>
        </is>
      </c>
      <c r="S343" t="n">
        <v>1</v>
      </c>
      <c r="T343" t="n">
        <v>1</v>
      </c>
      <c r="U343" t="inlineStr">
        <is>
          <t>2004-10-05</t>
        </is>
      </c>
      <c r="V343" t="inlineStr">
        <is>
          <t>2004-10-05</t>
        </is>
      </c>
      <c r="W343" t="inlineStr">
        <is>
          <t>1997-07-31</t>
        </is>
      </c>
      <c r="X343" t="inlineStr">
        <is>
          <t>1997-07-31</t>
        </is>
      </c>
      <c r="Y343" t="n">
        <v>642</v>
      </c>
      <c r="Z343" t="n">
        <v>554</v>
      </c>
      <c r="AA343" t="n">
        <v>561</v>
      </c>
      <c r="AB343" t="n">
        <v>4</v>
      </c>
      <c r="AC343" t="n">
        <v>4</v>
      </c>
      <c r="AD343" t="n">
        <v>30</v>
      </c>
      <c r="AE343" t="n">
        <v>30</v>
      </c>
      <c r="AF343" t="n">
        <v>13</v>
      </c>
      <c r="AG343" t="n">
        <v>13</v>
      </c>
      <c r="AH343" t="n">
        <v>8</v>
      </c>
      <c r="AI343" t="n">
        <v>8</v>
      </c>
      <c r="AJ343" t="n">
        <v>14</v>
      </c>
      <c r="AK343" t="n">
        <v>14</v>
      </c>
      <c r="AL343" t="n">
        <v>3</v>
      </c>
      <c r="AM343" t="n">
        <v>3</v>
      </c>
      <c r="AN343" t="n">
        <v>0</v>
      </c>
      <c r="AO343" t="n">
        <v>0</v>
      </c>
      <c r="AP343" t="inlineStr">
        <is>
          <t>No</t>
        </is>
      </c>
      <c r="AQ343" t="inlineStr">
        <is>
          <t>Yes</t>
        </is>
      </c>
      <c r="AR343">
        <f>HYPERLINK("http://catalog.hathitrust.org/Record/001564036","HathiTrust Record")</f>
        <v/>
      </c>
      <c r="AS343">
        <f>HYPERLINK("https://creighton-primo.hosted.exlibrisgroup.com/primo-explore/search?tab=default_tab&amp;search_scope=EVERYTHING&amp;vid=01CRU&amp;lang=en_US&amp;offset=0&amp;query=any,contains,991002654639702656","Catalog Record")</f>
        <v/>
      </c>
      <c r="AT343">
        <f>HYPERLINK("http://www.worldcat.org/oclc/388308","WorldCat Record")</f>
        <v/>
      </c>
      <c r="AU343" t="inlineStr">
        <is>
          <t>1516504:eng</t>
        </is>
      </c>
      <c r="AV343" t="inlineStr">
        <is>
          <t>388308</t>
        </is>
      </c>
      <c r="AW343" t="inlineStr">
        <is>
          <t>991002654639702656</t>
        </is>
      </c>
      <c r="AX343" t="inlineStr">
        <is>
          <t>991002654639702656</t>
        </is>
      </c>
      <c r="AY343" t="inlineStr">
        <is>
          <t>2254747990002656</t>
        </is>
      </c>
      <c r="AZ343" t="inlineStr">
        <is>
          <t>BOOK</t>
        </is>
      </c>
      <c r="BC343" t="inlineStr">
        <is>
          <t>32285003017240</t>
        </is>
      </c>
      <c r="BD343" t="inlineStr">
        <is>
          <t>893530287</t>
        </is>
      </c>
    </row>
    <row r="344">
      <c r="A344" t="inlineStr">
        <is>
          <t>No</t>
        </is>
      </c>
      <c r="B344" t="inlineStr">
        <is>
          <t>HM22.F79 C48 1994</t>
        </is>
      </c>
      <c r="C344" t="inlineStr">
        <is>
          <t>0                      HM 0022000F  79                 C  48          1994</t>
        </is>
      </c>
      <c r="D344" t="inlineStr">
        <is>
          <t>Durkheim through the lens of Aristotle : Durkheimian, Postmodernist, and communitarian responses to the Enlightenment / Douglas F. Challenger.</t>
        </is>
      </c>
      <c r="F344" t="inlineStr">
        <is>
          <t>No</t>
        </is>
      </c>
      <c r="G344" t="inlineStr">
        <is>
          <t>1</t>
        </is>
      </c>
      <c r="H344" t="inlineStr">
        <is>
          <t>No</t>
        </is>
      </c>
      <c r="I344" t="inlineStr">
        <is>
          <t>No</t>
        </is>
      </c>
      <c r="J344" t="inlineStr">
        <is>
          <t>0</t>
        </is>
      </c>
      <c r="K344" t="inlineStr">
        <is>
          <t>Challenger, Douglas F., 1956-</t>
        </is>
      </c>
      <c r="L344" t="inlineStr">
        <is>
          <t>Lanham, MD : Rowman &amp; Littlefield Publishers, c1994.</t>
        </is>
      </c>
      <c r="M344" t="inlineStr">
        <is>
          <t>1994</t>
        </is>
      </c>
      <c r="O344" t="inlineStr">
        <is>
          <t>eng</t>
        </is>
      </c>
      <c r="P344" t="inlineStr">
        <is>
          <t>mdu</t>
        </is>
      </c>
      <c r="R344" t="inlineStr">
        <is>
          <t xml:space="preserve">HM </t>
        </is>
      </c>
      <c r="S344" t="n">
        <v>6</v>
      </c>
      <c r="T344" t="n">
        <v>6</v>
      </c>
      <c r="U344" t="inlineStr">
        <is>
          <t>1995-11-06</t>
        </is>
      </c>
      <c r="V344" t="inlineStr">
        <is>
          <t>1995-11-06</t>
        </is>
      </c>
      <c r="W344" t="inlineStr">
        <is>
          <t>1995-04-17</t>
        </is>
      </c>
      <c r="X344" t="inlineStr">
        <is>
          <t>1995-04-17</t>
        </is>
      </c>
      <c r="Y344" t="n">
        <v>265</v>
      </c>
      <c r="Z344" t="n">
        <v>208</v>
      </c>
      <c r="AA344" t="n">
        <v>211</v>
      </c>
      <c r="AB344" t="n">
        <v>3</v>
      </c>
      <c r="AC344" t="n">
        <v>3</v>
      </c>
      <c r="AD344" t="n">
        <v>16</v>
      </c>
      <c r="AE344" t="n">
        <v>16</v>
      </c>
      <c r="AF344" t="n">
        <v>4</v>
      </c>
      <c r="AG344" t="n">
        <v>4</v>
      </c>
      <c r="AH344" t="n">
        <v>5</v>
      </c>
      <c r="AI344" t="n">
        <v>5</v>
      </c>
      <c r="AJ344" t="n">
        <v>10</v>
      </c>
      <c r="AK344" t="n">
        <v>10</v>
      </c>
      <c r="AL344" t="n">
        <v>2</v>
      </c>
      <c r="AM344" t="n">
        <v>2</v>
      </c>
      <c r="AN344" t="n">
        <v>0</v>
      </c>
      <c r="AO344" t="n">
        <v>0</v>
      </c>
      <c r="AP344" t="inlineStr">
        <is>
          <t>No</t>
        </is>
      </c>
      <c r="AQ344" t="inlineStr">
        <is>
          <t>Yes</t>
        </is>
      </c>
      <c r="AR344">
        <f>HYPERLINK("http://catalog.hathitrust.org/Record/002981850","HathiTrust Record")</f>
        <v/>
      </c>
      <c r="AS344">
        <f>HYPERLINK("https://creighton-primo.hosted.exlibrisgroup.com/primo-explore/search?tab=default_tab&amp;search_scope=EVERYTHING&amp;vid=01CRU&amp;lang=en_US&amp;offset=0&amp;query=any,contains,991002333049702656","Catalog Record")</f>
        <v/>
      </c>
      <c r="AT344">
        <f>HYPERLINK("http://www.worldcat.org/oclc/30358512","WorldCat Record")</f>
        <v/>
      </c>
      <c r="AU344" t="inlineStr">
        <is>
          <t>836869418:eng</t>
        </is>
      </c>
      <c r="AV344" t="inlineStr">
        <is>
          <t>30358512</t>
        </is>
      </c>
      <c r="AW344" t="inlineStr">
        <is>
          <t>991002333049702656</t>
        </is>
      </c>
      <c r="AX344" t="inlineStr">
        <is>
          <t>991002333049702656</t>
        </is>
      </c>
      <c r="AY344" t="inlineStr">
        <is>
          <t>2255860220002656</t>
        </is>
      </c>
      <c r="AZ344" t="inlineStr">
        <is>
          <t>BOOK</t>
        </is>
      </c>
      <c r="BB344" t="inlineStr">
        <is>
          <t>9780847679720</t>
        </is>
      </c>
      <c r="BC344" t="inlineStr">
        <is>
          <t>32285002018975</t>
        </is>
      </c>
      <c r="BD344" t="inlineStr">
        <is>
          <t>893408979</t>
        </is>
      </c>
    </row>
    <row r="345">
      <c r="A345" t="inlineStr">
        <is>
          <t>No</t>
        </is>
      </c>
      <c r="B345" t="inlineStr">
        <is>
          <t>HM22.F8 B383 1991</t>
        </is>
      </c>
      <c r="C345" t="inlineStr">
        <is>
          <t>0                      HM 0022000F  8                  B  383         1991</t>
        </is>
      </c>
      <c r="D345" t="inlineStr">
        <is>
          <t>Baudrillard : critical and fatal theory / Mike Gane.</t>
        </is>
      </c>
      <c r="F345" t="inlineStr">
        <is>
          <t>No</t>
        </is>
      </c>
      <c r="G345" t="inlineStr">
        <is>
          <t>1</t>
        </is>
      </c>
      <c r="H345" t="inlineStr">
        <is>
          <t>No</t>
        </is>
      </c>
      <c r="I345" t="inlineStr">
        <is>
          <t>No</t>
        </is>
      </c>
      <c r="J345" t="inlineStr">
        <is>
          <t>0</t>
        </is>
      </c>
      <c r="K345" t="inlineStr">
        <is>
          <t>Gane, Mike.</t>
        </is>
      </c>
      <c r="L345" t="inlineStr">
        <is>
          <t>London ; New York, N.Y. : Routledge, 1991.</t>
        </is>
      </c>
      <c r="M345" t="inlineStr">
        <is>
          <t>1991</t>
        </is>
      </c>
      <c r="O345" t="inlineStr">
        <is>
          <t>eng</t>
        </is>
      </c>
      <c r="P345" t="inlineStr">
        <is>
          <t>enk</t>
        </is>
      </c>
      <c r="R345" t="inlineStr">
        <is>
          <t xml:space="preserve">HM </t>
        </is>
      </c>
      <c r="S345" t="n">
        <v>12</v>
      </c>
      <c r="T345" t="n">
        <v>12</v>
      </c>
      <c r="U345" t="inlineStr">
        <is>
          <t>2002-03-10</t>
        </is>
      </c>
      <c r="V345" t="inlineStr">
        <is>
          <t>2002-03-10</t>
        </is>
      </c>
      <c r="W345" t="inlineStr">
        <is>
          <t>1993-11-29</t>
        </is>
      </c>
      <c r="X345" t="inlineStr">
        <is>
          <t>1993-11-29</t>
        </is>
      </c>
      <c r="Y345" t="n">
        <v>547</v>
      </c>
      <c r="Z345" t="n">
        <v>357</v>
      </c>
      <c r="AA345" t="n">
        <v>363</v>
      </c>
      <c r="AB345" t="n">
        <v>2</v>
      </c>
      <c r="AC345" t="n">
        <v>2</v>
      </c>
      <c r="AD345" t="n">
        <v>19</v>
      </c>
      <c r="AE345" t="n">
        <v>19</v>
      </c>
      <c r="AF345" t="n">
        <v>6</v>
      </c>
      <c r="AG345" t="n">
        <v>6</v>
      </c>
      <c r="AH345" t="n">
        <v>6</v>
      </c>
      <c r="AI345" t="n">
        <v>6</v>
      </c>
      <c r="AJ345" t="n">
        <v>12</v>
      </c>
      <c r="AK345" t="n">
        <v>12</v>
      </c>
      <c r="AL345" t="n">
        <v>1</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HYPERLINK("https://creighton-primo.hosted.exlibrisgroup.com/primo-explore/search?tab=default_tab&amp;search_scope=EVERYTHING&amp;vid=01CRU&amp;lang=en_US&amp;offset=0&amp;query=any,contains,991001788079702656","Catalog Record")</f>
        <v/>
      </c>
      <c r="AT345">
        <f>HYPERLINK("http://www.worldcat.org/oclc/22510537","WorldCat Record")</f>
        <v/>
      </c>
      <c r="AU345" t="inlineStr">
        <is>
          <t>836735616:eng</t>
        </is>
      </c>
      <c r="AV345" t="inlineStr">
        <is>
          <t>22510537</t>
        </is>
      </c>
      <c r="AW345" t="inlineStr">
        <is>
          <t>991001788079702656</t>
        </is>
      </c>
      <c r="AX345" t="inlineStr">
        <is>
          <t>991001788079702656</t>
        </is>
      </c>
      <c r="AY345" t="inlineStr">
        <is>
          <t>2267586990002656</t>
        </is>
      </c>
      <c r="AZ345" t="inlineStr">
        <is>
          <t>BOOK</t>
        </is>
      </c>
      <c r="BB345" t="inlineStr">
        <is>
          <t>9780415037754</t>
        </is>
      </c>
      <c r="BC345" t="inlineStr">
        <is>
          <t>32285001812915</t>
        </is>
      </c>
      <c r="BD345" t="inlineStr">
        <is>
          <t>893590644</t>
        </is>
      </c>
    </row>
    <row r="346">
      <c r="A346" t="inlineStr">
        <is>
          <t>No</t>
        </is>
      </c>
      <c r="B346" t="inlineStr">
        <is>
          <t>HM22.F8 C75 1975</t>
        </is>
      </c>
      <c r="C346" t="inlineStr">
        <is>
          <t>0                      HM 0022000F  8                  C  75          1975</t>
        </is>
      </c>
      <c r="D346" t="inlineStr">
        <is>
          <t>Auguste Comte : the foundation of sociology / [edited by] Kenneth Thompson.</t>
        </is>
      </c>
      <c r="F346" t="inlineStr">
        <is>
          <t>No</t>
        </is>
      </c>
      <c r="G346" t="inlineStr">
        <is>
          <t>1</t>
        </is>
      </c>
      <c r="H346" t="inlineStr">
        <is>
          <t>No</t>
        </is>
      </c>
      <c r="I346" t="inlineStr">
        <is>
          <t>No</t>
        </is>
      </c>
      <c r="J346" t="inlineStr">
        <is>
          <t>0</t>
        </is>
      </c>
      <c r="K346" t="inlineStr">
        <is>
          <t>Comte, Auguste, 1798-1857.</t>
        </is>
      </c>
      <c r="L346" t="inlineStr">
        <is>
          <t>New York : Wiley, c1975.</t>
        </is>
      </c>
      <c r="M346" t="inlineStr">
        <is>
          <t>1975</t>
        </is>
      </c>
      <c r="O346" t="inlineStr">
        <is>
          <t>eng</t>
        </is>
      </c>
      <c r="P346" t="inlineStr">
        <is>
          <t>nyu</t>
        </is>
      </c>
      <c r="Q346" t="inlineStr">
        <is>
          <t>The making of sociology series</t>
        </is>
      </c>
      <c r="R346" t="inlineStr">
        <is>
          <t xml:space="preserve">HM </t>
        </is>
      </c>
      <c r="S346" t="n">
        <v>2</v>
      </c>
      <c r="T346" t="n">
        <v>2</v>
      </c>
      <c r="U346" t="inlineStr">
        <is>
          <t>1999-02-11</t>
        </is>
      </c>
      <c r="V346" t="inlineStr">
        <is>
          <t>1999-02-11</t>
        </is>
      </c>
      <c r="W346" t="inlineStr">
        <is>
          <t>1997-07-25</t>
        </is>
      </c>
      <c r="X346" t="inlineStr">
        <is>
          <t>1997-07-25</t>
        </is>
      </c>
      <c r="Y346" t="n">
        <v>496</v>
      </c>
      <c r="Z346" t="n">
        <v>468</v>
      </c>
      <c r="AA346" t="n">
        <v>541</v>
      </c>
      <c r="AB346" t="n">
        <v>6</v>
      </c>
      <c r="AC346" t="n">
        <v>6</v>
      </c>
      <c r="AD346" t="n">
        <v>28</v>
      </c>
      <c r="AE346" t="n">
        <v>32</v>
      </c>
      <c r="AF346" t="n">
        <v>11</v>
      </c>
      <c r="AG346" t="n">
        <v>12</v>
      </c>
      <c r="AH346" t="n">
        <v>8</v>
      </c>
      <c r="AI346" t="n">
        <v>9</v>
      </c>
      <c r="AJ346" t="n">
        <v>12</v>
      </c>
      <c r="AK346" t="n">
        <v>14</v>
      </c>
      <c r="AL346" t="n">
        <v>5</v>
      </c>
      <c r="AM346" t="n">
        <v>5</v>
      </c>
      <c r="AN346" t="n">
        <v>0</v>
      </c>
      <c r="AO346" t="n">
        <v>0</v>
      </c>
      <c r="AP346" t="inlineStr">
        <is>
          <t>No</t>
        </is>
      </c>
      <c r="AQ346" t="inlineStr">
        <is>
          <t>Yes</t>
        </is>
      </c>
      <c r="AR346">
        <f>HYPERLINK("http://catalog.hathitrust.org/Record/000038452","HathiTrust Record")</f>
        <v/>
      </c>
      <c r="AS346">
        <f>HYPERLINK("https://creighton-primo.hosted.exlibrisgroup.com/primo-explore/search?tab=default_tab&amp;search_scope=EVERYTHING&amp;vid=01CRU&amp;lang=en_US&amp;offset=0&amp;query=any,contains,991003883519702656","Catalog Record")</f>
        <v/>
      </c>
      <c r="AT346">
        <f>HYPERLINK("http://www.worldcat.org/oclc/1733346","WorldCat Record")</f>
        <v/>
      </c>
      <c r="AU346" t="inlineStr">
        <is>
          <t>37099308:eng</t>
        </is>
      </c>
      <c r="AV346" t="inlineStr">
        <is>
          <t>1733346</t>
        </is>
      </c>
      <c r="AW346" t="inlineStr">
        <is>
          <t>991003883519702656</t>
        </is>
      </c>
      <c r="AX346" t="inlineStr">
        <is>
          <t>991003883519702656</t>
        </is>
      </c>
      <c r="AY346" t="inlineStr">
        <is>
          <t>2256847710002656</t>
        </is>
      </c>
      <c r="AZ346" t="inlineStr">
        <is>
          <t>BOOK</t>
        </is>
      </c>
      <c r="BB346" t="inlineStr">
        <is>
          <t>9780470859889</t>
        </is>
      </c>
      <c r="BC346" t="inlineStr">
        <is>
          <t>32285003007761</t>
        </is>
      </c>
      <c r="BD346" t="inlineStr">
        <is>
          <t>893252938</t>
        </is>
      </c>
    </row>
    <row r="347">
      <c r="A347" t="inlineStr">
        <is>
          <t>No</t>
        </is>
      </c>
      <c r="B347" t="inlineStr">
        <is>
          <t>HM22.F8 D774 1992</t>
        </is>
      </c>
      <c r="C347" t="inlineStr">
        <is>
          <t>0                      HM 0022000F  8                  D  774         1992</t>
        </is>
      </c>
      <c r="D347" t="inlineStr">
        <is>
          <t>A communitarian defense of liberalism : Emile Durkheim and contemporary social theory / Mark S. Cladis.</t>
        </is>
      </c>
      <c r="F347" t="inlineStr">
        <is>
          <t>No</t>
        </is>
      </c>
      <c r="G347" t="inlineStr">
        <is>
          <t>1</t>
        </is>
      </c>
      <c r="H347" t="inlineStr">
        <is>
          <t>No</t>
        </is>
      </c>
      <c r="I347" t="inlineStr">
        <is>
          <t>No</t>
        </is>
      </c>
      <c r="J347" t="inlineStr">
        <is>
          <t>0</t>
        </is>
      </c>
      <c r="K347" t="inlineStr">
        <is>
          <t>Cladis, Mark Sydney.</t>
        </is>
      </c>
      <c r="L347" t="inlineStr">
        <is>
          <t>Stanford, Calif. : Stanford University Press, c1992.</t>
        </is>
      </c>
      <c r="M347" t="inlineStr">
        <is>
          <t>1992</t>
        </is>
      </c>
      <c r="O347" t="inlineStr">
        <is>
          <t>eng</t>
        </is>
      </c>
      <c r="P347" t="inlineStr">
        <is>
          <t>cau</t>
        </is>
      </c>
      <c r="Q347" t="inlineStr">
        <is>
          <t>Stanford series in philosophy</t>
        </is>
      </c>
      <c r="R347" t="inlineStr">
        <is>
          <t xml:space="preserve">HM </t>
        </is>
      </c>
      <c r="S347" t="n">
        <v>5</v>
      </c>
      <c r="T347" t="n">
        <v>5</v>
      </c>
      <c r="U347" t="inlineStr">
        <is>
          <t>1998-09-04</t>
        </is>
      </c>
      <c r="V347" t="inlineStr">
        <is>
          <t>1998-09-04</t>
        </is>
      </c>
      <c r="W347" t="inlineStr">
        <is>
          <t>1994-02-15</t>
        </is>
      </c>
      <c r="X347" t="inlineStr">
        <is>
          <t>1994-02-15</t>
        </is>
      </c>
      <c r="Y347" t="n">
        <v>454</v>
      </c>
      <c r="Z347" t="n">
        <v>336</v>
      </c>
      <c r="AA347" t="n">
        <v>336</v>
      </c>
      <c r="AB347" t="n">
        <v>5</v>
      </c>
      <c r="AC347" t="n">
        <v>5</v>
      </c>
      <c r="AD347" t="n">
        <v>21</v>
      </c>
      <c r="AE347" t="n">
        <v>21</v>
      </c>
      <c r="AF347" t="n">
        <v>7</v>
      </c>
      <c r="AG347" t="n">
        <v>7</v>
      </c>
      <c r="AH347" t="n">
        <v>5</v>
      </c>
      <c r="AI347" t="n">
        <v>5</v>
      </c>
      <c r="AJ347" t="n">
        <v>11</v>
      </c>
      <c r="AK347" t="n">
        <v>11</v>
      </c>
      <c r="AL347" t="n">
        <v>4</v>
      </c>
      <c r="AM347" t="n">
        <v>4</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HYPERLINK("https://creighton-primo.hosted.exlibrisgroup.com/primo-explore/search?tab=default_tab&amp;search_scope=EVERYTHING&amp;vid=01CRU&amp;lang=en_US&amp;offset=0&amp;query=any,contains,991002016819702656","Catalog Record")</f>
        <v/>
      </c>
      <c r="AT347">
        <f>HYPERLINK("http://www.worldcat.org/oclc/25632673","WorldCat Record")</f>
        <v/>
      </c>
      <c r="AU347" t="inlineStr">
        <is>
          <t>795668301:eng</t>
        </is>
      </c>
      <c r="AV347" t="inlineStr">
        <is>
          <t>25632673</t>
        </is>
      </c>
      <c r="AW347" t="inlineStr">
        <is>
          <t>991002016819702656</t>
        </is>
      </c>
      <c r="AX347" t="inlineStr">
        <is>
          <t>991002016819702656</t>
        </is>
      </c>
      <c r="AY347" t="inlineStr">
        <is>
          <t>2268181490002656</t>
        </is>
      </c>
      <c r="AZ347" t="inlineStr">
        <is>
          <t>BOOK</t>
        </is>
      </c>
      <c r="BB347" t="inlineStr">
        <is>
          <t>9780804720427</t>
        </is>
      </c>
      <c r="BC347" t="inlineStr">
        <is>
          <t>32285001842557</t>
        </is>
      </c>
      <c r="BD347" t="inlineStr">
        <is>
          <t>893603118</t>
        </is>
      </c>
    </row>
    <row r="348">
      <c r="A348" t="inlineStr">
        <is>
          <t>No</t>
        </is>
      </c>
      <c r="B348" t="inlineStr">
        <is>
          <t>HM22.F8 D779 1973</t>
        </is>
      </c>
      <c r="C348" t="inlineStr">
        <is>
          <t>0                      HM 0022000F  8                  D  779         1973</t>
        </is>
      </c>
      <c r="D348" t="inlineStr">
        <is>
          <t>On morality and society : selected writings / edited and with an introd. by Robert N. Bellah.</t>
        </is>
      </c>
      <c r="F348" t="inlineStr">
        <is>
          <t>No</t>
        </is>
      </c>
      <c r="G348" t="inlineStr">
        <is>
          <t>1</t>
        </is>
      </c>
      <c r="H348" t="inlineStr">
        <is>
          <t>No</t>
        </is>
      </c>
      <c r="I348" t="inlineStr">
        <is>
          <t>No</t>
        </is>
      </c>
      <c r="J348" t="inlineStr">
        <is>
          <t>0</t>
        </is>
      </c>
      <c r="K348" t="inlineStr">
        <is>
          <t>Durkheim, Émile, 1858-1917.</t>
        </is>
      </c>
      <c r="L348" t="inlineStr">
        <is>
          <t>Chicago : University of Chicago Press, [1973]</t>
        </is>
      </c>
      <c r="M348" t="inlineStr">
        <is>
          <t>1973</t>
        </is>
      </c>
      <c r="O348" t="inlineStr">
        <is>
          <t>eng</t>
        </is>
      </c>
      <c r="P348" t="inlineStr">
        <is>
          <t>ilu</t>
        </is>
      </c>
      <c r="Q348" t="inlineStr">
        <is>
          <t>The Heritage of sociology</t>
        </is>
      </c>
      <c r="R348" t="inlineStr">
        <is>
          <t xml:space="preserve">HM </t>
        </is>
      </c>
      <c r="S348" t="n">
        <v>12</v>
      </c>
      <c r="T348" t="n">
        <v>12</v>
      </c>
      <c r="U348" t="inlineStr">
        <is>
          <t>2010-05-07</t>
        </is>
      </c>
      <c r="V348" t="inlineStr">
        <is>
          <t>2010-05-07</t>
        </is>
      </c>
      <c r="W348" t="inlineStr">
        <is>
          <t>1991-08-14</t>
        </is>
      </c>
      <c r="X348" t="inlineStr">
        <is>
          <t>1991-08-14</t>
        </is>
      </c>
      <c r="Y348" t="n">
        <v>1018</v>
      </c>
      <c r="Z348" t="n">
        <v>814</v>
      </c>
      <c r="AA348" t="n">
        <v>815</v>
      </c>
      <c r="AB348" t="n">
        <v>7</v>
      </c>
      <c r="AC348" t="n">
        <v>7</v>
      </c>
      <c r="AD348" t="n">
        <v>46</v>
      </c>
      <c r="AE348" t="n">
        <v>46</v>
      </c>
      <c r="AF348" t="n">
        <v>19</v>
      </c>
      <c r="AG348" t="n">
        <v>19</v>
      </c>
      <c r="AH348" t="n">
        <v>8</v>
      </c>
      <c r="AI348" t="n">
        <v>8</v>
      </c>
      <c r="AJ348" t="n">
        <v>19</v>
      </c>
      <c r="AK348" t="n">
        <v>19</v>
      </c>
      <c r="AL348" t="n">
        <v>6</v>
      </c>
      <c r="AM348" t="n">
        <v>6</v>
      </c>
      <c r="AN348" t="n">
        <v>3</v>
      </c>
      <c r="AO348" t="n">
        <v>3</v>
      </c>
      <c r="AP348" t="inlineStr">
        <is>
          <t>No</t>
        </is>
      </c>
      <c r="AQ348" t="inlineStr">
        <is>
          <t>No</t>
        </is>
      </c>
      <c r="AS348">
        <f>HYPERLINK("https://creighton-primo.hosted.exlibrisgroup.com/primo-explore/search?tab=default_tab&amp;search_scope=EVERYTHING&amp;vid=01CRU&amp;lang=en_US&amp;offset=0&amp;query=any,contains,991004216289702656","Catalog Record")</f>
        <v/>
      </c>
      <c r="AT348">
        <f>HYPERLINK("http://www.worldcat.org/oclc/2696333","WorldCat Record")</f>
        <v/>
      </c>
      <c r="AU348" t="inlineStr">
        <is>
          <t>864412056:eng</t>
        </is>
      </c>
      <c r="AV348" t="inlineStr">
        <is>
          <t>2696333</t>
        </is>
      </c>
      <c r="AW348" t="inlineStr">
        <is>
          <t>991004216289702656</t>
        </is>
      </c>
      <c r="AX348" t="inlineStr">
        <is>
          <t>991004216289702656</t>
        </is>
      </c>
      <c r="AY348" t="inlineStr">
        <is>
          <t>2265453340002656</t>
        </is>
      </c>
      <c r="AZ348" t="inlineStr">
        <is>
          <t>BOOK</t>
        </is>
      </c>
      <c r="BB348" t="inlineStr">
        <is>
          <t>9780226173351</t>
        </is>
      </c>
      <c r="BC348" t="inlineStr">
        <is>
          <t>32285000684695</t>
        </is>
      </c>
      <c r="BD348" t="inlineStr">
        <is>
          <t>893810417</t>
        </is>
      </c>
    </row>
    <row r="349">
      <c r="A349" t="inlineStr">
        <is>
          <t>No</t>
        </is>
      </c>
      <c r="B349" t="inlineStr">
        <is>
          <t>HM22.F8 D8 1968</t>
        </is>
      </c>
      <c r="C349" t="inlineStr">
        <is>
          <t>0                      HM 0022000F  8                  D  8           1968</t>
        </is>
      </c>
      <c r="D349" t="inlineStr">
        <is>
          <t>Emile Durkheim's contributions to sociological theory.</t>
        </is>
      </c>
      <c r="F349" t="inlineStr">
        <is>
          <t>No</t>
        </is>
      </c>
      <c r="G349" t="inlineStr">
        <is>
          <t>1</t>
        </is>
      </c>
      <c r="H349" t="inlineStr">
        <is>
          <t>No</t>
        </is>
      </c>
      <c r="I349" t="inlineStr">
        <is>
          <t>No</t>
        </is>
      </c>
      <c r="J349" t="inlineStr">
        <is>
          <t>0</t>
        </is>
      </c>
      <c r="K349" t="inlineStr">
        <is>
          <t>Gehlke, Charles Elmer, 1884-1968.</t>
        </is>
      </c>
      <c r="L349" t="inlineStr">
        <is>
          <t>New York, AMS Press [1968]</t>
        </is>
      </c>
      <c r="M349" t="inlineStr">
        <is>
          <t>1968</t>
        </is>
      </c>
      <c r="N349" t="inlineStr">
        <is>
          <t>[1st AMS ed.]</t>
        </is>
      </c>
      <c r="O349" t="inlineStr">
        <is>
          <t>eng</t>
        </is>
      </c>
      <c r="P349" t="inlineStr">
        <is>
          <t>nyu</t>
        </is>
      </c>
      <c r="Q349" t="inlineStr">
        <is>
          <t>Studies in history, economics, and public law, v. 63, no. 1; whole no. 151</t>
        </is>
      </c>
      <c r="R349" t="inlineStr">
        <is>
          <t xml:space="preserve">HM </t>
        </is>
      </c>
      <c r="S349" t="n">
        <v>0</v>
      </c>
      <c r="T349" t="n">
        <v>0</v>
      </c>
      <c r="U349" t="inlineStr">
        <is>
          <t>2000-07-18</t>
        </is>
      </c>
      <c r="V349" t="inlineStr">
        <is>
          <t>2000-07-18</t>
        </is>
      </c>
      <c r="W349" t="inlineStr">
        <is>
          <t>1997-07-25</t>
        </is>
      </c>
      <c r="X349" t="inlineStr">
        <is>
          <t>1997-07-25</t>
        </is>
      </c>
      <c r="Y349" t="n">
        <v>285</v>
      </c>
      <c r="Z349" t="n">
        <v>246</v>
      </c>
      <c r="AA349" t="n">
        <v>518</v>
      </c>
      <c r="AB349" t="n">
        <v>1</v>
      </c>
      <c r="AC349" t="n">
        <v>4</v>
      </c>
      <c r="AD349" t="n">
        <v>13</v>
      </c>
      <c r="AE349" t="n">
        <v>26</v>
      </c>
      <c r="AF349" t="n">
        <v>6</v>
      </c>
      <c r="AG349" t="n">
        <v>9</v>
      </c>
      <c r="AH349" t="n">
        <v>2</v>
      </c>
      <c r="AI349" t="n">
        <v>6</v>
      </c>
      <c r="AJ349" t="n">
        <v>7</v>
      </c>
      <c r="AK349" t="n">
        <v>7</v>
      </c>
      <c r="AL349" t="n">
        <v>0</v>
      </c>
      <c r="AM349" t="n">
        <v>2</v>
      </c>
      <c r="AN349" t="n">
        <v>0</v>
      </c>
      <c r="AO349" t="n">
        <v>5</v>
      </c>
      <c r="AP349" t="inlineStr">
        <is>
          <t>Yes</t>
        </is>
      </c>
      <c r="AQ349" t="inlineStr">
        <is>
          <t>Yes</t>
        </is>
      </c>
      <c r="AR349">
        <f>HYPERLINK("http://catalog.hathitrust.org/Record/000965032","HathiTrust Record")</f>
        <v/>
      </c>
      <c r="AS349">
        <f>HYPERLINK("https://creighton-primo.hosted.exlibrisgroup.com/primo-explore/search?tab=default_tab&amp;search_scope=EVERYTHING&amp;vid=01CRU&amp;lang=en_US&amp;offset=0&amp;query=any,contains,991001225119702656","Catalog Record")</f>
        <v/>
      </c>
      <c r="AT349">
        <f>HYPERLINK("http://www.worldcat.org/oclc/199533","WorldCat Record")</f>
        <v/>
      </c>
      <c r="AU349" t="inlineStr">
        <is>
          <t>119000065:eng</t>
        </is>
      </c>
      <c r="AV349" t="inlineStr">
        <is>
          <t>199533</t>
        </is>
      </c>
      <c r="AW349" t="inlineStr">
        <is>
          <t>991001225119702656</t>
        </is>
      </c>
      <c r="AX349" t="inlineStr">
        <is>
          <t>991001225119702656</t>
        </is>
      </c>
      <c r="AY349" t="inlineStr">
        <is>
          <t>2269779390002656</t>
        </is>
      </c>
      <c r="AZ349" t="inlineStr">
        <is>
          <t>BOOK</t>
        </is>
      </c>
      <c r="BC349" t="inlineStr">
        <is>
          <t>32285003007779</t>
        </is>
      </c>
      <c r="BD349" t="inlineStr">
        <is>
          <t>893407959</t>
        </is>
      </c>
    </row>
    <row r="350">
      <c r="A350" t="inlineStr">
        <is>
          <t>No</t>
        </is>
      </c>
      <c r="B350" t="inlineStr">
        <is>
          <t>HM22.F8 D8737 1982</t>
        </is>
      </c>
      <c r="C350" t="inlineStr">
        <is>
          <t>0                      HM 0022000F  8                  D  8737        1982</t>
        </is>
      </c>
      <c r="D350" t="inlineStr">
        <is>
          <t>Emile Durkheim / Kenneth Thompson.</t>
        </is>
      </c>
      <c r="F350" t="inlineStr">
        <is>
          <t>No</t>
        </is>
      </c>
      <c r="G350" t="inlineStr">
        <is>
          <t>1</t>
        </is>
      </c>
      <c r="H350" t="inlineStr">
        <is>
          <t>No</t>
        </is>
      </c>
      <c r="I350" t="inlineStr">
        <is>
          <t>No</t>
        </is>
      </c>
      <c r="J350" t="inlineStr">
        <is>
          <t>0</t>
        </is>
      </c>
      <c r="K350" t="inlineStr">
        <is>
          <t>Thompson, Kenneth, 1937-</t>
        </is>
      </c>
      <c r="L350" t="inlineStr">
        <is>
          <t>Chichester : E. Horwood ; London ; New York : Tavistock Publications, 1982.</t>
        </is>
      </c>
      <c r="M350" t="inlineStr">
        <is>
          <t>1982</t>
        </is>
      </c>
      <c r="O350" t="inlineStr">
        <is>
          <t>eng</t>
        </is>
      </c>
      <c r="P350" t="inlineStr">
        <is>
          <t>enk</t>
        </is>
      </c>
      <c r="Q350" t="inlineStr">
        <is>
          <t>Key sociologists</t>
        </is>
      </c>
      <c r="R350" t="inlineStr">
        <is>
          <t xml:space="preserve">HM </t>
        </is>
      </c>
      <c r="S350" t="n">
        <v>9</v>
      </c>
      <c r="T350" t="n">
        <v>9</v>
      </c>
      <c r="U350" t="inlineStr">
        <is>
          <t>2004-04-06</t>
        </is>
      </c>
      <c r="V350" t="inlineStr">
        <is>
          <t>2004-04-06</t>
        </is>
      </c>
      <c r="W350" t="inlineStr">
        <is>
          <t>1992-08-05</t>
        </is>
      </c>
      <c r="X350" t="inlineStr">
        <is>
          <t>1992-08-05</t>
        </is>
      </c>
      <c r="Y350" t="n">
        <v>725</v>
      </c>
      <c r="Z350" t="n">
        <v>508</v>
      </c>
      <c r="AA350" t="n">
        <v>827</v>
      </c>
      <c r="AB350" t="n">
        <v>7</v>
      </c>
      <c r="AC350" t="n">
        <v>9</v>
      </c>
      <c r="AD350" t="n">
        <v>26</v>
      </c>
      <c r="AE350" t="n">
        <v>39</v>
      </c>
      <c r="AF350" t="n">
        <v>6</v>
      </c>
      <c r="AG350" t="n">
        <v>14</v>
      </c>
      <c r="AH350" t="n">
        <v>6</v>
      </c>
      <c r="AI350" t="n">
        <v>8</v>
      </c>
      <c r="AJ350" t="n">
        <v>13</v>
      </c>
      <c r="AK350" t="n">
        <v>18</v>
      </c>
      <c r="AL350" t="n">
        <v>6</v>
      </c>
      <c r="AM350" t="n">
        <v>8</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HYPERLINK("https://creighton-primo.hosted.exlibrisgroup.com/primo-explore/search?tab=default_tab&amp;search_scope=EVERYTHING&amp;vid=01CRU&amp;lang=en_US&amp;offset=0&amp;query=any,contains,991005203779702656","Catalog Record")</f>
        <v/>
      </c>
      <c r="AT350">
        <f>HYPERLINK("http://www.worldcat.org/oclc/8110462","WorldCat Record")</f>
        <v/>
      </c>
      <c r="AU350" t="inlineStr">
        <is>
          <t>4916632890:eng</t>
        </is>
      </c>
      <c r="AV350" t="inlineStr">
        <is>
          <t>8110462</t>
        </is>
      </c>
      <c r="AW350" t="inlineStr">
        <is>
          <t>991005203779702656</t>
        </is>
      </c>
      <c r="AX350" t="inlineStr">
        <is>
          <t>991005203779702656</t>
        </is>
      </c>
      <c r="AY350" t="inlineStr">
        <is>
          <t>2255866690002656</t>
        </is>
      </c>
      <c r="AZ350" t="inlineStr">
        <is>
          <t>BOOK</t>
        </is>
      </c>
      <c r="BB350" t="inlineStr">
        <is>
          <t>9780853123941</t>
        </is>
      </c>
      <c r="BC350" t="inlineStr">
        <is>
          <t>32285001193290</t>
        </is>
      </c>
      <c r="BD350" t="inlineStr">
        <is>
          <t>893507774</t>
        </is>
      </c>
    </row>
    <row r="351">
      <c r="A351" t="inlineStr">
        <is>
          <t>No</t>
        </is>
      </c>
      <c r="B351" t="inlineStr">
        <is>
          <t>HM22.F8 D895 1972</t>
        </is>
      </c>
      <c r="C351" t="inlineStr">
        <is>
          <t>0                      HM 0022000F  8                  D  895         1972</t>
        </is>
      </c>
      <c r="D351" t="inlineStr">
        <is>
          <t>Durkheim: morality and milieu.</t>
        </is>
      </c>
      <c r="F351" t="inlineStr">
        <is>
          <t>No</t>
        </is>
      </c>
      <c r="G351" t="inlineStr">
        <is>
          <t>1</t>
        </is>
      </c>
      <c r="H351" t="inlineStr">
        <is>
          <t>No</t>
        </is>
      </c>
      <c r="I351" t="inlineStr">
        <is>
          <t>No</t>
        </is>
      </c>
      <c r="J351" t="inlineStr">
        <is>
          <t>0</t>
        </is>
      </c>
      <c r="K351" t="inlineStr">
        <is>
          <t>Wallwork, Ernest.</t>
        </is>
      </c>
      <c r="L351" t="inlineStr">
        <is>
          <t>Cambridge, Mass., Harvard University Press, 1972.</t>
        </is>
      </c>
      <c r="M351" t="inlineStr">
        <is>
          <t>1972</t>
        </is>
      </c>
      <c r="O351" t="inlineStr">
        <is>
          <t>eng</t>
        </is>
      </c>
      <c r="P351" t="inlineStr">
        <is>
          <t>mau</t>
        </is>
      </c>
      <c r="R351" t="inlineStr">
        <is>
          <t xml:space="preserve">HM </t>
        </is>
      </c>
      <c r="S351" t="n">
        <v>5</v>
      </c>
      <c r="T351" t="n">
        <v>5</v>
      </c>
      <c r="U351" t="inlineStr">
        <is>
          <t>2004-04-14</t>
        </is>
      </c>
      <c r="V351" t="inlineStr">
        <is>
          <t>2004-04-14</t>
        </is>
      </c>
      <c r="W351" t="inlineStr">
        <is>
          <t>1997-07-25</t>
        </is>
      </c>
      <c r="X351" t="inlineStr">
        <is>
          <t>1997-07-25</t>
        </is>
      </c>
      <c r="Y351" t="n">
        <v>795</v>
      </c>
      <c r="Z351" t="n">
        <v>617</v>
      </c>
      <c r="AA351" t="n">
        <v>624</v>
      </c>
      <c r="AB351" t="n">
        <v>7</v>
      </c>
      <c r="AC351" t="n">
        <v>7</v>
      </c>
      <c r="AD351" t="n">
        <v>33</v>
      </c>
      <c r="AE351" t="n">
        <v>33</v>
      </c>
      <c r="AF351" t="n">
        <v>11</v>
      </c>
      <c r="AG351" t="n">
        <v>11</v>
      </c>
      <c r="AH351" t="n">
        <v>7</v>
      </c>
      <c r="AI351" t="n">
        <v>7</v>
      </c>
      <c r="AJ351" t="n">
        <v>15</v>
      </c>
      <c r="AK351" t="n">
        <v>15</v>
      </c>
      <c r="AL351" t="n">
        <v>6</v>
      </c>
      <c r="AM351" t="n">
        <v>6</v>
      </c>
      <c r="AN351" t="n">
        <v>2</v>
      </c>
      <c r="AO351" t="n">
        <v>2</v>
      </c>
      <c r="AP351" t="inlineStr">
        <is>
          <t>No</t>
        </is>
      </c>
      <c r="AQ351" t="inlineStr">
        <is>
          <t>No</t>
        </is>
      </c>
      <c r="AS351">
        <f>HYPERLINK("https://creighton-primo.hosted.exlibrisgroup.com/primo-explore/search?tab=default_tab&amp;search_scope=EVERYTHING&amp;vid=01CRU&amp;lang=en_US&amp;offset=0&amp;query=any,contains,991002863969702656","Catalog Record")</f>
        <v/>
      </c>
      <c r="AT351">
        <f>HYPERLINK("http://www.worldcat.org/oclc/494986","WorldCat Record")</f>
        <v/>
      </c>
      <c r="AU351" t="inlineStr">
        <is>
          <t>197059908:eng</t>
        </is>
      </c>
      <c r="AV351" t="inlineStr">
        <is>
          <t>494986</t>
        </is>
      </c>
      <c r="AW351" t="inlineStr">
        <is>
          <t>991002863969702656</t>
        </is>
      </c>
      <c r="AX351" t="inlineStr">
        <is>
          <t>991002863969702656</t>
        </is>
      </c>
      <c r="AY351" t="inlineStr">
        <is>
          <t>2255801010002656</t>
        </is>
      </c>
      <c r="AZ351" t="inlineStr">
        <is>
          <t>BOOK</t>
        </is>
      </c>
      <c r="BB351" t="inlineStr">
        <is>
          <t>9780674218659</t>
        </is>
      </c>
      <c r="BC351" t="inlineStr">
        <is>
          <t>32285003007837</t>
        </is>
      </c>
      <c r="BD351" t="inlineStr">
        <is>
          <t>893440616</t>
        </is>
      </c>
    </row>
    <row r="352">
      <c r="A352" t="inlineStr">
        <is>
          <t>No</t>
        </is>
      </c>
      <c r="B352" t="inlineStr">
        <is>
          <t>HM22.F82 D884 1996</t>
        </is>
      </c>
      <c r="C352" t="inlineStr">
        <is>
          <t>0                      HM 0022000F  82                 D  884         1996</t>
        </is>
      </c>
      <c r="D352" t="inlineStr">
        <is>
          <t>Durkheim, morals and modernity / W. Watts Miller.</t>
        </is>
      </c>
      <c r="F352" t="inlineStr">
        <is>
          <t>No</t>
        </is>
      </c>
      <c r="G352" t="inlineStr">
        <is>
          <t>1</t>
        </is>
      </c>
      <c r="H352" t="inlineStr">
        <is>
          <t>No</t>
        </is>
      </c>
      <c r="I352" t="inlineStr">
        <is>
          <t>No</t>
        </is>
      </c>
      <c r="J352" t="inlineStr">
        <is>
          <t>0</t>
        </is>
      </c>
      <c r="K352" t="inlineStr">
        <is>
          <t>Watts Miller, William, 1944-</t>
        </is>
      </c>
      <c r="L352" t="inlineStr">
        <is>
          <t>Montreal ; Buffalo : McGill-Queens University Press, 1996.</t>
        </is>
      </c>
      <c r="M352" t="inlineStr">
        <is>
          <t>1996</t>
        </is>
      </c>
      <c r="O352" t="inlineStr">
        <is>
          <t>eng</t>
        </is>
      </c>
      <c r="P352" t="inlineStr">
        <is>
          <t>quc</t>
        </is>
      </c>
      <c r="Q352" t="inlineStr">
        <is>
          <t>McGill-Queen's studies in the history of ideas ; 20</t>
        </is>
      </c>
      <c r="R352" t="inlineStr">
        <is>
          <t xml:space="preserve">HM </t>
        </is>
      </c>
      <c r="S352" t="n">
        <v>4</v>
      </c>
      <c r="T352" t="n">
        <v>4</v>
      </c>
      <c r="U352" t="inlineStr">
        <is>
          <t>1998-03-17</t>
        </is>
      </c>
      <c r="V352" t="inlineStr">
        <is>
          <t>1998-03-17</t>
        </is>
      </c>
      <c r="W352" t="inlineStr">
        <is>
          <t>1996-11-21</t>
        </is>
      </c>
      <c r="X352" t="inlineStr">
        <is>
          <t>1996-11-21</t>
        </is>
      </c>
      <c r="Y352" t="n">
        <v>255</v>
      </c>
      <c r="Z352" t="n">
        <v>197</v>
      </c>
      <c r="AA352" t="n">
        <v>237</v>
      </c>
      <c r="AB352" t="n">
        <v>2</v>
      </c>
      <c r="AC352" t="n">
        <v>2</v>
      </c>
      <c r="AD352" t="n">
        <v>15</v>
      </c>
      <c r="AE352" t="n">
        <v>16</v>
      </c>
      <c r="AF352" t="n">
        <v>4</v>
      </c>
      <c r="AG352" t="n">
        <v>5</v>
      </c>
      <c r="AH352" t="n">
        <v>6</v>
      </c>
      <c r="AI352" t="n">
        <v>6</v>
      </c>
      <c r="AJ352" t="n">
        <v>9</v>
      </c>
      <c r="AK352" t="n">
        <v>9</v>
      </c>
      <c r="AL352" t="n">
        <v>1</v>
      </c>
      <c r="AM352" t="n">
        <v>1</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HYPERLINK("https://creighton-primo.hosted.exlibrisgroup.com/primo-explore/search?tab=default_tab&amp;search_scope=EVERYTHING&amp;vid=01CRU&amp;lang=en_US&amp;offset=0&amp;query=any,contains,991002711149702656","Catalog Record")</f>
        <v/>
      </c>
      <c r="AT352">
        <f>HYPERLINK("http://www.worldcat.org/oclc/35551090","WorldCat Record")</f>
        <v/>
      </c>
      <c r="AU352" t="inlineStr">
        <is>
          <t>10567289452:eng</t>
        </is>
      </c>
      <c r="AV352" t="inlineStr">
        <is>
          <t>35551090</t>
        </is>
      </c>
      <c r="AW352" t="inlineStr">
        <is>
          <t>991002711149702656</t>
        </is>
      </c>
      <c r="AX352" t="inlineStr">
        <is>
          <t>991002711149702656</t>
        </is>
      </c>
      <c r="AY352" t="inlineStr">
        <is>
          <t>2258988800002656</t>
        </is>
      </c>
      <c r="AZ352" t="inlineStr">
        <is>
          <t>BOOK</t>
        </is>
      </c>
      <c r="BB352" t="inlineStr">
        <is>
          <t>9780773514447</t>
        </is>
      </c>
      <c r="BC352" t="inlineStr">
        <is>
          <t>32285002385093</t>
        </is>
      </c>
      <c r="BD352" t="inlineStr">
        <is>
          <t>893239404</t>
        </is>
      </c>
    </row>
    <row r="353">
      <c r="A353" t="inlineStr">
        <is>
          <t>No</t>
        </is>
      </c>
      <c r="B353" t="inlineStr">
        <is>
          <t>HM22.G3 B65 1990</t>
        </is>
      </c>
      <c r="C353" t="inlineStr">
        <is>
          <t>0                      HM 0022000G  3                  B  65          1990</t>
        </is>
      </c>
      <c r="D353" t="inlineStr">
        <is>
          <t>Love or greatness : Max Weber and masculine thinking - a feminist inquiry / Roslyn Wallach Bologh.</t>
        </is>
      </c>
      <c r="F353" t="inlineStr">
        <is>
          <t>No</t>
        </is>
      </c>
      <c r="G353" t="inlineStr">
        <is>
          <t>1</t>
        </is>
      </c>
      <c r="H353" t="inlineStr">
        <is>
          <t>No</t>
        </is>
      </c>
      <c r="I353" t="inlineStr">
        <is>
          <t>No</t>
        </is>
      </c>
      <c r="J353" t="inlineStr">
        <is>
          <t>0</t>
        </is>
      </c>
      <c r="K353" t="inlineStr">
        <is>
          <t>Bologh, Roslyn Wallach.</t>
        </is>
      </c>
      <c r="L353" t="inlineStr">
        <is>
          <t>London : Unwin Hayman, 1990.</t>
        </is>
      </c>
      <c r="M353" t="inlineStr">
        <is>
          <t>1990</t>
        </is>
      </c>
      <c r="O353" t="inlineStr">
        <is>
          <t>eng</t>
        </is>
      </c>
      <c r="P353" t="inlineStr">
        <is>
          <t>enk</t>
        </is>
      </c>
      <c r="R353" t="inlineStr">
        <is>
          <t xml:space="preserve">HM </t>
        </is>
      </c>
      <c r="S353" t="n">
        <v>3</v>
      </c>
      <c r="T353" t="n">
        <v>3</v>
      </c>
      <c r="U353" t="inlineStr">
        <is>
          <t>1995-08-04</t>
        </is>
      </c>
      <c r="V353" t="inlineStr">
        <is>
          <t>1995-08-04</t>
        </is>
      </c>
      <c r="W353" t="inlineStr">
        <is>
          <t>1991-09-20</t>
        </is>
      </c>
      <c r="X353" t="inlineStr">
        <is>
          <t>1991-09-20</t>
        </is>
      </c>
      <c r="Y353" t="n">
        <v>412</v>
      </c>
      <c r="Z353" t="n">
        <v>277</v>
      </c>
      <c r="AA353" t="n">
        <v>351</v>
      </c>
      <c r="AB353" t="n">
        <v>2</v>
      </c>
      <c r="AC353" t="n">
        <v>2</v>
      </c>
      <c r="AD353" t="n">
        <v>12</v>
      </c>
      <c r="AE353" t="n">
        <v>13</v>
      </c>
      <c r="AF353" t="n">
        <v>4</v>
      </c>
      <c r="AG353" t="n">
        <v>4</v>
      </c>
      <c r="AH353" t="n">
        <v>3</v>
      </c>
      <c r="AI353" t="n">
        <v>4</v>
      </c>
      <c r="AJ353" t="n">
        <v>7</v>
      </c>
      <c r="AK353" t="n">
        <v>8</v>
      </c>
      <c r="AL353" t="n">
        <v>1</v>
      </c>
      <c r="AM353" t="n">
        <v>1</v>
      </c>
      <c r="AN353" t="n">
        <v>0</v>
      </c>
      <c r="AO353" t="n">
        <v>0</v>
      </c>
      <c r="AP353" t="inlineStr">
        <is>
          <t>No</t>
        </is>
      </c>
      <c r="AQ353" t="inlineStr">
        <is>
          <t>Yes</t>
        </is>
      </c>
      <c r="AR353">
        <f>HYPERLINK("http://catalog.hathitrust.org/Record/007108614","HathiTrust Record")</f>
        <v/>
      </c>
      <c r="AS353">
        <f>HYPERLINK("https://creighton-primo.hosted.exlibrisgroup.com/primo-explore/search?tab=default_tab&amp;search_scope=EVERYTHING&amp;vid=01CRU&amp;lang=en_US&amp;offset=0&amp;query=any,contains,991001750369702656","Catalog Record")</f>
        <v/>
      </c>
      <c r="AT353">
        <f>HYPERLINK("http://www.worldcat.org/oclc/25249708","WorldCat Record")</f>
        <v/>
      </c>
      <c r="AU353" t="inlineStr">
        <is>
          <t>797261761:eng</t>
        </is>
      </c>
      <c r="AV353" t="inlineStr">
        <is>
          <t>25249708</t>
        </is>
      </c>
      <c r="AW353" t="inlineStr">
        <is>
          <t>991001750369702656</t>
        </is>
      </c>
      <c r="AX353" t="inlineStr">
        <is>
          <t>991001750369702656</t>
        </is>
      </c>
      <c r="AY353" t="inlineStr">
        <is>
          <t>2259788390002656</t>
        </is>
      </c>
      <c r="AZ353" t="inlineStr">
        <is>
          <t>BOOK</t>
        </is>
      </c>
      <c r="BB353" t="inlineStr">
        <is>
          <t>9780043012505</t>
        </is>
      </c>
      <c r="BC353" t="inlineStr">
        <is>
          <t>32285000704402</t>
        </is>
      </c>
      <c r="BD353" t="inlineStr">
        <is>
          <t>893715691</t>
        </is>
      </c>
    </row>
    <row r="354">
      <c r="A354" t="inlineStr">
        <is>
          <t>No</t>
        </is>
      </c>
      <c r="B354" t="inlineStr">
        <is>
          <t>HM22.G3 F458 1987</t>
        </is>
      </c>
      <c r="C354" t="inlineStr">
        <is>
          <t>0                      HM 0022000G  3                  F  458         1987</t>
        </is>
      </c>
      <c r="D354" t="inlineStr">
        <is>
          <t>The other god that failed : Hans Freyer and the deradicalization of German conservatism / Jerry Z. Muller.</t>
        </is>
      </c>
      <c r="F354" t="inlineStr">
        <is>
          <t>No</t>
        </is>
      </c>
      <c r="G354" t="inlineStr">
        <is>
          <t>1</t>
        </is>
      </c>
      <c r="H354" t="inlineStr">
        <is>
          <t>No</t>
        </is>
      </c>
      <c r="I354" t="inlineStr">
        <is>
          <t>No</t>
        </is>
      </c>
      <c r="J354" t="inlineStr">
        <is>
          <t>0</t>
        </is>
      </c>
      <c r="K354" t="inlineStr">
        <is>
          <t>Muller, Jerry Z., 1954-</t>
        </is>
      </c>
      <c r="L354" t="inlineStr">
        <is>
          <t>Princeton, N.J. : Princeton University Press, 1987.</t>
        </is>
      </c>
      <c r="M354" t="inlineStr">
        <is>
          <t>1987</t>
        </is>
      </c>
      <c r="O354" t="inlineStr">
        <is>
          <t>eng</t>
        </is>
      </c>
      <c r="P354" t="inlineStr">
        <is>
          <t>nju</t>
        </is>
      </c>
      <c r="R354" t="inlineStr">
        <is>
          <t xml:space="preserve">HM </t>
        </is>
      </c>
      <c r="S354" t="n">
        <v>1</v>
      </c>
      <c r="T354" t="n">
        <v>1</v>
      </c>
      <c r="U354" t="inlineStr">
        <is>
          <t>2006-08-23</t>
        </is>
      </c>
      <c r="V354" t="inlineStr">
        <is>
          <t>2006-08-23</t>
        </is>
      </c>
      <c r="W354" t="inlineStr">
        <is>
          <t>1992-08-05</t>
        </is>
      </c>
      <c r="X354" t="inlineStr">
        <is>
          <t>1992-08-05</t>
        </is>
      </c>
      <c r="Y354" t="n">
        <v>434</v>
      </c>
      <c r="Z354" t="n">
        <v>320</v>
      </c>
      <c r="AA354" t="n">
        <v>325</v>
      </c>
      <c r="AB354" t="n">
        <v>2</v>
      </c>
      <c r="AC354" t="n">
        <v>2</v>
      </c>
      <c r="AD354" t="n">
        <v>14</v>
      </c>
      <c r="AE354" t="n">
        <v>14</v>
      </c>
      <c r="AF354" t="n">
        <v>3</v>
      </c>
      <c r="AG354" t="n">
        <v>3</v>
      </c>
      <c r="AH354" t="n">
        <v>6</v>
      </c>
      <c r="AI354" t="n">
        <v>6</v>
      </c>
      <c r="AJ354" t="n">
        <v>8</v>
      </c>
      <c r="AK354" t="n">
        <v>8</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HYPERLINK("https://creighton-primo.hosted.exlibrisgroup.com/primo-explore/search?tab=default_tab&amp;search_scope=EVERYTHING&amp;vid=01CRU&amp;lang=en_US&amp;offset=0&amp;query=any,contains,991001097329702656","Catalog Record")</f>
        <v/>
      </c>
      <c r="AT354">
        <f>HYPERLINK("http://www.worldcat.org/oclc/16276754","WorldCat Record")</f>
        <v/>
      </c>
      <c r="AU354" t="inlineStr">
        <is>
          <t>836687706:eng</t>
        </is>
      </c>
      <c r="AV354" t="inlineStr">
        <is>
          <t>16276754</t>
        </is>
      </c>
      <c r="AW354" t="inlineStr">
        <is>
          <t>991001097329702656</t>
        </is>
      </c>
      <c r="AX354" t="inlineStr">
        <is>
          <t>991001097329702656</t>
        </is>
      </c>
      <c r="AY354" t="inlineStr">
        <is>
          <t>2262066880002656</t>
        </is>
      </c>
      <c r="AZ354" t="inlineStr">
        <is>
          <t>BOOK</t>
        </is>
      </c>
      <c r="BB354" t="inlineStr">
        <is>
          <t>9780691008233</t>
        </is>
      </c>
      <c r="BC354" t="inlineStr">
        <is>
          <t>32285001193324</t>
        </is>
      </c>
      <c r="BD354" t="inlineStr">
        <is>
          <t>893256012</t>
        </is>
      </c>
    </row>
    <row r="355">
      <c r="A355" t="inlineStr">
        <is>
          <t>No</t>
        </is>
      </c>
      <c r="B355" t="inlineStr">
        <is>
          <t>HM22.G3 H348 1988</t>
        </is>
      </c>
      <c r="C355" t="inlineStr">
        <is>
          <t>0                      HM 0022000G  3                  H  348         1988</t>
        </is>
      </c>
      <c r="D355" t="inlineStr">
        <is>
          <t>The recent work of Jürgen Habermas : reason, justice, and modernity / Stephen K. White.</t>
        </is>
      </c>
      <c r="F355" t="inlineStr">
        <is>
          <t>No</t>
        </is>
      </c>
      <c r="G355" t="inlineStr">
        <is>
          <t>1</t>
        </is>
      </c>
      <c r="H355" t="inlineStr">
        <is>
          <t>No</t>
        </is>
      </c>
      <c r="I355" t="inlineStr">
        <is>
          <t>No</t>
        </is>
      </c>
      <c r="J355" t="inlineStr">
        <is>
          <t>0</t>
        </is>
      </c>
      <c r="K355" t="inlineStr">
        <is>
          <t>White, Stephen K.</t>
        </is>
      </c>
      <c r="L355" t="inlineStr">
        <is>
          <t>Cambridge [Cambridgeshire] ; New York : Cambridge University Press, 1988.</t>
        </is>
      </c>
      <c r="M355" t="inlineStr">
        <is>
          <t>1988</t>
        </is>
      </c>
      <c r="O355" t="inlineStr">
        <is>
          <t>eng</t>
        </is>
      </c>
      <c r="P355" t="inlineStr">
        <is>
          <t>enk</t>
        </is>
      </c>
      <c r="R355" t="inlineStr">
        <is>
          <t xml:space="preserve">HM </t>
        </is>
      </c>
      <c r="S355" t="n">
        <v>2</v>
      </c>
      <c r="T355" t="n">
        <v>2</v>
      </c>
      <c r="U355" t="inlineStr">
        <is>
          <t>1996-10-15</t>
        </is>
      </c>
      <c r="V355" t="inlineStr">
        <is>
          <t>1996-10-15</t>
        </is>
      </c>
      <c r="W355" t="inlineStr">
        <is>
          <t>1992-08-05</t>
        </is>
      </c>
      <c r="X355" t="inlineStr">
        <is>
          <t>1992-08-05</t>
        </is>
      </c>
      <c r="Y355" t="n">
        <v>640</v>
      </c>
      <c r="Z355" t="n">
        <v>446</v>
      </c>
      <c r="AA355" t="n">
        <v>485</v>
      </c>
      <c r="AB355" t="n">
        <v>2</v>
      </c>
      <c r="AC355" t="n">
        <v>3</v>
      </c>
      <c r="AD355" t="n">
        <v>31</v>
      </c>
      <c r="AE355" t="n">
        <v>34</v>
      </c>
      <c r="AF355" t="n">
        <v>9</v>
      </c>
      <c r="AG355" t="n">
        <v>10</v>
      </c>
      <c r="AH355" t="n">
        <v>7</v>
      </c>
      <c r="AI355" t="n">
        <v>7</v>
      </c>
      <c r="AJ355" t="n">
        <v>18</v>
      </c>
      <c r="AK355" t="n">
        <v>18</v>
      </c>
      <c r="AL355" t="n">
        <v>1</v>
      </c>
      <c r="AM355" t="n">
        <v>2</v>
      </c>
      <c r="AN355" t="n">
        <v>3</v>
      </c>
      <c r="AO355" t="n">
        <v>4</v>
      </c>
      <c r="AP355" t="inlineStr">
        <is>
          <t>No</t>
        </is>
      </c>
      <c r="AQ355" t="inlineStr">
        <is>
          <t>No</t>
        </is>
      </c>
      <c r="AS355">
        <f>HYPERLINK("https://creighton-primo.hosted.exlibrisgroup.com/primo-explore/search?tab=default_tab&amp;search_scope=EVERYTHING&amp;vid=01CRU&amp;lang=en_US&amp;offset=0&amp;query=any,contains,991001065559702656","Catalog Record")</f>
        <v/>
      </c>
      <c r="AT355">
        <f>HYPERLINK("http://www.worldcat.org/oclc/15793273","WorldCat Record")</f>
        <v/>
      </c>
      <c r="AU355" t="inlineStr">
        <is>
          <t>796590976:eng</t>
        </is>
      </c>
      <c r="AV355" t="inlineStr">
        <is>
          <t>15793273</t>
        </is>
      </c>
      <c r="AW355" t="inlineStr">
        <is>
          <t>991001065559702656</t>
        </is>
      </c>
      <c r="AX355" t="inlineStr">
        <is>
          <t>991001065559702656</t>
        </is>
      </c>
      <c r="AY355" t="inlineStr">
        <is>
          <t>2261237680002656</t>
        </is>
      </c>
      <c r="AZ355" t="inlineStr">
        <is>
          <t>BOOK</t>
        </is>
      </c>
      <c r="BB355" t="inlineStr">
        <is>
          <t>9780521343602</t>
        </is>
      </c>
      <c r="BC355" t="inlineStr">
        <is>
          <t>32285001193332</t>
        </is>
      </c>
      <c r="BD355" t="inlineStr">
        <is>
          <t>893444563</t>
        </is>
      </c>
    </row>
    <row r="356">
      <c r="A356" t="inlineStr">
        <is>
          <t>No</t>
        </is>
      </c>
      <c r="B356" t="inlineStr">
        <is>
          <t>HM22.G3 H43 1960</t>
        </is>
      </c>
      <c r="C356" t="inlineStr">
        <is>
          <t>0                      HM 0022000G  3                  H  43          1960</t>
        </is>
      </c>
      <c r="D356" t="inlineStr">
        <is>
          <t>Reason and revolution : Hegel and the rise of social theory / Herbert Marcuse ; with a new pref. A note on dialectic, by the author.</t>
        </is>
      </c>
      <c r="F356" t="inlineStr">
        <is>
          <t>No</t>
        </is>
      </c>
      <c r="G356" t="inlineStr">
        <is>
          <t>1</t>
        </is>
      </c>
      <c r="H356" t="inlineStr">
        <is>
          <t>No</t>
        </is>
      </c>
      <c r="I356" t="inlineStr">
        <is>
          <t>No</t>
        </is>
      </c>
      <c r="J356" t="inlineStr">
        <is>
          <t>0</t>
        </is>
      </c>
      <c r="K356" t="inlineStr">
        <is>
          <t>Marcuse, Herbert, 1898-1979.</t>
        </is>
      </c>
      <c r="L356" t="inlineStr">
        <is>
          <t>Boston : Beacon Press, [1960]</t>
        </is>
      </c>
      <c r="M356" t="inlineStr">
        <is>
          <t>1960</t>
        </is>
      </c>
      <c r="N356" t="inlineStr">
        <is>
          <t>1st Beacon Press pbk. ed.</t>
        </is>
      </c>
      <c r="O356" t="inlineStr">
        <is>
          <t>eng</t>
        </is>
      </c>
      <c r="P356" t="inlineStr">
        <is>
          <t>mau</t>
        </is>
      </c>
      <c r="Q356" t="inlineStr">
        <is>
          <t>Beacon paperback no. 110</t>
        </is>
      </c>
      <c r="R356" t="inlineStr">
        <is>
          <t xml:space="preserve">HM </t>
        </is>
      </c>
      <c r="S356" t="n">
        <v>1</v>
      </c>
      <c r="T356" t="n">
        <v>1</v>
      </c>
      <c r="U356" t="inlineStr">
        <is>
          <t>2001-07-24</t>
        </is>
      </c>
      <c r="V356" t="inlineStr">
        <is>
          <t>2001-07-24</t>
        </is>
      </c>
      <c r="W356" t="inlineStr">
        <is>
          <t>2001-07-23</t>
        </is>
      </c>
      <c r="X356" t="inlineStr">
        <is>
          <t>2001-07-23</t>
        </is>
      </c>
      <c r="Y356" t="n">
        <v>669</v>
      </c>
      <c r="Z356" t="n">
        <v>594</v>
      </c>
      <c r="AA356" t="n">
        <v>1334</v>
      </c>
      <c r="AB356" t="n">
        <v>4</v>
      </c>
      <c r="AC356" t="n">
        <v>11</v>
      </c>
      <c r="AD356" t="n">
        <v>23</v>
      </c>
      <c r="AE356" t="n">
        <v>59</v>
      </c>
      <c r="AF356" t="n">
        <v>7</v>
      </c>
      <c r="AG356" t="n">
        <v>23</v>
      </c>
      <c r="AH356" t="n">
        <v>3</v>
      </c>
      <c r="AI356" t="n">
        <v>11</v>
      </c>
      <c r="AJ356" t="n">
        <v>16</v>
      </c>
      <c r="AK356" t="n">
        <v>28</v>
      </c>
      <c r="AL356" t="n">
        <v>3</v>
      </c>
      <c r="AM356" t="n">
        <v>10</v>
      </c>
      <c r="AN356" t="n">
        <v>1</v>
      </c>
      <c r="AO356" t="n">
        <v>1</v>
      </c>
      <c r="AP356" t="inlineStr">
        <is>
          <t>No</t>
        </is>
      </c>
      <c r="AQ356" t="inlineStr">
        <is>
          <t>Yes</t>
        </is>
      </c>
      <c r="AR356">
        <f>HYPERLINK("http://catalog.hathitrust.org/Record/004493663","HathiTrust Record")</f>
        <v/>
      </c>
      <c r="AS356">
        <f>HYPERLINK("https://creighton-primo.hosted.exlibrisgroup.com/primo-explore/search?tab=default_tab&amp;search_scope=EVERYTHING&amp;vid=01CRU&amp;lang=en_US&amp;offset=0&amp;query=any,contains,991003588079702656","Catalog Record")</f>
        <v/>
      </c>
      <c r="AT356">
        <f>HYPERLINK("http://www.worldcat.org/oclc/272495","WorldCat Record")</f>
        <v/>
      </c>
      <c r="AU356" t="inlineStr">
        <is>
          <t>44510507:eng</t>
        </is>
      </c>
      <c r="AV356" t="inlineStr">
        <is>
          <t>272495</t>
        </is>
      </c>
      <c r="AW356" t="inlineStr">
        <is>
          <t>991003588079702656</t>
        </is>
      </c>
      <c r="AX356" t="inlineStr">
        <is>
          <t>991003588079702656</t>
        </is>
      </c>
      <c r="AY356" t="inlineStr">
        <is>
          <t>2262466430002656</t>
        </is>
      </c>
      <c r="AZ356" t="inlineStr">
        <is>
          <t>BOOK</t>
        </is>
      </c>
      <c r="BC356" t="inlineStr">
        <is>
          <t>32285004334594</t>
        </is>
      </c>
      <c r="BD356" t="inlineStr">
        <is>
          <t>893435157</t>
        </is>
      </c>
    </row>
    <row r="357">
      <c r="A357" t="inlineStr">
        <is>
          <t>No</t>
        </is>
      </c>
      <c r="B357" t="inlineStr">
        <is>
          <t>HM22.G3 M315</t>
        </is>
      </c>
      <c r="C357" t="inlineStr">
        <is>
          <t>0                      HM 0022000G  3                  M  315</t>
        </is>
      </c>
      <c r="D357" t="inlineStr">
        <is>
          <t>Truth beyond relativism : Karl Mannheim's sociology of knowledge / by Gregory Baum.</t>
        </is>
      </c>
      <c r="F357" t="inlineStr">
        <is>
          <t>No</t>
        </is>
      </c>
      <c r="G357" t="inlineStr">
        <is>
          <t>1</t>
        </is>
      </c>
      <c r="H357" t="inlineStr">
        <is>
          <t>No</t>
        </is>
      </c>
      <c r="I357" t="inlineStr">
        <is>
          <t>No</t>
        </is>
      </c>
      <c r="J357" t="inlineStr">
        <is>
          <t>0</t>
        </is>
      </c>
      <c r="K357" t="inlineStr">
        <is>
          <t>Baum, Gregory, 1923-2017.</t>
        </is>
      </c>
      <c r="L357" t="inlineStr">
        <is>
          <t>Milwaukee : Marquette University Press, 1977.</t>
        </is>
      </c>
      <c r="M357" t="inlineStr">
        <is>
          <t>1977</t>
        </is>
      </c>
      <c r="O357" t="inlineStr">
        <is>
          <t>eng</t>
        </is>
      </c>
      <c r="P357" t="inlineStr">
        <is>
          <t>wiu</t>
        </is>
      </c>
      <c r="Q357" t="inlineStr">
        <is>
          <t>The Pere Marquette theology lecture ; 1977</t>
        </is>
      </c>
      <c r="R357" t="inlineStr">
        <is>
          <t xml:space="preserve">HM </t>
        </is>
      </c>
      <c r="S357" t="n">
        <v>2</v>
      </c>
      <c r="T357" t="n">
        <v>2</v>
      </c>
      <c r="U357" t="inlineStr">
        <is>
          <t>2002-09-19</t>
        </is>
      </c>
      <c r="V357" t="inlineStr">
        <is>
          <t>2002-09-19</t>
        </is>
      </c>
      <c r="W357" t="inlineStr">
        <is>
          <t>1992-08-05</t>
        </is>
      </c>
      <c r="X357" t="inlineStr">
        <is>
          <t>1992-08-05</t>
        </is>
      </c>
      <c r="Y357" t="n">
        <v>264</v>
      </c>
      <c r="Z357" t="n">
        <v>210</v>
      </c>
      <c r="AA357" t="n">
        <v>324</v>
      </c>
      <c r="AB357" t="n">
        <v>2</v>
      </c>
      <c r="AC357" t="n">
        <v>2</v>
      </c>
      <c r="AD357" t="n">
        <v>17</v>
      </c>
      <c r="AE357" t="n">
        <v>17</v>
      </c>
      <c r="AF357" t="n">
        <v>1</v>
      </c>
      <c r="AG357" t="n">
        <v>1</v>
      </c>
      <c r="AH357" t="n">
        <v>7</v>
      </c>
      <c r="AI357" t="n">
        <v>7</v>
      </c>
      <c r="AJ357" t="n">
        <v>13</v>
      </c>
      <c r="AK357" t="n">
        <v>13</v>
      </c>
      <c r="AL357" t="n">
        <v>1</v>
      </c>
      <c r="AM357" t="n">
        <v>1</v>
      </c>
      <c r="AN357" t="n">
        <v>0</v>
      </c>
      <c r="AO357" t="n">
        <v>0</v>
      </c>
      <c r="AP357" t="inlineStr">
        <is>
          <t>No</t>
        </is>
      </c>
      <c r="AQ357" t="inlineStr">
        <is>
          <t>Yes</t>
        </is>
      </c>
      <c r="AR357">
        <f>HYPERLINK("http://catalog.hathitrust.org/Record/000292786","HathiTrust Record")</f>
        <v/>
      </c>
      <c r="AS357">
        <f>HYPERLINK("https://creighton-primo.hosted.exlibrisgroup.com/primo-explore/search?tab=default_tab&amp;search_scope=EVERYTHING&amp;vid=01CRU&amp;lang=en_US&amp;offset=0&amp;query=any,contains,991004354979702656","Catalog Record")</f>
        <v/>
      </c>
      <c r="AT357">
        <f>HYPERLINK("http://www.worldcat.org/oclc/3133747","WorldCat Record")</f>
        <v/>
      </c>
      <c r="AU357" t="inlineStr">
        <is>
          <t>522209:eng</t>
        </is>
      </c>
      <c r="AV357" t="inlineStr">
        <is>
          <t>3133747</t>
        </is>
      </c>
      <c r="AW357" t="inlineStr">
        <is>
          <t>991004354979702656</t>
        </is>
      </c>
      <c r="AX357" t="inlineStr">
        <is>
          <t>991004354979702656</t>
        </is>
      </c>
      <c r="AY357" t="inlineStr">
        <is>
          <t>2255377590002656</t>
        </is>
      </c>
      <c r="AZ357" t="inlineStr">
        <is>
          <t>BOOK</t>
        </is>
      </c>
      <c r="BB357" t="inlineStr">
        <is>
          <t>9780874625097</t>
        </is>
      </c>
      <c r="BC357" t="inlineStr">
        <is>
          <t>32285001193340</t>
        </is>
      </c>
      <c r="BD357" t="inlineStr">
        <is>
          <t>893775927</t>
        </is>
      </c>
    </row>
    <row r="358">
      <c r="A358" t="inlineStr">
        <is>
          <t>No</t>
        </is>
      </c>
      <c r="B358" t="inlineStr">
        <is>
          <t>HM22.G3 S482 1984</t>
        </is>
      </c>
      <c r="C358" t="inlineStr">
        <is>
          <t>0                      HM 0022000G  3                  S  482         1984</t>
        </is>
      </c>
      <c r="D358" t="inlineStr">
        <is>
          <t>Georg Simmel / David Frisby.</t>
        </is>
      </c>
      <c r="F358" t="inlineStr">
        <is>
          <t>No</t>
        </is>
      </c>
      <c r="G358" t="inlineStr">
        <is>
          <t>1</t>
        </is>
      </c>
      <c r="H358" t="inlineStr">
        <is>
          <t>No</t>
        </is>
      </c>
      <c r="I358" t="inlineStr">
        <is>
          <t>No</t>
        </is>
      </c>
      <c r="J358" t="inlineStr">
        <is>
          <t>0</t>
        </is>
      </c>
      <c r="K358" t="inlineStr">
        <is>
          <t>Frisby, David.</t>
        </is>
      </c>
      <c r="L358" t="inlineStr">
        <is>
          <t>Chichester : E. Horwood ; London ; New York : Tavistock Publications, 1984.</t>
        </is>
      </c>
      <c r="M358" t="inlineStr">
        <is>
          <t>1984</t>
        </is>
      </c>
      <c r="O358" t="inlineStr">
        <is>
          <t>eng</t>
        </is>
      </c>
      <c r="P358" t="inlineStr">
        <is>
          <t>enk</t>
        </is>
      </c>
      <c r="Q358" t="inlineStr">
        <is>
          <t>Key sociologists</t>
        </is>
      </c>
      <c r="R358" t="inlineStr">
        <is>
          <t xml:space="preserve">HM </t>
        </is>
      </c>
      <c r="S358" t="n">
        <v>3</v>
      </c>
      <c r="T358" t="n">
        <v>3</v>
      </c>
      <c r="U358" t="inlineStr">
        <is>
          <t>1995-08-04</t>
        </is>
      </c>
      <c r="V358" t="inlineStr">
        <is>
          <t>1995-08-04</t>
        </is>
      </c>
      <c r="W358" t="inlineStr">
        <is>
          <t>1992-08-05</t>
        </is>
      </c>
      <c r="X358" t="inlineStr">
        <is>
          <t>1992-08-05</t>
        </is>
      </c>
      <c r="Y358" t="n">
        <v>548</v>
      </c>
      <c r="Z358" t="n">
        <v>372</v>
      </c>
      <c r="AA358" t="n">
        <v>934</v>
      </c>
      <c r="AB358" t="n">
        <v>4</v>
      </c>
      <c r="AC358" t="n">
        <v>30</v>
      </c>
      <c r="AD358" t="n">
        <v>22</v>
      </c>
      <c r="AE358" t="n">
        <v>49</v>
      </c>
      <c r="AF358" t="n">
        <v>5</v>
      </c>
      <c r="AG358" t="n">
        <v>14</v>
      </c>
      <c r="AH358" t="n">
        <v>6</v>
      </c>
      <c r="AI358" t="n">
        <v>9</v>
      </c>
      <c r="AJ358" t="n">
        <v>14</v>
      </c>
      <c r="AK358" t="n">
        <v>19</v>
      </c>
      <c r="AL358" t="n">
        <v>3</v>
      </c>
      <c r="AM358" t="n">
        <v>15</v>
      </c>
      <c r="AN358" t="n">
        <v>0</v>
      </c>
      <c r="AO358" t="n">
        <v>1</v>
      </c>
      <c r="AP358" t="inlineStr">
        <is>
          <t>No</t>
        </is>
      </c>
      <c r="AQ358" t="inlineStr">
        <is>
          <t>No</t>
        </is>
      </c>
      <c r="AS358">
        <f>HYPERLINK("https://creighton-primo.hosted.exlibrisgroup.com/primo-explore/search?tab=default_tab&amp;search_scope=EVERYTHING&amp;vid=01CRU&amp;lang=en_US&amp;offset=0&amp;query=any,contains,991000552839702656","Catalog Record")</f>
        <v/>
      </c>
      <c r="AT358">
        <f>HYPERLINK("http://www.worldcat.org/oclc/11548476","WorldCat Record")</f>
        <v/>
      </c>
      <c r="AU358" t="inlineStr">
        <is>
          <t>4317944:eng</t>
        </is>
      </c>
      <c r="AV358" t="inlineStr">
        <is>
          <t>11548476</t>
        </is>
      </c>
      <c r="AW358" t="inlineStr">
        <is>
          <t>991000552839702656</t>
        </is>
      </c>
      <c r="AX358" t="inlineStr">
        <is>
          <t>991000552839702656</t>
        </is>
      </c>
      <c r="AY358" t="inlineStr">
        <is>
          <t>2259989020002656</t>
        </is>
      </c>
      <c r="AZ358" t="inlineStr">
        <is>
          <t>BOOK</t>
        </is>
      </c>
      <c r="BB358" t="inlineStr">
        <is>
          <t>9780853126171</t>
        </is>
      </c>
      <c r="BC358" t="inlineStr">
        <is>
          <t>32285001193399</t>
        </is>
      </c>
      <c r="BD358" t="inlineStr">
        <is>
          <t>893871778</t>
        </is>
      </c>
    </row>
    <row r="359">
      <c r="A359" t="inlineStr">
        <is>
          <t>No</t>
        </is>
      </c>
      <c r="B359" t="inlineStr">
        <is>
          <t>HM22.G3 W3975 1984</t>
        </is>
      </c>
      <c r="C359" t="inlineStr">
        <is>
          <t>0                      HM 0022000G  3                  W  3975        1984</t>
        </is>
      </c>
      <c r="D359" t="inlineStr">
        <is>
          <t>Max Weber's insights and errors / Stanislav Andreski.</t>
        </is>
      </c>
      <c r="F359" t="inlineStr">
        <is>
          <t>No</t>
        </is>
      </c>
      <c r="G359" t="inlineStr">
        <is>
          <t>1</t>
        </is>
      </c>
      <c r="H359" t="inlineStr">
        <is>
          <t>No</t>
        </is>
      </c>
      <c r="I359" t="inlineStr">
        <is>
          <t>No</t>
        </is>
      </c>
      <c r="J359" t="inlineStr">
        <is>
          <t>0</t>
        </is>
      </c>
      <c r="K359" t="inlineStr">
        <is>
          <t>Andreski, Stanislav.</t>
        </is>
      </c>
      <c r="L359" t="inlineStr">
        <is>
          <t>London ; Boston : Routledge &amp; Kegan Paul, 1984.</t>
        </is>
      </c>
      <c r="M359" t="inlineStr">
        <is>
          <t>1984</t>
        </is>
      </c>
      <c r="O359" t="inlineStr">
        <is>
          <t>eng</t>
        </is>
      </c>
      <c r="P359" t="inlineStr">
        <is>
          <t>enk</t>
        </is>
      </c>
      <c r="Q359" t="inlineStr">
        <is>
          <t>International library of sociology</t>
        </is>
      </c>
      <c r="R359" t="inlineStr">
        <is>
          <t xml:space="preserve">HM </t>
        </is>
      </c>
      <c r="S359" t="n">
        <v>3</v>
      </c>
      <c r="T359" t="n">
        <v>3</v>
      </c>
      <c r="U359" t="inlineStr">
        <is>
          <t>1995-11-15</t>
        </is>
      </c>
      <c r="V359" t="inlineStr">
        <is>
          <t>1995-11-15</t>
        </is>
      </c>
      <c r="W359" t="inlineStr">
        <is>
          <t>1990-03-28</t>
        </is>
      </c>
      <c r="X359" t="inlineStr">
        <is>
          <t>1990-03-28</t>
        </is>
      </c>
      <c r="Y359" t="n">
        <v>425</v>
      </c>
      <c r="Z359" t="n">
        <v>259</v>
      </c>
      <c r="AA359" t="n">
        <v>278</v>
      </c>
      <c r="AB359" t="n">
        <v>3</v>
      </c>
      <c r="AC359" t="n">
        <v>3</v>
      </c>
      <c r="AD359" t="n">
        <v>14</v>
      </c>
      <c r="AE359" t="n">
        <v>15</v>
      </c>
      <c r="AF359" t="n">
        <v>3</v>
      </c>
      <c r="AG359" t="n">
        <v>3</v>
      </c>
      <c r="AH359" t="n">
        <v>3</v>
      </c>
      <c r="AI359" t="n">
        <v>4</v>
      </c>
      <c r="AJ359" t="n">
        <v>8</v>
      </c>
      <c r="AK359" t="n">
        <v>8</v>
      </c>
      <c r="AL359" t="n">
        <v>2</v>
      </c>
      <c r="AM359" t="n">
        <v>2</v>
      </c>
      <c r="AN359" t="n">
        <v>1</v>
      </c>
      <c r="AO359" t="n">
        <v>1</v>
      </c>
      <c r="AP359" t="inlineStr">
        <is>
          <t>No</t>
        </is>
      </c>
      <c r="AQ359" t="inlineStr">
        <is>
          <t>No</t>
        </is>
      </c>
      <c r="AS359">
        <f>HYPERLINK("https://creighton-primo.hosted.exlibrisgroup.com/primo-explore/search?tab=default_tab&amp;search_scope=EVERYTHING&amp;vid=01CRU&amp;lang=en_US&amp;offset=0&amp;query=any,contains,991000349239702656","Catalog Record")</f>
        <v/>
      </c>
      <c r="AT359">
        <f>HYPERLINK("http://www.worldcat.org/oclc/10300191","WorldCat Record")</f>
        <v/>
      </c>
      <c r="AU359" t="inlineStr">
        <is>
          <t>2772822:eng</t>
        </is>
      </c>
      <c r="AV359" t="inlineStr">
        <is>
          <t>10300191</t>
        </is>
      </c>
      <c r="AW359" t="inlineStr">
        <is>
          <t>991000349239702656</t>
        </is>
      </c>
      <c r="AX359" t="inlineStr">
        <is>
          <t>991000349239702656</t>
        </is>
      </c>
      <c r="AY359" t="inlineStr">
        <is>
          <t>2271464630002656</t>
        </is>
      </c>
      <c r="AZ359" t="inlineStr">
        <is>
          <t>BOOK</t>
        </is>
      </c>
      <c r="BB359" t="inlineStr">
        <is>
          <t>9780710200518</t>
        </is>
      </c>
      <c r="BC359" t="inlineStr">
        <is>
          <t>32285000105790</t>
        </is>
      </c>
      <c r="BD359" t="inlineStr">
        <is>
          <t>893689624</t>
        </is>
      </c>
    </row>
    <row r="360">
      <c r="A360" t="inlineStr">
        <is>
          <t>No</t>
        </is>
      </c>
      <c r="B360" t="inlineStr">
        <is>
          <t>HM22.G3 W42 1977</t>
        </is>
      </c>
      <c r="C360" t="inlineStr">
        <is>
          <t>0                      HM 0022000G  3                  W  42          1977</t>
        </is>
      </c>
      <c r="D360" t="inlineStr">
        <is>
          <t>Max Weber : an intellectual portrait / Reinhard Bendix ; with an introd. to the new ed. by Guenther Roth.</t>
        </is>
      </c>
      <c r="F360" t="inlineStr">
        <is>
          <t>No</t>
        </is>
      </c>
      <c r="G360" t="inlineStr">
        <is>
          <t>1</t>
        </is>
      </c>
      <c r="H360" t="inlineStr">
        <is>
          <t>Yes</t>
        </is>
      </c>
      <c r="I360" t="inlineStr">
        <is>
          <t>No</t>
        </is>
      </c>
      <c r="J360" t="inlineStr">
        <is>
          <t>0</t>
        </is>
      </c>
      <c r="K360" t="inlineStr">
        <is>
          <t>Bendix, Reinhard.</t>
        </is>
      </c>
      <c r="L360" t="inlineStr">
        <is>
          <t>Berkeley : University of California Press, 1977.</t>
        </is>
      </c>
      <c r="M360" t="inlineStr">
        <is>
          <t>1977</t>
        </is>
      </c>
      <c r="O360" t="inlineStr">
        <is>
          <t>eng</t>
        </is>
      </c>
      <c r="P360" t="inlineStr">
        <is>
          <t>cau</t>
        </is>
      </c>
      <c r="R360" t="inlineStr">
        <is>
          <t xml:space="preserve">HM </t>
        </is>
      </c>
      <c r="S360" t="n">
        <v>3</v>
      </c>
      <c r="T360" t="n">
        <v>3</v>
      </c>
      <c r="U360" t="inlineStr">
        <is>
          <t>2001-11-06</t>
        </is>
      </c>
      <c r="V360" t="inlineStr">
        <is>
          <t>2001-11-06</t>
        </is>
      </c>
      <c r="W360" t="inlineStr">
        <is>
          <t>1990-03-23</t>
        </is>
      </c>
      <c r="X360" t="inlineStr">
        <is>
          <t>1991-08-14</t>
        </is>
      </c>
      <c r="Y360" t="n">
        <v>543</v>
      </c>
      <c r="Z360" t="n">
        <v>413</v>
      </c>
      <c r="AA360" t="n">
        <v>1315</v>
      </c>
      <c r="AB360" t="n">
        <v>5</v>
      </c>
      <c r="AC360" t="n">
        <v>11</v>
      </c>
      <c r="AD360" t="n">
        <v>20</v>
      </c>
      <c r="AE360" t="n">
        <v>56</v>
      </c>
      <c r="AF360" t="n">
        <v>6</v>
      </c>
      <c r="AG360" t="n">
        <v>25</v>
      </c>
      <c r="AH360" t="n">
        <v>5</v>
      </c>
      <c r="AI360" t="n">
        <v>11</v>
      </c>
      <c r="AJ360" t="n">
        <v>10</v>
      </c>
      <c r="AK360" t="n">
        <v>26</v>
      </c>
      <c r="AL360" t="n">
        <v>3</v>
      </c>
      <c r="AM360" t="n">
        <v>7</v>
      </c>
      <c r="AN360" t="n">
        <v>0</v>
      </c>
      <c r="AO360" t="n">
        <v>1</v>
      </c>
      <c r="AP360" t="inlineStr">
        <is>
          <t>No</t>
        </is>
      </c>
      <c r="AQ360" t="inlineStr">
        <is>
          <t>No</t>
        </is>
      </c>
      <c r="AS360">
        <f>HYPERLINK("https://creighton-primo.hosted.exlibrisgroup.com/primo-explore/search?tab=default_tab&amp;search_scope=EVERYTHING&amp;vid=01CRU&amp;lang=en_US&amp;offset=0&amp;query=any,contains,991001787459702656","Catalog Record")</f>
        <v/>
      </c>
      <c r="AT360">
        <f>HYPERLINK("http://www.worldcat.org/oclc/3751900","WorldCat Record")</f>
        <v/>
      </c>
      <c r="AU360" t="inlineStr">
        <is>
          <t>501336:eng</t>
        </is>
      </c>
      <c r="AV360" t="inlineStr">
        <is>
          <t>3751900</t>
        </is>
      </c>
      <c r="AW360" t="inlineStr">
        <is>
          <t>991001787459702656</t>
        </is>
      </c>
      <c r="AX360" t="inlineStr">
        <is>
          <t>991001787459702656</t>
        </is>
      </c>
      <c r="AY360" t="inlineStr">
        <is>
          <t>2255254590002656</t>
        </is>
      </c>
      <c r="AZ360" t="inlineStr">
        <is>
          <t>BOOK</t>
        </is>
      </c>
      <c r="BB360" t="inlineStr">
        <is>
          <t>9780520035034</t>
        </is>
      </c>
      <c r="BC360" t="inlineStr">
        <is>
          <t>32285000095736</t>
        </is>
      </c>
      <c r="BD360" t="inlineStr">
        <is>
          <t>893503685</t>
        </is>
      </c>
    </row>
    <row r="361">
      <c r="A361" t="inlineStr">
        <is>
          <t>No</t>
        </is>
      </c>
      <c r="B361" t="inlineStr">
        <is>
          <t>HM22.G3 W4415</t>
        </is>
      </c>
      <c r="C361" t="inlineStr">
        <is>
          <t>0                      HM 0022000G  3                  W  4415</t>
        </is>
      </c>
      <c r="D361" t="inlineStr">
        <is>
          <t>Politics and sociology in the thought of Max Weber.</t>
        </is>
      </c>
      <c r="F361" t="inlineStr">
        <is>
          <t>No</t>
        </is>
      </c>
      <c r="G361" t="inlineStr">
        <is>
          <t>1</t>
        </is>
      </c>
      <c r="H361" t="inlineStr">
        <is>
          <t>No</t>
        </is>
      </c>
      <c r="I361" t="inlineStr">
        <is>
          <t>No</t>
        </is>
      </c>
      <c r="J361" t="inlineStr">
        <is>
          <t>0</t>
        </is>
      </c>
      <c r="K361" t="inlineStr">
        <is>
          <t>Giddens, Anthony.</t>
        </is>
      </c>
      <c r="L361" t="inlineStr">
        <is>
          <t>London, Macmillan, 1972.</t>
        </is>
      </c>
      <c r="M361" t="inlineStr">
        <is>
          <t>1972</t>
        </is>
      </c>
      <c r="O361" t="inlineStr">
        <is>
          <t>eng</t>
        </is>
      </c>
      <c r="P361" t="inlineStr">
        <is>
          <t>enk</t>
        </is>
      </c>
      <c r="Q361" t="inlineStr">
        <is>
          <t>Studies in sociology</t>
        </is>
      </c>
      <c r="R361" t="inlineStr">
        <is>
          <t xml:space="preserve">HM </t>
        </is>
      </c>
      <c r="S361" t="n">
        <v>1</v>
      </c>
      <c r="T361" t="n">
        <v>1</v>
      </c>
      <c r="U361" t="inlineStr">
        <is>
          <t>2000-11-27</t>
        </is>
      </c>
      <c r="V361" t="inlineStr">
        <is>
          <t>2000-11-27</t>
        </is>
      </c>
      <c r="W361" t="inlineStr">
        <is>
          <t>1997-07-25</t>
        </is>
      </c>
      <c r="X361" t="inlineStr">
        <is>
          <t>1997-07-25</t>
        </is>
      </c>
      <c r="Y361" t="n">
        <v>394</v>
      </c>
      <c r="Z361" t="n">
        <v>166</v>
      </c>
      <c r="AA361" t="n">
        <v>212</v>
      </c>
      <c r="AB361" t="n">
        <v>2</v>
      </c>
      <c r="AC361" t="n">
        <v>2</v>
      </c>
      <c r="AD361" t="n">
        <v>10</v>
      </c>
      <c r="AE361" t="n">
        <v>13</v>
      </c>
      <c r="AF361" t="n">
        <v>3</v>
      </c>
      <c r="AG361" t="n">
        <v>6</v>
      </c>
      <c r="AH361" t="n">
        <v>2</v>
      </c>
      <c r="AI361" t="n">
        <v>3</v>
      </c>
      <c r="AJ361" t="n">
        <v>8</v>
      </c>
      <c r="AK361" t="n">
        <v>9</v>
      </c>
      <c r="AL361" t="n">
        <v>1</v>
      </c>
      <c r="AM361" t="n">
        <v>1</v>
      </c>
      <c r="AN361" t="n">
        <v>0</v>
      </c>
      <c r="AO361" t="n">
        <v>0</v>
      </c>
      <c r="AP361" t="inlineStr">
        <is>
          <t>No</t>
        </is>
      </c>
      <c r="AQ361" t="inlineStr">
        <is>
          <t>Yes</t>
        </is>
      </c>
      <c r="AR361">
        <f>HYPERLINK("http://catalog.hathitrust.org/Record/000972279","HathiTrust Record")</f>
        <v/>
      </c>
      <c r="AS361">
        <f>HYPERLINK("https://creighton-primo.hosted.exlibrisgroup.com/primo-explore/search?tab=default_tab&amp;search_scope=EVERYTHING&amp;vid=01CRU&amp;lang=en_US&amp;offset=0&amp;query=any,contains,991002723599702656","Catalog Record")</f>
        <v/>
      </c>
      <c r="AT361">
        <f>HYPERLINK("http://www.worldcat.org/oclc/413639","WorldCat Record")</f>
        <v/>
      </c>
      <c r="AU361" t="inlineStr">
        <is>
          <t>1466991:eng</t>
        </is>
      </c>
      <c r="AV361" t="inlineStr">
        <is>
          <t>413639</t>
        </is>
      </c>
      <c r="AW361" t="inlineStr">
        <is>
          <t>991002723599702656</t>
        </is>
      </c>
      <c r="AX361" t="inlineStr">
        <is>
          <t>991002723599702656</t>
        </is>
      </c>
      <c r="AY361" t="inlineStr">
        <is>
          <t>2268051570002656</t>
        </is>
      </c>
      <c r="AZ361" t="inlineStr">
        <is>
          <t>BOOK</t>
        </is>
      </c>
      <c r="BB361" t="inlineStr">
        <is>
          <t>9780333134368</t>
        </is>
      </c>
      <c r="BC361" t="inlineStr">
        <is>
          <t>32285003007886</t>
        </is>
      </c>
      <c r="BD361" t="inlineStr">
        <is>
          <t>893698169</t>
        </is>
      </c>
    </row>
    <row r="362">
      <c r="A362" t="inlineStr">
        <is>
          <t>No</t>
        </is>
      </c>
      <c r="B362" t="inlineStr">
        <is>
          <t>HM22.G3 W45453 1982</t>
        </is>
      </c>
      <c r="C362" t="inlineStr">
        <is>
          <t>0                      HM 0022000G  3                  W  45453       1982</t>
        </is>
      </c>
      <c r="D362" t="inlineStr">
        <is>
          <t>Max Weber and Karl Marx / Karl Löwith ; edited with an introduction by Tom Bottomore and William Outhwaite ; translated by Hans Fantel.</t>
        </is>
      </c>
      <c r="F362" t="inlineStr">
        <is>
          <t>No</t>
        </is>
      </c>
      <c r="G362" t="inlineStr">
        <is>
          <t>1</t>
        </is>
      </c>
      <c r="H362" t="inlineStr">
        <is>
          <t>No</t>
        </is>
      </c>
      <c r="I362" t="inlineStr">
        <is>
          <t>No</t>
        </is>
      </c>
      <c r="J362" t="inlineStr">
        <is>
          <t>0</t>
        </is>
      </c>
      <c r="K362" t="inlineStr">
        <is>
          <t>Löwith, Karl, 1897-1973.</t>
        </is>
      </c>
      <c r="L362" t="inlineStr">
        <is>
          <t>London ; Boston : George Allen &amp; Unwin, 1982.</t>
        </is>
      </c>
      <c r="M362" t="inlineStr">
        <is>
          <t>1982</t>
        </is>
      </c>
      <c r="O362" t="inlineStr">
        <is>
          <t>eng</t>
        </is>
      </c>
      <c r="P362" t="inlineStr">
        <is>
          <t>enk</t>
        </is>
      </c>
      <c r="Q362" t="inlineStr">
        <is>
          <t>Controversies in sociology ; no. 12</t>
        </is>
      </c>
      <c r="R362" t="inlineStr">
        <is>
          <t xml:space="preserve">HM </t>
        </is>
      </c>
      <c r="S362" t="n">
        <v>7</v>
      </c>
      <c r="T362" t="n">
        <v>7</v>
      </c>
      <c r="U362" t="inlineStr">
        <is>
          <t>2001-11-06</t>
        </is>
      </c>
      <c r="V362" t="inlineStr">
        <is>
          <t>2001-11-06</t>
        </is>
      </c>
      <c r="W362" t="inlineStr">
        <is>
          <t>1990-04-03</t>
        </is>
      </c>
      <c r="X362" t="inlineStr">
        <is>
          <t>1990-04-03</t>
        </is>
      </c>
      <c r="Y362" t="n">
        <v>683</v>
      </c>
      <c r="Z362" t="n">
        <v>479</v>
      </c>
      <c r="AA362" t="n">
        <v>482</v>
      </c>
      <c r="AB362" t="n">
        <v>7</v>
      </c>
      <c r="AC362" t="n">
        <v>7</v>
      </c>
      <c r="AD362" t="n">
        <v>29</v>
      </c>
      <c r="AE362" t="n">
        <v>29</v>
      </c>
      <c r="AF362" t="n">
        <v>10</v>
      </c>
      <c r="AG362" t="n">
        <v>10</v>
      </c>
      <c r="AH362" t="n">
        <v>6</v>
      </c>
      <c r="AI362" t="n">
        <v>6</v>
      </c>
      <c r="AJ362" t="n">
        <v>13</v>
      </c>
      <c r="AK362" t="n">
        <v>13</v>
      </c>
      <c r="AL362" t="n">
        <v>6</v>
      </c>
      <c r="AM362" t="n">
        <v>6</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HYPERLINK("https://creighton-primo.hosted.exlibrisgroup.com/primo-explore/search?tab=default_tab&amp;search_scope=EVERYTHING&amp;vid=01CRU&amp;lang=en_US&amp;offset=0&amp;query=any,contains,991005247919702656","Catalog Record")</f>
        <v/>
      </c>
      <c r="AT362">
        <f>HYPERLINK("http://www.worldcat.org/oclc/8474816","WorldCat Record")</f>
        <v/>
      </c>
      <c r="AU362" t="inlineStr">
        <is>
          <t>3855853942:eng</t>
        </is>
      </c>
      <c r="AV362" t="inlineStr">
        <is>
          <t>8474816</t>
        </is>
      </c>
      <c r="AW362" t="inlineStr">
        <is>
          <t>991005247919702656</t>
        </is>
      </c>
      <c r="AX362" t="inlineStr">
        <is>
          <t>991005247919702656</t>
        </is>
      </c>
      <c r="AY362" t="inlineStr">
        <is>
          <t>2257589970002656</t>
        </is>
      </c>
      <c r="AZ362" t="inlineStr">
        <is>
          <t>BOOK</t>
        </is>
      </c>
      <c r="BB362" t="inlineStr">
        <is>
          <t>9780043011423</t>
        </is>
      </c>
      <c r="BC362" t="inlineStr">
        <is>
          <t>32285000108158</t>
        </is>
      </c>
      <c r="BD362" t="inlineStr">
        <is>
          <t>893720053</t>
        </is>
      </c>
    </row>
    <row r="363">
      <c r="A363" t="inlineStr">
        <is>
          <t>No</t>
        </is>
      </c>
      <c r="B363" t="inlineStr">
        <is>
          <t>HM22.G3 W455 1985</t>
        </is>
      </c>
      <c r="C363" t="inlineStr">
        <is>
          <t>0                      HM 0022000G  3                  W  455         1985</t>
        </is>
      </c>
      <c r="D363" t="inlineStr">
        <is>
          <t>The iron cage : an historical interpretation of Max Weber / Arthur Mitzman ; with a new introduction by the author ; preface by Lewis A. Coser.</t>
        </is>
      </c>
      <c r="F363" t="inlineStr">
        <is>
          <t>No</t>
        </is>
      </c>
      <c r="G363" t="inlineStr">
        <is>
          <t>1</t>
        </is>
      </c>
      <c r="H363" t="inlineStr">
        <is>
          <t>No</t>
        </is>
      </c>
      <c r="I363" t="inlineStr">
        <is>
          <t>No</t>
        </is>
      </c>
      <c r="J363" t="inlineStr">
        <is>
          <t>0</t>
        </is>
      </c>
      <c r="K363" t="inlineStr">
        <is>
          <t>Mitzman, Arthur, 1931-</t>
        </is>
      </c>
      <c r="L363" t="inlineStr">
        <is>
          <t>New Brunswick, NJ, U.S.A. : Transaction Books, 1985, c1969.</t>
        </is>
      </c>
      <c r="M363" t="inlineStr">
        <is>
          <t>1985</t>
        </is>
      </c>
      <c r="O363" t="inlineStr">
        <is>
          <t>eng</t>
        </is>
      </c>
      <c r="P363" t="inlineStr">
        <is>
          <t>nju</t>
        </is>
      </c>
      <c r="R363" t="inlineStr">
        <is>
          <t xml:space="preserve">HM </t>
        </is>
      </c>
      <c r="S363" t="n">
        <v>3</v>
      </c>
      <c r="T363" t="n">
        <v>3</v>
      </c>
      <c r="U363" t="inlineStr">
        <is>
          <t>2000-11-27</t>
        </is>
      </c>
      <c r="V363" t="inlineStr">
        <is>
          <t>2000-11-27</t>
        </is>
      </c>
      <c r="W363" t="inlineStr">
        <is>
          <t>1990-11-13</t>
        </is>
      </c>
      <c r="X363" t="inlineStr">
        <is>
          <t>1990-11-13</t>
        </is>
      </c>
      <c r="Y363" t="n">
        <v>161</v>
      </c>
      <c r="Z363" t="n">
        <v>117</v>
      </c>
      <c r="AA363" t="n">
        <v>826</v>
      </c>
      <c r="AB363" t="n">
        <v>2</v>
      </c>
      <c r="AC363" t="n">
        <v>6</v>
      </c>
      <c r="AD363" t="n">
        <v>5</v>
      </c>
      <c r="AE363" t="n">
        <v>40</v>
      </c>
      <c r="AF363" t="n">
        <v>1</v>
      </c>
      <c r="AG363" t="n">
        <v>16</v>
      </c>
      <c r="AH363" t="n">
        <v>3</v>
      </c>
      <c r="AI363" t="n">
        <v>9</v>
      </c>
      <c r="AJ363" t="n">
        <v>3</v>
      </c>
      <c r="AK363" t="n">
        <v>18</v>
      </c>
      <c r="AL363" t="n">
        <v>1</v>
      </c>
      <c r="AM363" t="n">
        <v>5</v>
      </c>
      <c r="AN363" t="n">
        <v>0</v>
      </c>
      <c r="AO363" t="n">
        <v>1</v>
      </c>
      <c r="AP363" t="inlineStr">
        <is>
          <t>No</t>
        </is>
      </c>
      <c r="AQ363" t="inlineStr">
        <is>
          <t>No</t>
        </is>
      </c>
      <c r="AS363">
        <f>HYPERLINK("https://creighton-primo.hosted.exlibrisgroup.com/primo-explore/search?tab=default_tab&amp;search_scope=EVERYTHING&amp;vid=01CRU&amp;lang=en_US&amp;offset=0&amp;query=any,contains,991000483699702656","Catalog Record")</f>
        <v/>
      </c>
      <c r="AT363">
        <f>HYPERLINK("http://www.worldcat.org/oclc/11067464","WorldCat Record")</f>
        <v/>
      </c>
      <c r="AU363" t="inlineStr">
        <is>
          <t>1168699:eng</t>
        </is>
      </c>
      <c r="AV363" t="inlineStr">
        <is>
          <t>11067464</t>
        </is>
      </c>
      <c r="AW363" t="inlineStr">
        <is>
          <t>991000483699702656</t>
        </is>
      </c>
      <c r="AX363" t="inlineStr">
        <is>
          <t>991000483699702656</t>
        </is>
      </c>
      <c r="AY363" t="inlineStr">
        <is>
          <t>2261097880002656</t>
        </is>
      </c>
      <c r="AZ363" t="inlineStr">
        <is>
          <t>BOOK</t>
        </is>
      </c>
      <c r="BB363" t="inlineStr">
        <is>
          <t>9780878559848</t>
        </is>
      </c>
      <c r="BC363" t="inlineStr">
        <is>
          <t>32285000314764</t>
        </is>
      </c>
      <c r="BD363" t="inlineStr">
        <is>
          <t>893802807</t>
        </is>
      </c>
    </row>
    <row r="364">
      <c r="A364" t="inlineStr">
        <is>
          <t>No</t>
        </is>
      </c>
      <c r="B364" t="inlineStr">
        <is>
          <t>HM22.G3 W4576 1988</t>
        </is>
      </c>
      <c r="C364" t="inlineStr">
        <is>
          <t>0                      HM 0022000G  3                  W  4576        1988</t>
        </is>
      </c>
      <c r="D364" t="inlineStr">
        <is>
          <t>Weber, irrationality, and social order / Alan Sica.</t>
        </is>
      </c>
      <c r="F364" t="inlineStr">
        <is>
          <t>No</t>
        </is>
      </c>
      <c r="G364" t="inlineStr">
        <is>
          <t>1</t>
        </is>
      </c>
      <c r="H364" t="inlineStr">
        <is>
          <t>No</t>
        </is>
      </c>
      <c r="I364" t="inlineStr">
        <is>
          <t>No</t>
        </is>
      </c>
      <c r="J364" t="inlineStr">
        <is>
          <t>0</t>
        </is>
      </c>
      <c r="K364" t="inlineStr">
        <is>
          <t>Sica, Alan, 1949-</t>
        </is>
      </c>
      <c r="L364" t="inlineStr">
        <is>
          <t>Berkeley : University of California Press, c1988.</t>
        </is>
      </c>
      <c r="M364" t="inlineStr">
        <is>
          <t>1988</t>
        </is>
      </c>
      <c r="O364" t="inlineStr">
        <is>
          <t>eng</t>
        </is>
      </c>
      <c r="P364" t="inlineStr">
        <is>
          <t>cau</t>
        </is>
      </c>
      <c r="R364" t="inlineStr">
        <is>
          <t xml:space="preserve">HM </t>
        </is>
      </c>
      <c r="S364" t="n">
        <v>3</v>
      </c>
      <c r="T364" t="n">
        <v>3</v>
      </c>
      <c r="U364" t="inlineStr">
        <is>
          <t>1995-11-20</t>
        </is>
      </c>
      <c r="V364" t="inlineStr">
        <is>
          <t>1995-11-20</t>
        </is>
      </c>
      <c r="W364" t="inlineStr">
        <is>
          <t>1989-11-16</t>
        </is>
      </c>
      <c r="X364" t="inlineStr">
        <is>
          <t>1989-11-16</t>
        </is>
      </c>
      <c r="Y364" t="n">
        <v>599</v>
      </c>
      <c r="Z364" t="n">
        <v>478</v>
      </c>
      <c r="AA364" t="n">
        <v>480</v>
      </c>
      <c r="AB364" t="n">
        <v>5</v>
      </c>
      <c r="AC364" t="n">
        <v>5</v>
      </c>
      <c r="AD364" t="n">
        <v>28</v>
      </c>
      <c r="AE364" t="n">
        <v>28</v>
      </c>
      <c r="AF364" t="n">
        <v>6</v>
      </c>
      <c r="AG364" t="n">
        <v>6</v>
      </c>
      <c r="AH364" t="n">
        <v>8</v>
      </c>
      <c r="AI364" t="n">
        <v>8</v>
      </c>
      <c r="AJ364" t="n">
        <v>16</v>
      </c>
      <c r="AK364" t="n">
        <v>16</v>
      </c>
      <c r="AL364" t="n">
        <v>4</v>
      </c>
      <c r="AM364" t="n">
        <v>4</v>
      </c>
      <c r="AN364" t="n">
        <v>2</v>
      </c>
      <c r="AO364" t="n">
        <v>2</v>
      </c>
      <c r="AP364" t="inlineStr">
        <is>
          <t>No</t>
        </is>
      </c>
      <c r="AQ364" t="inlineStr">
        <is>
          <t>No</t>
        </is>
      </c>
      <c r="AS364">
        <f>HYPERLINK("https://creighton-primo.hosted.exlibrisgroup.com/primo-explore/search?tab=default_tab&amp;search_scope=EVERYTHING&amp;vid=01CRU&amp;lang=en_US&amp;offset=0&amp;query=any,contains,991001285299702656","Catalog Record")</f>
        <v/>
      </c>
      <c r="AT364">
        <f>HYPERLINK("http://www.worldcat.org/oclc/17953733","WorldCat Record")</f>
        <v/>
      </c>
      <c r="AU364" t="inlineStr">
        <is>
          <t>16321798:eng</t>
        </is>
      </c>
      <c r="AV364" t="inlineStr">
        <is>
          <t>17953733</t>
        </is>
      </c>
      <c r="AW364" t="inlineStr">
        <is>
          <t>991001285299702656</t>
        </is>
      </c>
      <c r="AX364" t="inlineStr">
        <is>
          <t>991001285299702656</t>
        </is>
      </c>
      <c r="AY364" t="inlineStr">
        <is>
          <t>2271946630002656</t>
        </is>
      </c>
      <c r="AZ364" t="inlineStr">
        <is>
          <t>BOOK</t>
        </is>
      </c>
      <c r="BB364" t="inlineStr">
        <is>
          <t>9780520061491</t>
        </is>
      </c>
      <c r="BC364" t="inlineStr">
        <is>
          <t>32285000013044</t>
        </is>
      </c>
      <c r="BD364" t="inlineStr">
        <is>
          <t>893621234</t>
        </is>
      </c>
    </row>
    <row r="365">
      <c r="A365" t="inlineStr">
        <is>
          <t>No</t>
        </is>
      </c>
      <c r="B365" t="inlineStr">
        <is>
          <t>HM22.G8 G543 1990</t>
        </is>
      </c>
      <c r="C365" t="inlineStr">
        <is>
          <t>0                      HM 0022000G  8                  G  543         1990</t>
        </is>
      </c>
      <c r="D365" t="inlineStr">
        <is>
          <t>Anthony Giddens : consensus and controversy / edited by Jon Clark, Celia Modgil, Sohan Modgil.</t>
        </is>
      </c>
      <c r="F365" t="inlineStr">
        <is>
          <t>No</t>
        </is>
      </c>
      <c r="G365" t="inlineStr">
        <is>
          <t>1</t>
        </is>
      </c>
      <c r="H365" t="inlineStr">
        <is>
          <t>No</t>
        </is>
      </c>
      <c r="I365" t="inlineStr">
        <is>
          <t>No</t>
        </is>
      </c>
      <c r="J365" t="inlineStr">
        <is>
          <t>0</t>
        </is>
      </c>
      <c r="L365" t="inlineStr">
        <is>
          <t>London ; New York : Falmer Press, 1990.</t>
        </is>
      </c>
      <c r="M365" t="inlineStr">
        <is>
          <t>1990</t>
        </is>
      </c>
      <c r="O365" t="inlineStr">
        <is>
          <t>eng</t>
        </is>
      </c>
      <c r="P365" t="inlineStr">
        <is>
          <t>enk</t>
        </is>
      </c>
      <c r="Q365" t="inlineStr">
        <is>
          <t>Consensus and controversy. Falmer sociology series ; 2</t>
        </is>
      </c>
      <c r="R365" t="inlineStr">
        <is>
          <t xml:space="preserve">HM </t>
        </is>
      </c>
      <c r="S365" t="n">
        <v>5</v>
      </c>
      <c r="T365" t="n">
        <v>5</v>
      </c>
      <c r="U365" t="inlineStr">
        <is>
          <t>2003-06-20</t>
        </is>
      </c>
      <c r="V365" t="inlineStr">
        <is>
          <t>2003-06-20</t>
        </is>
      </c>
      <c r="W365" t="inlineStr">
        <is>
          <t>1991-06-24</t>
        </is>
      </c>
      <c r="X365" t="inlineStr">
        <is>
          <t>1991-06-24</t>
        </is>
      </c>
      <c r="Y365" t="n">
        <v>348</v>
      </c>
      <c r="Z365" t="n">
        <v>191</v>
      </c>
      <c r="AA365" t="n">
        <v>198</v>
      </c>
      <c r="AB365" t="n">
        <v>2</v>
      </c>
      <c r="AC365" t="n">
        <v>2</v>
      </c>
      <c r="AD365" t="n">
        <v>11</v>
      </c>
      <c r="AE365" t="n">
        <v>11</v>
      </c>
      <c r="AF365" t="n">
        <v>2</v>
      </c>
      <c r="AG365" t="n">
        <v>2</v>
      </c>
      <c r="AH365" t="n">
        <v>5</v>
      </c>
      <c r="AI365" t="n">
        <v>5</v>
      </c>
      <c r="AJ365" t="n">
        <v>6</v>
      </c>
      <c r="AK365" t="n">
        <v>6</v>
      </c>
      <c r="AL365" t="n">
        <v>1</v>
      </c>
      <c r="AM365" t="n">
        <v>1</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HYPERLINK("https://creighton-primo.hosted.exlibrisgroup.com/primo-explore/search?tab=default_tab&amp;search_scope=EVERYTHING&amp;vid=01CRU&amp;lang=en_US&amp;offset=0&amp;query=any,contains,991001642179702656","Catalog Record")</f>
        <v/>
      </c>
      <c r="AT365">
        <f>HYPERLINK("http://www.worldcat.org/oclc/21035613","WorldCat Record")</f>
        <v/>
      </c>
      <c r="AU365" t="inlineStr">
        <is>
          <t>837065579:eng</t>
        </is>
      </c>
      <c r="AV365" t="inlineStr">
        <is>
          <t>21035613</t>
        </is>
      </c>
      <c r="AW365" t="inlineStr">
        <is>
          <t>991001642179702656</t>
        </is>
      </c>
      <c r="AX365" t="inlineStr">
        <is>
          <t>991001642179702656</t>
        </is>
      </c>
      <c r="AY365" t="inlineStr">
        <is>
          <t>2255507690002656</t>
        </is>
      </c>
      <c r="AZ365" t="inlineStr">
        <is>
          <t>BOOK</t>
        </is>
      </c>
      <c r="BB365" t="inlineStr">
        <is>
          <t>9781850005483</t>
        </is>
      </c>
      <c r="BC365" t="inlineStr">
        <is>
          <t>32285000658384</t>
        </is>
      </c>
      <c r="BD365" t="inlineStr">
        <is>
          <t>893439265</t>
        </is>
      </c>
    </row>
    <row r="366">
      <c r="A366" t="inlineStr">
        <is>
          <t>No</t>
        </is>
      </c>
      <c r="B366" t="inlineStr">
        <is>
          <t>HM22.G8 M354 1978</t>
        </is>
      </c>
      <c r="C366" t="inlineStr">
        <is>
          <t>0                      HM 0022000G  8                  M  354         1978</t>
        </is>
      </c>
      <c r="D366" t="inlineStr">
        <is>
          <t>The social thought of Bernard Mandeville : virtue and commerce in early eighteenth-century England / Thomas A. Horne.</t>
        </is>
      </c>
      <c r="F366" t="inlineStr">
        <is>
          <t>No</t>
        </is>
      </c>
      <c r="G366" t="inlineStr">
        <is>
          <t>1</t>
        </is>
      </c>
      <c r="H366" t="inlineStr">
        <is>
          <t>No</t>
        </is>
      </c>
      <c r="I366" t="inlineStr">
        <is>
          <t>No</t>
        </is>
      </c>
      <c r="J366" t="inlineStr">
        <is>
          <t>0</t>
        </is>
      </c>
      <c r="K366" t="inlineStr">
        <is>
          <t>Horne, Thomas A. (Thomas Allen), 1947-</t>
        </is>
      </c>
      <c r="L366" t="inlineStr">
        <is>
          <t>New York : Columbia University Press, 1978.</t>
        </is>
      </c>
      <c r="M366" t="inlineStr">
        <is>
          <t>1978</t>
        </is>
      </c>
      <c r="O366" t="inlineStr">
        <is>
          <t>eng</t>
        </is>
      </c>
      <c r="P366" t="inlineStr">
        <is>
          <t>nyu</t>
        </is>
      </c>
      <c r="R366" t="inlineStr">
        <is>
          <t xml:space="preserve">HM </t>
        </is>
      </c>
      <c r="S366" t="n">
        <v>6</v>
      </c>
      <c r="T366" t="n">
        <v>6</v>
      </c>
      <c r="U366" t="inlineStr">
        <is>
          <t>2010-04-14</t>
        </is>
      </c>
      <c r="V366" t="inlineStr">
        <is>
          <t>2010-04-14</t>
        </is>
      </c>
      <c r="W366" t="inlineStr">
        <is>
          <t>1992-08-05</t>
        </is>
      </c>
      <c r="X366" t="inlineStr">
        <is>
          <t>1992-08-05</t>
        </is>
      </c>
      <c r="Y366" t="n">
        <v>425</v>
      </c>
      <c r="Z366" t="n">
        <v>361</v>
      </c>
      <c r="AA366" t="n">
        <v>383</v>
      </c>
      <c r="AB366" t="n">
        <v>4</v>
      </c>
      <c r="AC366" t="n">
        <v>4</v>
      </c>
      <c r="AD366" t="n">
        <v>27</v>
      </c>
      <c r="AE366" t="n">
        <v>27</v>
      </c>
      <c r="AF366" t="n">
        <v>9</v>
      </c>
      <c r="AG366" t="n">
        <v>9</v>
      </c>
      <c r="AH366" t="n">
        <v>11</v>
      </c>
      <c r="AI366" t="n">
        <v>11</v>
      </c>
      <c r="AJ366" t="n">
        <v>14</v>
      </c>
      <c r="AK366" t="n">
        <v>14</v>
      </c>
      <c r="AL366" t="n">
        <v>3</v>
      </c>
      <c r="AM366" t="n">
        <v>3</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HYPERLINK("https://creighton-primo.hosted.exlibrisgroup.com/primo-explore/search?tab=default_tab&amp;search_scope=EVERYTHING&amp;vid=01CRU&amp;lang=en_US&amp;offset=0&amp;query=any,contains,991004319449702656","Catalog Record")</f>
        <v/>
      </c>
      <c r="AT366">
        <f>HYPERLINK("http://www.worldcat.org/oclc/3016729","WorldCat Record")</f>
        <v/>
      </c>
      <c r="AU366" t="inlineStr">
        <is>
          <t>4783125966:eng</t>
        </is>
      </c>
      <c r="AV366" t="inlineStr">
        <is>
          <t>3016729</t>
        </is>
      </c>
      <c r="AW366" t="inlineStr">
        <is>
          <t>991004319449702656</t>
        </is>
      </c>
      <c r="AX366" t="inlineStr">
        <is>
          <t>991004319449702656</t>
        </is>
      </c>
      <c r="AY366" t="inlineStr">
        <is>
          <t>2271454140002656</t>
        </is>
      </c>
      <c r="AZ366" t="inlineStr">
        <is>
          <t>BOOK</t>
        </is>
      </c>
      <c r="BB366" t="inlineStr">
        <is>
          <t>9780231042741</t>
        </is>
      </c>
      <c r="BC366" t="inlineStr">
        <is>
          <t>32285001193423</t>
        </is>
      </c>
      <c r="BD366" t="inlineStr">
        <is>
          <t>893800851</t>
        </is>
      </c>
    </row>
    <row r="367">
      <c r="A367" t="inlineStr">
        <is>
          <t>No</t>
        </is>
      </c>
      <c r="B367" t="inlineStr">
        <is>
          <t>HM22.G8 S75 1971b</t>
        </is>
      </c>
      <c r="C367" t="inlineStr">
        <is>
          <t>0                      HM 0022000G  8                  S  75          1971b</t>
        </is>
      </c>
      <c r="D367" t="inlineStr">
        <is>
          <t>Herbert Spencer : the evolution of a sociologist / [by] J. D. Y. Peel.</t>
        </is>
      </c>
      <c r="F367" t="inlineStr">
        <is>
          <t>No</t>
        </is>
      </c>
      <c r="G367" t="inlineStr">
        <is>
          <t>1</t>
        </is>
      </c>
      <c r="H367" t="inlineStr">
        <is>
          <t>No</t>
        </is>
      </c>
      <c r="I367" t="inlineStr">
        <is>
          <t>No</t>
        </is>
      </c>
      <c r="J367" t="inlineStr">
        <is>
          <t>0</t>
        </is>
      </c>
      <c r="K367" t="inlineStr">
        <is>
          <t>Peel, J. D. Y. (John David Yeadon), 1941-2015.</t>
        </is>
      </c>
      <c r="L367" t="inlineStr">
        <is>
          <t>New York : Basic Books, [1971]</t>
        </is>
      </c>
      <c r="M367" t="inlineStr">
        <is>
          <t>1971</t>
        </is>
      </c>
      <c r="O367" t="inlineStr">
        <is>
          <t>eng</t>
        </is>
      </c>
      <c r="P367" t="inlineStr">
        <is>
          <t>nyu</t>
        </is>
      </c>
      <c r="R367" t="inlineStr">
        <is>
          <t xml:space="preserve">HM </t>
        </is>
      </c>
      <c r="S367" t="n">
        <v>5</v>
      </c>
      <c r="T367" t="n">
        <v>5</v>
      </c>
      <c r="U367" t="inlineStr">
        <is>
          <t>2000-11-08</t>
        </is>
      </c>
      <c r="V367" t="inlineStr">
        <is>
          <t>2000-11-08</t>
        </is>
      </c>
      <c r="W367" t="inlineStr">
        <is>
          <t>1992-03-23</t>
        </is>
      </c>
      <c r="X367" t="inlineStr">
        <is>
          <t>1992-03-23</t>
        </is>
      </c>
      <c r="Y367" t="n">
        <v>691</v>
      </c>
      <c r="Z367" t="n">
        <v>647</v>
      </c>
      <c r="AA367" t="n">
        <v>741</v>
      </c>
      <c r="AB367" t="n">
        <v>7</v>
      </c>
      <c r="AC367" t="n">
        <v>8</v>
      </c>
      <c r="AD367" t="n">
        <v>31</v>
      </c>
      <c r="AE367" t="n">
        <v>35</v>
      </c>
      <c r="AF367" t="n">
        <v>13</v>
      </c>
      <c r="AG367" t="n">
        <v>14</v>
      </c>
      <c r="AH367" t="n">
        <v>7</v>
      </c>
      <c r="AI367" t="n">
        <v>8</v>
      </c>
      <c r="AJ367" t="n">
        <v>11</v>
      </c>
      <c r="AK367" t="n">
        <v>14</v>
      </c>
      <c r="AL367" t="n">
        <v>6</v>
      </c>
      <c r="AM367" t="n">
        <v>7</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HYPERLINK("https://creighton-primo.hosted.exlibrisgroup.com/primo-explore/search?tab=default_tab&amp;search_scope=EVERYTHING&amp;vid=01CRU&amp;lang=en_US&amp;offset=0&amp;query=any,contains,991000850069702656","Catalog Record")</f>
        <v/>
      </c>
      <c r="AT367">
        <f>HYPERLINK("http://www.worldcat.org/oclc/148991","WorldCat Record")</f>
        <v/>
      </c>
      <c r="AU367" t="inlineStr">
        <is>
          <t>1181759:eng</t>
        </is>
      </c>
      <c r="AV367" t="inlineStr">
        <is>
          <t>148991</t>
        </is>
      </c>
      <c r="AW367" t="inlineStr">
        <is>
          <t>991000850069702656</t>
        </is>
      </c>
      <c r="AX367" t="inlineStr">
        <is>
          <t>991000850069702656</t>
        </is>
      </c>
      <c r="AY367" t="inlineStr">
        <is>
          <t>2260073190002656</t>
        </is>
      </c>
      <c r="AZ367" t="inlineStr">
        <is>
          <t>BOOK</t>
        </is>
      </c>
      <c r="BB367" t="inlineStr">
        <is>
          <t>9780465029228</t>
        </is>
      </c>
      <c r="BC367" t="inlineStr">
        <is>
          <t>32285001026292</t>
        </is>
      </c>
      <c r="BD367" t="inlineStr">
        <is>
          <t>893784574</t>
        </is>
      </c>
    </row>
    <row r="368">
      <c r="A368" t="inlineStr">
        <is>
          <t>No</t>
        </is>
      </c>
      <c r="B368" t="inlineStr">
        <is>
          <t>HM22.G8 S77 1965</t>
        </is>
      </c>
      <c r="C368" t="inlineStr">
        <is>
          <t>0                      HM 0022000G  8                  S  77          1965</t>
        </is>
      </c>
      <c r="D368" t="inlineStr">
        <is>
          <t>Herbert Spencer's sociology : a study in the history of social theory.</t>
        </is>
      </c>
      <c r="F368" t="inlineStr">
        <is>
          <t>No</t>
        </is>
      </c>
      <c r="G368" t="inlineStr">
        <is>
          <t>1</t>
        </is>
      </c>
      <c r="H368" t="inlineStr">
        <is>
          <t>No</t>
        </is>
      </c>
      <c r="I368" t="inlineStr">
        <is>
          <t>No</t>
        </is>
      </c>
      <c r="J368" t="inlineStr">
        <is>
          <t>0</t>
        </is>
      </c>
      <c r="K368" t="inlineStr">
        <is>
          <t>Rumney, Jay, 1905-1957.</t>
        </is>
      </c>
      <c r="L368" t="inlineStr">
        <is>
          <t>New York : Atherton Press, c1965.</t>
        </is>
      </c>
      <c r="M368" t="inlineStr">
        <is>
          <t>1965</t>
        </is>
      </c>
      <c r="O368" t="inlineStr">
        <is>
          <t>eng</t>
        </is>
      </c>
      <c r="P368" t="inlineStr">
        <is>
          <t>nyu</t>
        </is>
      </c>
      <c r="Q368" t="inlineStr">
        <is>
          <t>An Atheling book, SP502</t>
        </is>
      </c>
      <c r="R368" t="inlineStr">
        <is>
          <t xml:space="preserve">HM </t>
        </is>
      </c>
      <c r="S368" t="n">
        <v>2</v>
      </c>
      <c r="T368" t="n">
        <v>2</v>
      </c>
      <c r="U368" t="inlineStr">
        <is>
          <t>2000-11-17</t>
        </is>
      </c>
      <c r="V368" t="inlineStr">
        <is>
          <t>2000-11-17</t>
        </is>
      </c>
      <c r="W368" t="inlineStr">
        <is>
          <t>1992-03-23</t>
        </is>
      </c>
      <c r="X368" t="inlineStr">
        <is>
          <t>1992-03-23</t>
        </is>
      </c>
      <c r="Y368" t="n">
        <v>72</v>
      </c>
      <c r="Z368" t="n">
        <v>49</v>
      </c>
      <c r="AA368" t="n">
        <v>351</v>
      </c>
      <c r="AB368" t="n">
        <v>1</v>
      </c>
      <c r="AC368" t="n">
        <v>5</v>
      </c>
      <c r="AD368" t="n">
        <v>3</v>
      </c>
      <c r="AE368" t="n">
        <v>21</v>
      </c>
      <c r="AF368" t="n">
        <v>2</v>
      </c>
      <c r="AG368" t="n">
        <v>8</v>
      </c>
      <c r="AH368" t="n">
        <v>1</v>
      </c>
      <c r="AI368" t="n">
        <v>6</v>
      </c>
      <c r="AJ368" t="n">
        <v>1</v>
      </c>
      <c r="AK368" t="n">
        <v>8</v>
      </c>
      <c r="AL368" t="n">
        <v>0</v>
      </c>
      <c r="AM368" t="n">
        <v>4</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HYPERLINK("https://creighton-primo.hosted.exlibrisgroup.com/primo-explore/search?tab=default_tab&amp;search_scope=EVERYTHING&amp;vid=01CRU&amp;lang=en_US&amp;offset=0&amp;query=any,contains,991000982069702656","Catalog Record")</f>
        <v/>
      </c>
      <c r="AT368">
        <f>HYPERLINK("http://www.worldcat.org/oclc/15044741","WorldCat Record")</f>
        <v/>
      </c>
      <c r="AU368" t="inlineStr">
        <is>
          <t>5090380643:eng</t>
        </is>
      </c>
      <c r="AV368" t="inlineStr">
        <is>
          <t>15044741</t>
        </is>
      </c>
      <c r="AW368" t="inlineStr">
        <is>
          <t>991000982069702656</t>
        </is>
      </c>
      <c r="AX368" t="inlineStr">
        <is>
          <t>991000982069702656</t>
        </is>
      </c>
      <c r="AY368" t="inlineStr">
        <is>
          <t>2263562920002656</t>
        </is>
      </c>
      <c r="AZ368" t="inlineStr">
        <is>
          <t>BOOK</t>
        </is>
      </c>
      <c r="BC368" t="inlineStr">
        <is>
          <t>32285001026284</t>
        </is>
      </c>
      <c r="BD368" t="inlineStr">
        <is>
          <t>893772195</t>
        </is>
      </c>
    </row>
    <row r="369">
      <c r="A369" t="inlineStr">
        <is>
          <t>No</t>
        </is>
      </c>
      <c r="B369" t="inlineStr">
        <is>
          <t>HM22.G8 S78</t>
        </is>
      </c>
      <c r="C369" t="inlineStr">
        <is>
          <t>0                      HM 0022000G  8                  S  78</t>
        </is>
      </c>
      <c r="D369" t="inlineStr">
        <is>
          <t>The social and political thought of Herbert Spencer / by David Wiltshire. --</t>
        </is>
      </c>
      <c r="F369" t="inlineStr">
        <is>
          <t>No</t>
        </is>
      </c>
      <c r="G369" t="inlineStr">
        <is>
          <t>1</t>
        </is>
      </c>
      <c r="H369" t="inlineStr">
        <is>
          <t>No</t>
        </is>
      </c>
      <c r="I369" t="inlineStr">
        <is>
          <t>No</t>
        </is>
      </c>
      <c r="J369" t="inlineStr">
        <is>
          <t>0</t>
        </is>
      </c>
      <c r="K369" t="inlineStr">
        <is>
          <t>Wiltshire, David.</t>
        </is>
      </c>
      <c r="L369" t="inlineStr">
        <is>
          <t>Oxford [Eng.] ; New York : Oxford University Press, 1978.</t>
        </is>
      </c>
      <c r="M369" t="inlineStr">
        <is>
          <t>1978</t>
        </is>
      </c>
      <c r="O369" t="inlineStr">
        <is>
          <t>eng</t>
        </is>
      </c>
      <c r="P369" t="inlineStr">
        <is>
          <t>enk</t>
        </is>
      </c>
      <c r="Q369" t="inlineStr">
        <is>
          <t>Oxford historical monographs</t>
        </is>
      </c>
      <c r="R369" t="inlineStr">
        <is>
          <t xml:space="preserve">HM </t>
        </is>
      </c>
      <c r="S369" t="n">
        <v>9</v>
      </c>
      <c r="T369" t="n">
        <v>9</v>
      </c>
      <c r="U369" t="inlineStr">
        <is>
          <t>2000-11-17</t>
        </is>
      </c>
      <c r="V369" t="inlineStr">
        <is>
          <t>2000-11-17</t>
        </is>
      </c>
      <c r="W369" t="inlineStr">
        <is>
          <t>1992-03-23</t>
        </is>
      </c>
      <c r="X369" t="inlineStr">
        <is>
          <t>1992-03-23</t>
        </is>
      </c>
      <c r="Y369" t="n">
        <v>573</v>
      </c>
      <c r="Z369" t="n">
        <v>416</v>
      </c>
      <c r="AA369" t="n">
        <v>423</v>
      </c>
      <c r="AB369" t="n">
        <v>5</v>
      </c>
      <c r="AC369" t="n">
        <v>5</v>
      </c>
      <c r="AD369" t="n">
        <v>22</v>
      </c>
      <c r="AE369" t="n">
        <v>22</v>
      </c>
      <c r="AF369" t="n">
        <v>8</v>
      </c>
      <c r="AG369" t="n">
        <v>8</v>
      </c>
      <c r="AH369" t="n">
        <v>3</v>
      </c>
      <c r="AI369" t="n">
        <v>3</v>
      </c>
      <c r="AJ369" t="n">
        <v>13</v>
      </c>
      <c r="AK369" t="n">
        <v>13</v>
      </c>
      <c r="AL369" t="n">
        <v>4</v>
      </c>
      <c r="AM369" t="n">
        <v>4</v>
      </c>
      <c r="AN369" t="n">
        <v>0</v>
      </c>
      <c r="AO369" t="n">
        <v>0</v>
      </c>
      <c r="AP369" t="inlineStr">
        <is>
          <t>No</t>
        </is>
      </c>
      <c r="AQ369" t="inlineStr">
        <is>
          <t>Yes</t>
        </is>
      </c>
      <c r="AR369">
        <f>HYPERLINK("http://catalog.hathitrust.org/Record/000747946","HathiTrust Record")</f>
        <v/>
      </c>
      <c r="AS369">
        <f>HYPERLINK("https://creighton-primo.hosted.exlibrisgroup.com/primo-explore/search?tab=default_tab&amp;search_scope=EVERYTHING&amp;vid=01CRU&amp;lang=en_US&amp;offset=0&amp;query=any,contains,991004399709702656","Catalog Record")</f>
        <v/>
      </c>
      <c r="AT369">
        <f>HYPERLINK("http://www.worldcat.org/oclc/3294497","WorldCat Record")</f>
        <v/>
      </c>
      <c r="AU369" t="inlineStr">
        <is>
          <t>9670939:eng</t>
        </is>
      </c>
      <c r="AV369" t="inlineStr">
        <is>
          <t>3294497</t>
        </is>
      </c>
      <c r="AW369" t="inlineStr">
        <is>
          <t>991004399709702656</t>
        </is>
      </c>
      <c r="AX369" t="inlineStr">
        <is>
          <t>991004399709702656</t>
        </is>
      </c>
      <c r="AY369" t="inlineStr">
        <is>
          <t>2257155310002656</t>
        </is>
      </c>
      <c r="AZ369" t="inlineStr">
        <is>
          <t>BOOK</t>
        </is>
      </c>
      <c r="BB369" t="inlineStr">
        <is>
          <t>9780198218739</t>
        </is>
      </c>
      <c r="BC369" t="inlineStr">
        <is>
          <t>32285001026276</t>
        </is>
      </c>
      <c r="BD369" t="inlineStr">
        <is>
          <t>893894951</t>
        </is>
      </c>
    </row>
    <row r="370">
      <c r="A370" t="inlineStr">
        <is>
          <t>No</t>
        </is>
      </c>
      <c r="B370" t="inlineStr">
        <is>
          <t>HM22.I5 M34 1995</t>
        </is>
      </c>
      <c r="C370" t="inlineStr">
        <is>
          <t>0                      HM 0022000I  5                  M  34          1995</t>
        </is>
      </c>
      <c r="D370" t="inlineStr">
        <is>
          <t>Pathways : approaches to the study of society in India / T.N. Madan.</t>
        </is>
      </c>
      <c r="F370" t="inlineStr">
        <is>
          <t>No</t>
        </is>
      </c>
      <c r="G370" t="inlineStr">
        <is>
          <t>1</t>
        </is>
      </c>
      <c r="H370" t="inlineStr">
        <is>
          <t>No</t>
        </is>
      </c>
      <c r="I370" t="inlineStr">
        <is>
          <t>No</t>
        </is>
      </c>
      <c r="J370" t="inlineStr">
        <is>
          <t>0</t>
        </is>
      </c>
      <c r="K370" t="inlineStr">
        <is>
          <t>Madan, T. N.</t>
        </is>
      </c>
      <c r="L370" t="inlineStr">
        <is>
          <t>Delhi : Oxford University Press, 1995.</t>
        </is>
      </c>
      <c r="M370" t="inlineStr">
        <is>
          <t>1995</t>
        </is>
      </c>
      <c r="O370" t="inlineStr">
        <is>
          <t>eng</t>
        </is>
      </c>
      <c r="P370" t="inlineStr">
        <is>
          <t xml:space="preserve">ii </t>
        </is>
      </c>
      <c r="Q370" t="inlineStr">
        <is>
          <t>Oxford India paperbacks</t>
        </is>
      </c>
      <c r="R370" t="inlineStr">
        <is>
          <t xml:space="preserve">HM </t>
        </is>
      </c>
      <c r="S370" t="n">
        <v>1</v>
      </c>
      <c r="T370" t="n">
        <v>1</v>
      </c>
      <c r="U370" t="inlineStr">
        <is>
          <t>2005-10-19</t>
        </is>
      </c>
      <c r="V370" t="inlineStr">
        <is>
          <t>2005-10-19</t>
        </is>
      </c>
      <c r="W370" t="inlineStr">
        <is>
          <t>2005-10-19</t>
        </is>
      </c>
      <c r="X370" t="inlineStr">
        <is>
          <t>2005-10-19</t>
        </is>
      </c>
      <c r="Y370" t="n">
        <v>11</v>
      </c>
      <c r="Z370" t="n">
        <v>4</v>
      </c>
      <c r="AA370" t="n">
        <v>136</v>
      </c>
      <c r="AB370" t="n">
        <v>1</v>
      </c>
      <c r="AC370" t="n">
        <v>1</v>
      </c>
      <c r="AD370" t="n">
        <v>0</v>
      </c>
      <c r="AE370" t="n">
        <v>6</v>
      </c>
      <c r="AF370" t="n">
        <v>0</v>
      </c>
      <c r="AG370" t="n">
        <v>0</v>
      </c>
      <c r="AH370" t="n">
        <v>0</v>
      </c>
      <c r="AI370" t="n">
        <v>3</v>
      </c>
      <c r="AJ370" t="n">
        <v>0</v>
      </c>
      <c r="AK370" t="n">
        <v>4</v>
      </c>
      <c r="AL370" t="n">
        <v>0</v>
      </c>
      <c r="AM370" t="n">
        <v>0</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HYPERLINK("https://creighton-primo.hosted.exlibrisgroup.com/primo-explore/search?tab=default_tab&amp;search_scope=EVERYTHING&amp;vid=01CRU&amp;lang=en_US&amp;offset=0&amp;query=any,contains,991004650919702656","Catalog Record")</f>
        <v/>
      </c>
      <c r="AT370">
        <f>HYPERLINK("http://www.worldcat.org/oclc/42868140","WorldCat Record")</f>
        <v/>
      </c>
      <c r="AU370" t="inlineStr">
        <is>
          <t>24132771:eng</t>
        </is>
      </c>
      <c r="AV370" t="inlineStr">
        <is>
          <t>42868140</t>
        </is>
      </c>
      <c r="AW370" t="inlineStr">
        <is>
          <t>991004650919702656</t>
        </is>
      </c>
      <c r="AX370" t="inlineStr">
        <is>
          <t>991004650919702656</t>
        </is>
      </c>
      <c r="AY370" t="inlineStr">
        <is>
          <t>2261596360002656</t>
        </is>
      </c>
      <c r="AZ370" t="inlineStr">
        <is>
          <t>BOOK</t>
        </is>
      </c>
      <c r="BB370" t="inlineStr">
        <is>
          <t>9780195636505</t>
        </is>
      </c>
      <c r="BC370" t="inlineStr">
        <is>
          <t>32285005089445</t>
        </is>
      </c>
      <c r="BD370" t="inlineStr">
        <is>
          <t>893259970</t>
        </is>
      </c>
    </row>
    <row r="371">
      <c r="A371" t="inlineStr">
        <is>
          <t>No</t>
        </is>
      </c>
      <c r="B371" t="inlineStr">
        <is>
          <t>HM22.S3 S33</t>
        </is>
      </c>
      <c r="C371" t="inlineStr">
        <is>
          <t>0                      HM 0022000S  3                  S  33</t>
        </is>
      </c>
      <c r="D371" t="inlineStr">
        <is>
          <t>The Scottish moralists on human nature and society / edited and with and introduction by Louis Schneider.</t>
        </is>
      </c>
      <c r="F371" t="inlineStr">
        <is>
          <t>No</t>
        </is>
      </c>
      <c r="G371" t="inlineStr">
        <is>
          <t>1</t>
        </is>
      </c>
      <c r="H371" t="inlineStr">
        <is>
          <t>No</t>
        </is>
      </c>
      <c r="I371" t="inlineStr">
        <is>
          <t>No</t>
        </is>
      </c>
      <c r="J371" t="inlineStr">
        <is>
          <t>0</t>
        </is>
      </c>
      <c r="L371" t="inlineStr">
        <is>
          <t>Chicago ; London : University of Chicago Press, 1967.</t>
        </is>
      </c>
      <c r="M371" t="inlineStr">
        <is>
          <t>1967</t>
        </is>
      </c>
      <c r="N371" t="inlineStr">
        <is>
          <t>1st Phoenix ed.</t>
        </is>
      </c>
      <c r="O371" t="inlineStr">
        <is>
          <t>eng</t>
        </is>
      </c>
      <c r="P371" t="inlineStr">
        <is>
          <t>ilu</t>
        </is>
      </c>
      <c r="Q371" t="inlineStr">
        <is>
          <t>A Phoenix book</t>
        </is>
      </c>
      <c r="R371" t="inlineStr">
        <is>
          <t xml:space="preserve">HM </t>
        </is>
      </c>
      <c r="S371" t="n">
        <v>2</v>
      </c>
      <c r="T371" t="n">
        <v>2</v>
      </c>
      <c r="U371" t="inlineStr">
        <is>
          <t>2004-11-14</t>
        </is>
      </c>
      <c r="V371" t="inlineStr">
        <is>
          <t>2004-11-14</t>
        </is>
      </c>
      <c r="W371" t="inlineStr">
        <is>
          <t>1997-07-25</t>
        </is>
      </c>
      <c r="X371" t="inlineStr">
        <is>
          <t>1997-07-25</t>
        </is>
      </c>
      <c r="Y371" t="n">
        <v>749</v>
      </c>
      <c r="Z371" t="n">
        <v>588</v>
      </c>
      <c r="AA371" t="n">
        <v>596</v>
      </c>
      <c r="AB371" t="n">
        <v>5</v>
      </c>
      <c r="AC371" t="n">
        <v>5</v>
      </c>
      <c r="AD371" t="n">
        <v>32</v>
      </c>
      <c r="AE371" t="n">
        <v>32</v>
      </c>
      <c r="AF371" t="n">
        <v>11</v>
      </c>
      <c r="AG371" t="n">
        <v>11</v>
      </c>
      <c r="AH371" t="n">
        <v>6</v>
      </c>
      <c r="AI371" t="n">
        <v>6</v>
      </c>
      <c r="AJ371" t="n">
        <v>17</v>
      </c>
      <c r="AK371" t="n">
        <v>17</v>
      </c>
      <c r="AL371" t="n">
        <v>4</v>
      </c>
      <c r="AM371" t="n">
        <v>4</v>
      </c>
      <c r="AN371" t="n">
        <v>0</v>
      </c>
      <c r="AO371" t="n">
        <v>0</v>
      </c>
      <c r="AP371" t="inlineStr">
        <is>
          <t>No</t>
        </is>
      </c>
      <c r="AQ371" t="inlineStr">
        <is>
          <t>Yes</t>
        </is>
      </c>
      <c r="AR371">
        <f>HYPERLINK("http://catalog.hathitrust.org/Record/000972295","HathiTrust Record")</f>
        <v/>
      </c>
      <c r="AS371">
        <f>HYPERLINK("https://creighton-primo.hosted.exlibrisgroup.com/primo-explore/search?tab=default_tab&amp;search_scope=EVERYTHING&amp;vid=01CRU&amp;lang=en_US&amp;offset=0&amp;query=any,contains,991005206899702656","Catalog Record")</f>
        <v/>
      </c>
      <c r="AT371">
        <f>HYPERLINK("http://www.worldcat.org/oclc/8123164","WorldCat Record")</f>
        <v/>
      </c>
      <c r="AU371" t="inlineStr">
        <is>
          <t>54480368:eng</t>
        </is>
      </c>
      <c r="AV371" t="inlineStr">
        <is>
          <t>8123164</t>
        </is>
      </c>
      <c r="AW371" t="inlineStr">
        <is>
          <t>991005206899702656</t>
        </is>
      </c>
      <c r="AX371" t="inlineStr">
        <is>
          <t>991005206899702656</t>
        </is>
      </c>
      <c r="AY371" t="inlineStr">
        <is>
          <t>2272438030002656</t>
        </is>
      </c>
      <c r="AZ371" t="inlineStr">
        <is>
          <t>BOOK</t>
        </is>
      </c>
      <c r="BC371" t="inlineStr">
        <is>
          <t>32285003007936</t>
        </is>
      </c>
      <c r="BD371" t="inlineStr">
        <is>
          <t>893242373</t>
        </is>
      </c>
    </row>
    <row r="372">
      <c r="A372" t="inlineStr">
        <is>
          <t>No</t>
        </is>
      </c>
      <c r="B372" t="inlineStr">
        <is>
          <t>HM22.U5 H4 1972</t>
        </is>
      </c>
      <c r="C372" t="inlineStr">
        <is>
          <t>0                      HM 0022000U  5                  H  4           1972</t>
        </is>
      </c>
      <c r="D372" t="inlineStr">
        <is>
          <t>Society and social change in the writings of St. Thomas, Ward, Sumner, and Cooley.</t>
        </is>
      </c>
      <c r="F372" t="inlineStr">
        <is>
          <t>No</t>
        </is>
      </c>
      <c r="G372" t="inlineStr">
        <is>
          <t>1</t>
        </is>
      </c>
      <c r="H372" t="inlineStr">
        <is>
          <t>No</t>
        </is>
      </c>
      <c r="I372" t="inlineStr">
        <is>
          <t>No</t>
        </is>
      </c>
      <c r="J372" t="inlineStr">
        <is>
          <t>0</t>
        </is>
      </c>
      <c r="K372" t="inlineStr">
        <is>
          <t>Healy, Mary Edward, 1906-</t>
        </is>
      </c>
      <c r="L372" t="inlineStr">
        <is>
          <t>Westport, Conn., Greenwood Press [1972, c1948]</t>
        </is>
      </c>
      <c r="M372" t="inlineStr">
        <is>
          <t>1972</t>
        </is>
      </c>
      <c r="O372" t="inlineStr">
        <is>
          <t>eng</t>
        </is>
      </c>
      <c r="P372" t="inlineStr">
        <is>
          <t>ctu</t>
        </is>
      </c>
      <c r="R372" t="inlineStr">
        <is>
          <t xml:space="preserve">HM </t>
        </is>
      </c>
      <c r="S372" t="n">
        <v>1</v>
      </c>
      <c r="T372" t="n">
        <v>1</v>
      </c>
      <c r="U372" t="inlineStr">
        <is>
          <t>2007-11-29</t>
        </is>
      </c>
      <c r="V372" t="inlineStr">
        <is>
          <t>2007-11-29</t>
        </is>
      </c>
      <c r="W372" t="inlineStr">
        <is>
          <t>1997-07-25</t>
        </is>
      </c>
      <c r="X372" t="inlineStr">
        <is>
          <t>1997-07-25</t>
        </is>
      </c>
      <c r="Y372" t="n">
        <v>173</v>
      </c>
      <c r="Z372" t="n">
        <v>153</v>
      </c>
      <c r="AA372" t="n">
        <v>223</v>
      </c>
      <c r="AB372" t="n">
        <v>1</v>
      </c>
      <c r="AC372" t="n">
        <v>1</v>
      </c>
      <c r="AD372" t="n">
        <v>7</v>
      </c>
      <c r="AE372" t="n">
        <v>14</v>
      </c>
      <c r="AF372" t="n">
        <v>3</v>
      </c>
      <c r="AG372" t="n">
        <v>6</v>
      </c>
      <c r="AH372" t="n">
        <v>2</v>
      </c>
      <c r="AI372" t="n">
        <v>3</v>
      </c>
      <c r="AJ372" t="n">
        <v>3</v>
      </c>
      <c r="AK372" t="n">
        <v>9</v>
      </c>
      <c r="AL372" t="n">
        <v>0</v>
      </c>
      <c r="AM372" t="n">
        <v>0</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HYPERLINK("https://creighton-primo.hosted.exlibrisgroup.com/primo-explore/search?tab=default_tab&amp;search_scope=EVERYTHING&amp;vid=01CRU&amp;lang=en_US&amp;offset=0&amp;query=any,contains,991002112519702656","Catalog Record")</f>
        <v/>
      </c>
      <c r="AT372">
        <f>HYPERLINK("http://www.worldcat.org/oclc/267503","WorldCat Record")</f>
        <v/>
      </c>
      <c r="AU372" t="inlineStr">
        <is>
          <t>500442:eng</t>
        </is>
      </c>
      <c r="AV372" t="inlineStr">
        <is>
          <t>267503</t>
        </is>
      </c>
      <c r="AW372" t="inlineStr">
        <is>
          <t>991002112519702656</t>
        </is>
      </c>
      <c r="AX372" t="inlineStr">
        <is>
          <t>991002112519702656</t>
        </is>
      </c>
      <c r="AY372" t="inlineStr">
        <is>
          <t>2268977130002656</t>
        </is>
      </c>
      <c r="AZ372" t="inlineStr">
        <is>
          <t>BOOK</t>
        </is>
      </c>
      <c r="BB372" t="inlineStr">
        <is>
          <t>9780837161402</t>
        </is>
      </c>
      <c r="BC372" t="inlineStr">
        <is>
          <t>32285003007951</t>
        </is>
      </c>
      <c r="BD372" t="inlineStr">
        <is>
          <t>893879506</t>
        </is>
      </c>
    </row>
    <row r="373">
      <c r="A373" t="inlineStr">
        <is>
          <t>No</t>
        </is>
      </c>
      <c r="B373" t="inlineStr">
        <is>
          <t>HM22.U5 L48</t>
        </is>
      </c>
      <c r="C373" t="inlineStr">
        <is>
          <t>0                      HM 0022000U  5                  L  48</t>
        </is>
      </c>
      <c r="D373" t="inlineStr">
        <is>
          <t>American sociology and pragmatism : Mead, Chicago sociology, and symbolic interaction / J. David Lewis and Richard L. Smith.</t>
        </is>
      </c>
      <c r="F373" t="inlineStr">
        <is>
          <t>No</t>
        </is>
      </c>
      <c r="G373" t="inlineStr">
        <is>
          <t>1</t>
        </is>
      </c>
      <c r="H373" t="inlineStr">
        <is>
          <t>No</t>
        </is>
      </c>
      <c r="I373" t="inlineStr">
        <is>
          <t>No</t>
        </is>
      </c>
      <c r="J373" t="inlineStr">
        <is>
          <t>0</t>
        </is>
      </c>
      <c r="K373" t="inlineStr">
        <is>
          <t>Lewis, J. David.</t>
        </is>
      </c>
      <c r="L373" t="inlineStr">
        <is>
          <t>Chicago : University of Chicago Press, 1980.</t>
        </is>
      </c>
      <c r="M373" t="inlineStr">
        <is>
          <t>1980</t>
        </is>
      </c>
      <c r="O373" t="inlineStr">
        <is>
          <t>eng</t>
        </is>
      </c>
      <c r="P373" t="inlineStr">
        <is>
          <t>ilu</t>
        </is>
      </c>
      <c r="R373" t="inlineStr">
        <is>
          <t xml:space="preserve">HM </t>
        </is>
      </c>
      <c r="S373" t="n">
        <v>6</v>
      </c>
      <c r="T373" t="n">
        <v>6</v>
      </c>
      <c r="U373" t="inlineStr">
        <is>
          <t>2002-10-30</t>
        </is>
      </c>
      <c r="V373" t="inlineStr">
        <is>
          <t>2002-10-30</t>
        </is>
      </c>
      <c r="W373" t="inlineStr">
        <is>
          <t>1992-08-05</t>
        </is>
      </c>
      <c r="X373" t="inlineStr">
        <is>
          <t>1992-08-05</t>
        </is>
      </c>
      <c r="Y373" t="n">
        <v>552</v>
      </c>
      <c r="Z373" t="n">
        <v>409</v>
      </c>
      <c r="AA373" t="n">
        <v>409</v>
      </c>
      <c r="AB373" t="n">
        <v>3</v>
      </c>
      <c r="AC373" t="n">
        <v>3</v>
      </c>
      <c r="AD373" t="n">
        <v>23</v>
      </c>
      <c r="AE373" t="n">
        <v>23</v>
      </c>
      <c r="AF373" t="n">
        <v>6</v>
      </c>
      <c r="AG373" t="n">
        <v>6</v>
      </c>
      <c r="AH373" t="n">
        <v>6</v>
      </c>
      <c r="AI373" t="n">
        <v>6</v>
      </c>
      <c r="AJ373" t="n">
        <v>15</v>
      </c>
      <c r="AK373" t="n">
        <v>15</v>
      </c>
      <c r="AL373" t="n">
        <v>2</v>
      </c>
      <c r="AM373" t="n">
        <v>2</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HYPERLINK("https://creighton-primo.hosted.exlibrisgroup.com/primo-explore/search?tab=default_tab&amp;search_scope=EVERYTHING&amp;vid=01CRU&amp;lang=en_US&amp;offset=0&amp;query=any,contains,991005381909702656","Catalog Record")</f>
        <v/>
      </c>
      <c r="AT373">
        <f>HYPERLINK("http://www.worldcat.org/oclc/6330874","WorldCat Record")</f>
        <v/>
      </c>
      <c r="AU373" t="inlineStr">
        <is>
          <t>889959562:eng</t>
        </is>
      </c>
      <c r="AV373" t="inlineStr">
        <is>
          <t>6330874</t>
        </is>
      </c>
      <c r="AW373" t="inlineStr">
        <is>
          <t>991005381909702656</t>
        </is>
      </c>
      <c r="AX373" t="inlineStr">
        <is>
          <t>991005381909702656</t>
        </is>
      </c>
      <c r="AY373" t="inlineStr">
        <is>
          <t>2271096080002656</t>
        </is>
      </c>
      <c r="AZ373" t="inlineStr">
        <is>
          <t>BOOK</t>
        </is>
      </c>
      <c r="BB373" t="inlineStr">
        <is>
          <t>9780226476971</t>
        </is>
      </c>
      <c r="BC373" t="inlineStr">
        <is>
          <t>32285001193472</t>
        </is>
      </c>
      <c r="BD373" t="inlineStr">
        <is>
          <t>893514635</t>
        </is>
      </c>
    </row>
    <row r="374">
      <c r="A374" t="inlineStr">
        <is>
          <t>No</t>
        </is>
      </c>
      <c r="B374" t="inlineStr">
        <is>
          <t>HM22.U6 B456 1986</t>
        </is>
      </c>
      <c r="C374" t="inlineStr">
        <is>
          <t>0                      HM 0022000U  6                  B  456         1986</t>
        </is>
      </c>
      <c r="D374" t="inlineStr">
        <is>
          <t>Making sense of modern times : Peter L. Berger and the vision of interpretive sociology / edited by James Davison Hunter, Stephen C. Ainlay.</t>
        </is>
      </c>
      <c r="F374" t="inlineStr">
        <is>
          <t>No</t>
        </is>
      </c>
      <c r="G374" t="inlineStr">
        <is>
          <t>1</t>
        </is>
      </c>
      <c r="H374" t="inlineStr">
        <is>
          <t>No</t>
        </is>
      </c>
      <c r="I374" t="inlineStr">
        <is>
          <t>No</t>
        </is>
      </c>
      <c r="J374" t="inlineStr">
        <is>
          <t>0</t>
        </is>
      </c>
      <c r="L374" t="inlineStr">
        <is>
          <t>London ; New York : Routledge &amp; K. Paul, 1986.</t>
        </is>
      </c>
      <c r="M374" t="inlineStr">
        <is>
          <t>1986</t>
        </is>
      </c>
      <c r="O374" t="inlineStr">
        <is>
          <t>eng</t>
        </is>
      </c>
      <c r="P374" t="inlineStr">
        <is>
          <t>enk</t>
        </is>
      </c>
      <c r="R374" t="inlineStr">
        <is>
          <t xml:space="preserve">HM </t>
        </is>
      </c>
      <c r="S374" t="n">
        <v>5</v>
      </c>
      <c r="T374" t="n">
        <v>5</v>
      </c>
      <c r="U374" t="inlineStr">
        <is>
          <t>2002-06-05</t>
        </is>
      </c>
      <c r="V374" t="inlineStr">
        <is>
          <t>2002-06-05</t>
        </is>
      </c>
      <c r="W374" t="inlineStr">
        <is>
          <t>1992-08-05</t>
        </is>
      </c>
      <c r="X374" t="inlineStr">
        <is>
          <t>1992-08-05</t>
        </is>
      </c>
      <c r="Y374" t="n">
        <v>617</v>
      </c>
      <c r="Z374" t="n">
        <v>462</v>
      </c>
      <c r="AA374" t="n">
        <v>469</v>
      </c>
      <c r="AB374" t="n">
        <v>4</v>
      </c>
      <c r="AC374" t="n">
        <v>4</v>
      </c>
      <c r="AD374" t="n">
        <v>21</v>
      </c>
      <c r="AE374" t="n">
        <v>21</v>
      </c>
      <c r="AF374" t="n">
        <v>8</v>
      </c>
      <c r="AG374" t="n">
        <v>8</v>
      </c>
      <c r="AH374" t="n">
        <v>4</v>
      </c>
      <c r="AI374" t="n">
        <v>4</v>
      </c>
      <c r="AJ374" t="n">
        <v>12</v>
      </c>
      <c r="AK374" t="n">
        <v>12</v>
      </c>
      <c r="AL374" t="n">
        <v>3</v>
      </c>
      <c r="AM374" t="n">
        <v>3</v>
      </c>
      <c r="AN374" t="n">
        <v>0</v>
      </c>
      <c r="AO374" t="n">
        <v>0</v>
      </c>
      <c r="AP374" t="inlineStr">
        <is>
          <t>No</t>
        </is>
      </c>
      <c r="AQ374" t="inlineStr">
        <is>
          <t>Yes</t>
        </is>
      </c>
      <c r="AR374">
        <f>HYPERLINK("http://catalog.hathitrust.org/Record/000672797","HathiTrust Record")</f>
        <v/>
      </c>
      <c r="AS374">
        <f>HYPERLINK("https://creighton-primo.hosted.exlibrisgroup.com/primo-explore/search?tab=default_tab&amp;search_scope=EVERYTHING&amp;vid=01CRU&amp;lang=en_US&amp;offset=0&amp;query=any,contains,991000731029702656","Catalog Record")</f>
        <v/>
      </c>
      <c r="AT374">
        <f>HYPERLINK("http://www.worldcat.org/oclc/12724375","WorldCat Record")</f>
        <v/>
      </c>
      <c r="AU374" t="inlineStr">
        <is>
          <t>836676205:eng</t>
        </is>
      </c>
      <c r="AV374" t="inlineStr">
        <is>
          <t>12724375</t>
        </is>
      </c>
      <c r="AW374" t="inlineStr">
        <is>
          <t>991000731029702656</t>
        </is>
      </c>
      <c r="AX374" t="inlineStr">
        <is>
          <t>991000731029702656</t>
        </is>
      </c>
      <c r="AY374" t="inlineStr">
        <is>
          <t>2266851630002656</t>
        </is>
      </c>
      <c r="AZ374" t="inlineStr">
        <is>
          <t>BOOK</t>
        </is>
      </c>
      <c r="BB374" t="inlineStr">
        <is>
          <t>9780710207456</t>
        </is>
      </c>
      <c r="BC374" t="inlineStr">
        <is>
          <t>32285001193480</t>
        </is>
      </c>
      <c r="BD374" t="inlineStr">
        <is>
          <t>893425985</t>
        </is>
      </c>
    </row>
    <row r="375">
      <c r="A375" t="inlineStr">
        <is>
          <t>No</t>
        </is>
      </c>
      <c r="B375" t="inlineStr">
        <is>
          <t>HM22.U6 D4 1986</t>
        </is>
      </c>
      <c r="C375" t="inlineStr">
        <is>
          <t>0                      HM 0022000U  6                  D  4           1986</t>
        </is>
      </c>
      <c r="D375" t="inlineStr">
        <is>
          <t>Jane Addams and the men of the Chicago school, 1892-1918 / Mary Jo Deegan.</t>
        </is>
      </c>
      <c r="F375" t="inlineStr">
        <is>
          <t>No</t>
        </is>
      </c>
      <c r="G375" t="inlineStr">
        <is>
          <t>1</t>
        </is>
      </c>
      <c r="H375" t="inlineStr">
        <is>
          <t>No</t>
        </is>
      </c>
      <c r="I375" t="inlineStr">
        <is>
          <t>No</t>
        </is>
      </c>
      <c r="J375" t="inlineStr">
        <is>
          <t>0</t>
        </is>
      </c>
      <c r="K375" t="inlineStr">
        <is>
          <t>Deegan, Mary Jo, 1946-</t>
        </is>
      </c>
      <c r="L375" t="inlineStr">
        <is>
          <t>New Brunswick (U.S.A.) : Transaction Books, c1988.</t>
        </is>
      </c>
      <c r="M375" t="inlineStr">
        <is>
          <t>1986</t>
        </is>
      </c>
      <c r="O375" t="inlineStr">
        <is>
          <t>eng</t>
        </is>
      </c>
      <c r="P375" t="inlineStr">
        <is>
          <t>nju</t>
        </is>
      </c>
      <c r="R375" t="inlineStr">
        <is>
          <t xml:space="preserve">HM </t>
        </is>
      </c>
      <c r="S375" t="n">
        <v>2</v>
      </c>
      <c r="T375" t="n">
        <v>2</v>
      </c>
      <c r="U375" t="inlineStr">
        <is>
          <t>2002-10-31</t>
        </is>
      </c>
      <c r="V375" t="inlineStr">
        <is>
          <t>2002-10-31</t>
        </is>
      </c>
      <c r="W375" t="inlineStr">
        <is>
          <t>1992-08-05</t>
        </is>
      </c>
      <c r="X375" t="inlineStr">
        <is>
          <t>1992-08-05</t>
        </is>
      </c>
      <c r="Y375" t="n">
        <v>691</v>
      </c>
      <c r="Z375" t="n">
        <v>605</v>
      </c>
      <c r="AA375" t="n">
        <v>661</v>
      </c>
      <c r="AB375" t="n">
        <v>7</v>
      </c>
      <c r="AC375" t="n">
        <v>7</v>
      </c>
      <c r="AD375" t="n">
        <v>32</v>
      </c>
      <c r="AE375" t="n">
        <v>33</v>
      </c>
      <c r="AF375" t="n">
        <v>13</v>
      </c>
      <c r="AG375" t="n">
        <v>14</v>
      </c>
      <c r="AH375" t="n">
        <v>8</v>
      </c>
      <c r="AI375" t="n">
        <v>8</v>
      </c>
      <c r="AJ375" t="n">
        <v>13</v>
      </c>
      <c r="AK375" t="n">
        <v>14</v>
      </c>
      <c r="AL375" t="n">
        <v>5</v>
      </c>
      <c r="AM375" t="n">
        <v>5</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HYPERLINK("https://creighton-primo.hosted.exlibrisgroup.com/primo-explore/search?tab=default_tab&amp;search_scope=EVERYTHING&amp;vid=01CRU&amp;lang=en_US&amp;offset=0&amp;query=any,contains,991000816449702656","Catalog Record")</f>
        <v/>
      </c>
      <c r="AT375">
        <f>HYPERLINK("http://www.worldcat.org/oclc/13358582","WorldCat Record")</f>
        <v/>
      </c>
      <c r="AU375" t="inlineStr">
        <is>
          <t>6875833:eng</t>
        </is>
      </c>
      <c r="AV375" t="inlineStr">
        <is>
          <t>13358582</t>
        </is>
      </c>
      <c r="AW375" t="inlineStr">
        <is>
          <t>991000816449702656</t>
        </is>
      </c>
      <c r="AX375" t="inlineStr">
        <is>
          <t>991000816449702656</t>
        </is>
      </c>
      <c r="AY375" t="inlineStr">
        <is>
          <t>2267887180002656</t>
        </is>
      </c>
      <c r="AZ375" t="inlineStr">
        <is>
          <t>BOOK</t>
        </is>
      </c>
      <c r="BB375" t="inlineStr">
        <is>
          <t>9780887380778</t>
        </is>
      </c>
      <c r="BC375" t="inlineStr">
        <is>
          <t>32285001193506</t>
        </is>
      </c>
      <c r="BD375" t="inlineStr">
        <is>
          <t>893333805</t>
        </is>
      </c>
    </row>
    <row r="376">
      <c r="A376" t="inlineStr">
        <is>
          <t>No</t>
        </is>
      </c>
      <c r="B376" t="inlineStr">
        <is>
          <t>HM22.U6 D684 1983</t>
        </is>
      </c>
      <c r="C376" t="inlineStr">
        <is>
          <t>0                      HM 0022000U  6                  D  684         1983</t>
        </is>
      </c>
      <c r="D376" t="inlineStr">
        <is>
          <t>The social thought of W.E.B. DuBois / Joseph P. DeMarco.</t>
        </is>
      </c>
      <c r="F376" t="inlineStr">
        <is>
          <t>No</t>
        </is>
      </c>
      <c r="G376" t="inlineStr">
        <is>
          <t>1</t>
        </is>
      </c>
      <c r="H376" t="inlineStr">
        <is>
          <t>No</t>
        </is>
      </c>
      <c r="I376" t="inlineStr">
        <is>
          <t>No</t>
        </is>
      </c>
      <c r="J376" t="inlineStr">
        <is>
          <t>0</t>
        </is>
      </c>
      <c r="K376" t="inlineStr">
        <is>
          <t>DeMarco, Joseph P., 1943-</t>
        </is>
      </c>
      <c r="L376" t="inlineStr">
        <is>
          <t>Lanham, MD : University Press of America, c1983.</t>
        </is>
      </c>
      <c r="M376" t="inlineStr">
        <is>
          <t>1983</t>
        </is>
      </c>
      <c r="O376" t="inlineStr">
        <is>
          <t>eng</t>
        </is>
      </c>
      <c r="P376" t="inlineStr">
        <is>
          <t>mdu</t>
        </is>
      </c>
      <c r="R376" t="inlineStr">
        <is>
          <t xml:space="preserve">HM </t>
        </is>
      </c>
      <c r="S376" t="n">
        <v>5</v>
      </c>
      <c r="T376" t="n">
        <v>5</v>
      </c>
      <c r="U376" t="inlineStr">
        <is>
          <t>2002-08-25</t>
        </is>
      </c>
      <c r="V376" t="inlineStr">
        <is>
          <t>2002-08-25</t>
        </is>
      </c>
      <c r="W376" t="inlineStr">
        <is>
          <t>1992-08-05</t>
        </is>
      </c>
      <c r="X376" t="inlineStr">
        <is>
          <t>1992-08-05</t>
        </is>
      </c>
      <c r="Y376" t="n">
        <v>492</v>
      </c>
      <c r="Z376" t="n">
        <v>442</v>
      </c>
      <c r="AA376" t="n">
        <v>448</v>
      </c>
      <c r="AB376" t="n">
        <v>6</v>
      </c>
      <c r="AC376" t="n">
        <v>6</v>
      </c>
      <c r="AD376" t="n">
        <v>28</v>
      </c>
      <c r="AE376" t="n">
        <v>28</v>
      </c>
      <c r="AF376" t="n">
        <v>11</v>
      </c>
      <c r="AG376" t="n">
        <v>11</v>
      </c>
      <c r="AH376" t="n">
        <v>7</v>
      </c>
      <c r="AI376" t="n">
        <v>7</v>
      </c>
      <c r="AJ376" t="n">
        <v>14</v>
      </c>
      <c r="AK376" t="n">
        <v>14</v>
      </c>
      <c r="AL376" t="n">
        <v>5</v>
      </c>
      <c r="AM376" t="n">
        <v>5</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HYPERLINK("https://creighton-primo.hosted.exlibrisgroup.com/primo-explore/search?tab=default_tab&amp;search_scope=EVERYTHING&amp;vid=01CRU&amp;lang=en_US&amp;offset=0&amp;query=any,contains,991000199979702656","Catalog Record")</f>
        <v/>
      </c>
      <c r="AT376">
        <f>HYPERLINK("http://www.worldcat.org/oclc/9464329","WorldCat Record")</f>
        <v/>
      </c>
      <c r="AU376" t="inlineStr">
        <is>
          <t>21025028:eng</t>
        </is>
      </c>
      <c r="AV376" t="inlineStr">
        <is>
          <t>9464329</t>
        </is>
      </c>
      <c r="AW376" t="inlineStr">
        <is>
          <t>991000199979702656</t>
        </is>
      </c>
      <c r="AX376" t="inlineStr">
        <is>
          <t>991000199979702656</t>
        </is>
      </c>
      <c r="AY376" t="inlineStr">
        <is>
          <t>2266429530002656</t>
        </is>
      </c>
      <c r="AZ376" t="inlineStr">
        <is>
          <t>BOOK</t>
        </is>
      </c>
      <c r="BB376" t="inlineStr">
        <is>
          <t>9780819132369</t>
        </is>
      </c>
      <c r="BC376" t="inlineStr">
        <is>
          <t>32285001193514</t>
        </is>
      </c>
      <c r="BD376" t="inlineStr">
        <is>
          <t>893689517</t>
        </is>
      </c>
    </row>
    <row r="377">
      <c r="A377" t="inlineStr">
        <is>
          <t>No</t>
        </is>
      </c>
      <c r="B377" t="inlineStr">
        <is>
          <t>HM22.U6 M373 1986</t>
        </is>
      </c>
      <c r="C377" t="inlineStr">
        <is>
          <t>0                      HM 0022000U  6                  M  373         1986</t>
        </is>
      </c>
      <c r="D377" t="inlineStr">
        <is>
          <t>George Herbert Mead : a unifying theory for sociology / by John D. Baldwin.</t>
        </is>
      </c>
      <c r="F377" t="inlineStr">
        <is>
          <t>No</t>
        </is>
      </c>
      <c r="G377" t="inlineStr">
        <is>
          <t>1</t>
        </is>
      </c>
      <c r="H377" t="inlineStr">
        <is>
          <t>No</t>
        </is>
      </c>
      <c r="I377" t="inlineStr">
        <is>
          <t>No</t>
        </is>
      </c>
      <c r="J377" t="inlineStr">
        <is>
          <t>0</t>
        </is>
      </c>
      <c r="K377" t="inlineStr">
        <is>
          <t>Baldwin, John D., 1941-</t>
        </is>
      </c>
      <c r="L377" t="inlineStr">
        <is>
          <t>Beverly Hills, Calif. : Sage Publications, c1986.</t>
        </is>
      </c>
      <c r="M377" t="inlineStr">
        <is>
          <t>1986</t>
        </is>
      </c>
      <c r="O377" t="inlineStr">
        <is>
          <t>eng</t>
        </is>
      </c>
      <c r="P377" t="inlineStr">
        <is>
          <t>cau</t>
        </is>
      </c>
      <c r="Q377" t="inlineStr">
        <is>
          <t>Masters of social theory ; v. 6</t>
        </is>
      </c>
      <c r="R377" t="inlineStr">
        <is>
          <t xml:space="preserve">HM </t>
        </is>
      </c>
      <c r="S377" t="n">
        <v>3</v>
      </c>
      <c r="T377" t="n">
        <v>3</v>
      </c>
      <c r="U377" t="inlineStr">
        <is>
          <t>2001-04-13</t>
        </is>
      </c>
      <c r="V377" t="inlineStr">
        <is>
          <t>2001-04-13</t>
        </is>
      </c>
      <c r="W377" t="inlineStr">
        <is>
          <t>1992-08-05</t>
        </is>
      </c>
      <c r="X377" t="inlineStr">
        <is>
          <t>1992-08-05</t>
        </is>
      </c>
      <c r="Y377" t="n">
        <v>568</v>
      </c>
      <c r="Z377" t="n">
        <v>414</v>
      </c>
      <c r="AA377" t="n">
        <v>433</v>
      </c>
      <c r="AB377" t="n">
        <v>4</v>
      </c>
      <c r="AC377" t="n">
        <v>4</v>
      </c>
      <c r="AD377" t="n">
        <v>24</v>
      </c>
      <c r="AE377" t="n">
        <v>25</v>
      </c>
      <c r="AF377" t="n">
        <v>11</v>
      </c>
      <c r="AG377" t="n">
        <v>11</v>
      </c>
      <c r="AH377" t="n">
        <v>5</v>
      </c>
      <c r="AI377" t="n">
        <v>6</v>
      </c>
      <c r="AJ377" t="n">
        <v>12</v>
      </c>
      <c r="AK377" t="n">
        <v>12</v>
      </c>
      <c r="AL377" t="n">
        <v>3</v>
      </c>
      <c r="AM377" t="n">
        <v>3</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HYPERLINK("https://creighton-primo.hosted.exlibrisgroup.com/primo-explore/search?tab=default_tab&amp;search_scope=EVERYTHING&amp;vid=01CRU&amp;lang=en_US&amp;offset=0&amp;query=any,contains,991000759709702656","Catalog Record")</f>
        <v/>
      </c>
      <c r="AT377">
        <f>HYPERLINK("http://www.worldcat.org/oclc/12971663","WorldCat Record")</f>
        <v/>
      </c>
      <c r="AU377" t="inlineStr">
        <is>
          <t>365240508:eng</t>
        </is>
      </c>
      <c r="AV377" t="inlineStr">
        <is>
          <t>12971663</t>
        </is>
      </c>
      <c r="AW377" t="inlineStr">
        <is>
          <t>991000759709702656</t>
        </is>
      </c>
      <c r="AX377" t="inlineStr">
        <is>
          <t>991000759709702656</t>
        </is>
      </c>
      <c r="AY377" t="inlineStr">
        <is>
          <t>2268079750002656</t>
        </is>
      </c>
      <c r="AZ377" t="inlineStr">
        <is>
          <t>BOOK</t>
        </is>
      </c>
      <c r="BB377" t="inlineStr">
        <is>
          <t>9780803923201</t>
        </is>
      </c>
      <c r="BC377" t="inlineStr">
        <is>
          <t>32285001193530</t>
        </is>
      </c>
      <c r="BD377" t="inlineStr">
        <is>
          <t>893891004</t>
        </is>
      </c>
    </row>
    <row r="378">
      <c r="A378" t="inlineStr">
        <is>
          <t>No</t>
        </is>
      </c>
      <c r="B378" t="inlineStr">
        <is>
          <t>HM22.U6 M3735 1993</t>
        </is>
      </c>
      <c r="C378" t="inlineStr">
        <is>
          <t>0                      HM 0022000U  6                  M  3735        1993</t>
        </is>
      </c>
      <c r="D378" t="inlineStr">
        <is>
          <t>George Herbert Mead : the making of a social pragmatist / Gary A. Cook.</t>
        </is>
      </c>
      <c r="F378" t="inlineStr">
        <is>
          <t>No</t>
        </is>
      </c>
      <c r="G378" t="inlineStr">
        <is>
          <t>1</t>
        </is>
      </c>
      <c r="H378" t="inlineStr">
        <is>
          <t>No</t>
        </is>
      </c>
      <c r="I378" t="inlineStr">
        <is>
          <t>No</t>
        </is>
      </c>
      <c r="J378" t="inlineStr">
        <is>
          <t>0</t>
        </is>
      </c>
      <c r="K378" t="inlineStr">
        <is>
          <t>Cook, Gary A., 1939-</t>
        </is>
      </c>
      <c r="L378" t="inlineStr">
        <is>
          <t>Urbana : University of Illinois Press, c1993.</t>
        </is>
      </c>
      <c r="M378" t="inlineStr">
        <is>
          <t>1993</t>
        </is>
      </c>
      <c r="O378" t="inlineStr">
        <is>
          <t>eng</t>
        </is>
      </c>
      <c r="P378" t="inlineStr">
        <is>
          <t>ilu</t>
        </is>
      </c>
      <c r="R378" t="inlineStr">
        <is>
          <t xml:space="preserve">HM </t>
        </is>
      </c>
      <c r="S378" t="n">
        <v>2</v>
      </c>
      <c r="T378" t="n">
        <v>2</v>
      </c>
      <c r="U378" t="inlineStr">
        <is>
          <t>2001-04-13</t>
        </is>
      </c>
      <c r="V378" t="inlineStr">
        <is>
          <t>2001-04-13</t>
        </is>
      </c>
      <c r="W378" t="inlineStr">
        <is>
          <t>1994-11-13</t>
        </is>
      </c>
      <c r="X378" t="inlineStr">
        <is>
          <t>1994-11-13</t>
        </is>
      </c>
      <c r="Y378" t="n">
        <v>412</v>
      </c>
      <c r="Z378" t="n">
        <v>339</v>
      </c>
      <c r="AA378" t="n">
        <v>356</v>
      </c>
      <c r="AB378" t="n">
        <v>2</v>
      </c>
      <c r="AC378" t="n">
        <v>2</v>
      </c>
      <c r="AD378" t="n">
        <v>21</v>
      </c>
      <c r="AE378" t="n">
        <v>21</v>
      </c>
      <c r="AF378" t="n">
        <v>5</v>
      </c>
      <c r="AG378" t="n">
        <v>5</v>
      </c>
      <c r="AH378" t="n">
        <v>8</v>
      </c>
      <c r="AI378" t="n">
        <v>8</v>
      </c>
      <c r="AJ378" t="n">
        <v>11</v>
      </c>
      <c r="AK378" t="n">
        <v>11</v>
      </c>
      <c r="AL378" t="n">
        <v>1</v>
      </c>
      <c r="AM378" t="n">
        <v>1</v>
      </c>
      <c r="AN378" t="n">
        <v>2</v>
      </c>
      <c r="AO378" t="n">
        <v>2</v>
      </c>
      <c r="AP378" t="inlineStr">
        <is>
          <t>No</t>
        </is>
      </c>
      <c r="AQ378" t="inlineStr">
        <is>
          <t>Yes</t>
        </is>
      </c>
      <c r="AR378">
        <f>HYPERLINK("http://catalog.hathitrust.org/Record/002716173","HathiTrust Record")</f>
        <v/>
      </c>
      <c r="AS378">
        <f>HYPERLINK("https://creighton-primo.hosted.exlibrisgroup.com/primo-explore/search?tab=default_tab&amp;search_scope=EVERYTHING&amp;vid=01CRU&amp;lang=en_US&amp;offset=0&amp;query=any,contains,991002054289702656","Catalog Record")</f>
        <v/>
      </c>
      <c r="AT378">
        <f>HYPERLINK("http://www.worldcat.org/oclc/26256127","WorldCat Record")</f>
        <v/>
      </c>
      <c r="AU378" t="inlineStr">
        <is>
          <t>366577303:eng</t>
        </is>
      </c>
      <c r="AV378" t="inlineStr">
        <is>
          <t>26256127</t>
        </is>
      </c>
      <c r="AW378" t="inlineStr">
        <is>
          <t>991002054289702656</t>
        </is>
      </c>
      <c r="AX378" t="inlineStr">
        <is>
          <t>991002054289702656</t>
        </is>
      </c>
      <c r="AY378" t="inlineStr">
        <is>
          <t>2270848150002656</t>
        </is>
      </c>
      <c r="AZ378" t="inlineStr">
        <is>
          <t>BOOK</t>
        </is>
      </c>
      <c r="BB378" t="inlineStr">
        <is>
          <t>9780252019692</t>
        </is>
      </c>
      <c r="BC378" t="inlineStr">
        <is>
          <t>32285001957330</t>
        </is>
      </c>
      <c r="BD378" t="inlineStr">
        <is>
          <t>893866747</t>
        </is>
      </c>
    </row>
    <row r="379">
      <c r="A379" t="inlineStr">
        <is>
          <t>No</t>
        </is>
      </c>
      <c r="B379" t="inlineStr">
        <is>
          <t>HM22.U6 P362 1982</t>
        </is>
      </c>
      <c r="C379" t="inlineStr">
        <is>
          <t>0                      HM 0022000U  6                  P  362         1982</t>
        </is>
      </c>
      <c r="D379" t="inlineStr">
        <is>
          <t>Talcott Parsons on institutions and social evolution : selected writings / edited and with an introduction by Leon H. Mayhew.</t>
        </is>
      </c>
      <c r="F379" t="inlineStr">
        <is>
          <t>No</t>
        </is>
      </c>
      <c r="G379" t="inlineStr">
        <is>
          <t>1</t>
        </is>
      </c>
      <c r="H379" t="inlineStr">
        <is>
          <t>No</t>
        </is>
      </c>
      <c r="I379" t="inlineStr">
        <is>
          <t>No</t>
        </is>
      </c>
      <c r="J379" t="inlineStr">
        <is>
          <t>0</t>
        </is>
      </c>
      <c r="K379" t="inlineStr">
        <is>
          <t>Parsons, Talcott, 1902-1979.</t>
        </is>
      </c>
      <c r="L379" t="inlineStr">
        <is>
          <t>Chicago : University of Chicago Press, 1982.</t>
        </is>
      </c>
      <c r="M379" t="inlineStr">
        <is>
          <t>1982</t>
        </is>
      </c>
      <c r="O379" t="inlineStr">
        <is>
          <t>eng</t>
        </is>
      </c>
      <c r="P379" t="inlineStr">
        <is>
          <t>ilu</t>
        </is>
      </c>
      <c r="Q379" t="inlineStr">
        <is>
          <t>The Heritage of sociology</t>
        </is>
      </c>
      <c r="R379" t="inlineStr">
        <is>
          <t xml:space="preserve">HM </t>
        </is>
      </c>
      <c r="S379" t="n">
        <v>6</v>
      </c>
      <c r="T379" t="n">
        <v>6</v>
      </c>
      <c r="U379" t="inlineStr">
        <is>
          <t>2009-09-21</t>
        </is>
      </c>
      <c r="V379" t="inlineStr">
        <is>
          <t>2009-09-21</t>
        </is>
      </c>
      <c r="W379" t="inlineStr">
        <is>
          <t>1992-01-06</t>
        </is>
      </c>
      <c r="X379" t="inlineStr">
        <is>
          <t>1992-01-06</t>
        </is>
      </c>
      <c r="Y379" t="n">
        <v>518</v>
      </c>
      <c r="Z379" t="n">
        <v>404</v>
      </c>
      <c r="AA379" t="n">
        <v>428</v>
      </c>
      <c r="AB379" t="n">
        <v>3</v>
      </c>
      <c r="AC379" t="n">
        <v>3</v>
      </c>
      <c r="AD379" t="n">
        <v>16</v>
      </c>
      <c r="AE379" t="n">
        <v>17</v>
      </c>
      <c r="AF379" t="n">
        <v>8</v>
      </c>
      <c r="AG379" t="n">
        <v>8</v>
      </c>
      <c r="AH379" t="n">
        <v>2</v>
      </c>
      <c r="AI379" t="n">
        <v>2</v>
      </c>
      <c r="AJ379" t="n">
        <v>6</v>
      </c>
      <c r="AK379" t="n">
        <v>7</v>
      </c>
      <c r="AL379" t="n">
        <v>2</v>
      </c>
      <c r="AM379" t="n">
        <v>2</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HYPERLINK("https://creighton-primo.hosted.exlibrisgroup.com/primo-explore/search?tab=default_tab&amp;search_scope=EVERYTHING&amp;vid=01CRU&amp;lang=en_US&amp;offset=0&amp;query=any,contains,991005233699702656","Catalog Record")</f>
        <v/>
      </c>
      <c r="AT379">
        <f>HYPERLINK("http://www.worldcat.org/oclc/8346589","WorldCat Record")</f>
        <v/>
      </c>
      <c r="AU379" t="inlineStr">
        <is>
          <t>768633863:eng</t>
        </is>
      </c>
      <c r="AV379" t="inlineStr">
        <is>
          <t>8346589</t>
        </is>
      </c>
      <c r="AW379" t="inlineStr">
        <is>
          <t>991005233699702656</t>
        </is>
      </c>
      <c r="AX379" t="inlineStr">
        <is>
          <t>991005233699702656</t>
        </is>
      </c>
      <c r="AY379" t="inlineStr">
        <is>
          <t>2263835450002656</t>
        </is>
      </c>
      <c r="AZ379" t="inlineStr">
        <is>
          <t>BOOK</t>
        </is>
      </c>
      <c r="BB379" t="inlineStr">
        <is>
          <t>9780226647470</t>
        </is>
      </c>
      <c r="BC379" t="inlineStr">
        <is>
          <t>32285000883057</t>
        </is>
      </c>
      <c r="BD379" t="inlineStr">
        <is>
          <t>893883560</t>
        </is>
      </c>
    </row>
    <row r="380">
      <c r="A380" t="inlineStr">
        <is>
          <t>No</t>
        </is>
      </c>
      <c r="B380" t="inlineStr">
        <is>
          <t>HM22.U6 P37713</t>
        </is>
      </c>
      <c r="C380" t="inlineStr">
        <is>
          <t>0                      HM 0022000U  6                  P  37713</t>
        </is>
      </c>
      <c r="D380" t="inlineStr">
        <is>
          <t>Talcott Parsons and American sociology / Guy Rocher.</t>
        </is>
      </c>
      <c r="F380" t="inlineStr">
        <is>
          <t>No</t>
        </is>
      </c>
      <c r="G380" t="inlineStr">
        <is>
          <t>1</t>
        </is>
      </c>
      <c r="H380" t="inlineStr">
        <is>
          <t>No</t>
        </is>
      </c>
      <c r="I380" t="inlineStr">
        <is>
          <t>No</t>
        </is>
      </c>
      <c r="J380" t="inlineStr">
        <is>
          <t>0</t>
        </is>
      </c>
      <c r="K380" t="inlineStr">
        <is>
          <t>Rocher, Guy, 1924-</t>
        </is>
      </c>
      <c r="L380" t="inlineStr">
        <is>
          <t>New York : Barnes &amp; Noble, 1975.</t>
        </is>
      </c>
      <c r="M380" t="inlineStr">
        <is>
          <t>1975</t>
        </is>
      </c>
      <c r="O380" t="inlineStr">
        <is>
          <t>eng</t>
        </is>
      </c>
      <c r="P380" t="inlineStr">
        <is>
          <t>nyu</t>
        </is>
      </c>
      <c r="R380" t="inlineStr">
        <is>
          <t xml:space="preserve">HM </t>
        </is>
      </c>
      <c r="S380" t="n">
        <v>1</v>
      </c>
      <c r="T380" t="n">
        <v>1</v>
      </c>
      <c r="U380" t="inlineStr">
        <is>
          <t>2003-09-19</t>
        </is>
      </c>
      <c r="V380" t="inlineStr">
        <is>
          <t>2003-09-19</t>
        </is>
      </c>
      <c r="W380" t="inlineStr">
        <is>
          <t>1997-07-28</t>
        </is>
      </c>
      <c r="X380" t="inlineStr">
        <is>
          <t>1997-07-28</t>
        </is>
      </c>
      <c r="Y380" t="n">
        <v>356</v>
      </c>
      <c r="Z380" t="n">
        <v>322</v>
      </c>
      <c r="AA380" t="n">
        <v>360</v>
      </c>
      <c r="AB380" t="n">
        <v>3</v>
      </c>
      <c r="AC380" t="n">
        <v>4</v>
      </c>
      <c r="AD380" t="n">
        <v>21</v>
      </c>
      <c r="AE380" t="n">
        <v>24</v>
      </c>
      <c r="AF380" t="n">
        <v>10</v>
      </c>
      <c r="AG380" t="n">
        <v>10</v>
      </c>
      <c r="AH380" t="n">
        <v>4</v>
      </c>
      <c r="AI380" t="n">
        <v>5</v>
      </c>
      <c r="AJ380" t="n">
        <v>12</v>
      </c>
      <c r="AK380" t="n">
        <v>14</v>
      </c>
      <c r="AL380" t="n">
        <v>2</v>
      </c>
      <c r="AM380" t="n">
        <v>3</v>
      </c>
      <c r="AN380" t="n">
        <v>0</v>
      </c>
      <c r="AO380" t="n">
        <v>0</v>
      </c>
      <c r="AP380" t="inlineStr">
        <is>
          <t>No</t>
        </is>
      </c>
      <c r="AQ380" t="inlineStr">
        <is>
          <t>Yes</t>
        </is>
      </c>
      <c r="AR380">
        <f>HYPERLINK("http://catalog.hathitrust.org/Record/007112827","HathiTrust Record")</f>
        <v/>
      </c>
      <c r="AS380">
        <f>HYPERLINK("https://creighton-primo.hosted.exlibrisgroup.com/primo-explore/search?tab=default_tab&amp;search_scope=EVERYTHING&amp;vid=01CRU&amp;lang=en_US&amp;offset=0&amp;query=any,contains,991003739689702656","Catalog Record")</f>
        <v/>
      </c>
      <c r="AT380">
        <f>HYPERLINK("http://www.worldcat.org/oclc/1401827","WorldCat Record")</f>
        <v/>
      </c>
      <c r="AU380" t="inlineStr">
        <is>
          <t>1858933:eng</t>
        </is>
      </c>
      <c r="AV380" t="inlineStr">
        <is>
          <t>1401827</t>
        </is>
      </c>
      <c r="AW380" t="inlineStr">
        <is>
          <t>991003739689702656</t>
        </is>
      </c>
      <c r="AX380" t="inlineStr">
        <is>
          <t>991003739689702656</t>
        </is>
      </c>
      <c r="AY380" t="inlineStr">
        <is>
          <t>2263576470002656</t>
        </is>
      </c>
      <c r="AZ380" t="inlineStr">
        <is>
          <t>BOOK</t>
        </is>
      </c>
      <c r="BB380" t="inlineStr">
        <is>
          <t>9780064959506</t>
        </is>
      </c>
      <c r="BC380" t="inlineStr">
        <is>
          <t>32285003008017</t>
        </is>
      </c>
      <c r="BD380" t="inlineStr">
        <is>
          <t>893787687</t>
        </is>
      </c>
    </row>
    <row r="381">
      <c r="A381" t="inlineStr">
        <is>
          <t>No</t>
        </is>
      </c>
      <c r="B381" t="inlineStr">
        <is>
          <t>HM22.U6 S82</t>
        </is>
      </c>
      <c r="C381" t="inlineStr">
        <is>
          <t>0                      HM 0022000U  6                  S  82</t>
        </is>
      </c>
      <c r="D381" t="inlineStr">
        <is>
          <t>William Graham Sumner / Bruce Curtis.</t>
        </is>
      </c>
      <c r="F381" t="inlineStr">
        <is>
          <t>No</t>
        </is>
      </c>
      <c r="G381" t="inlineStr">
        <is>
          <t>1</t>
        </is>
      </c>
      <c r="H381" t="inlineStr">
        <is>
          <t>No</t>
        </is>
      </c>
      <c r="I381" t="inlineStr">
        <is>
          <t>No</t>
        </is>
      </c>
      <c r="J381" t="inlineStr">
        <is>
          <t>0</t>
        </is>
      </c>
      <c r="K381" t="inlineStr">
        <is>
          <t>Curtis, Bruce, 1950-</t>
        </is>
      </c>
      <c r="L381" t="inlineStr">
        <is>
          <t>Boston : Twayne, 1981.</t>
        </is>
      </c>
      <c r="M381" t="inlineStr">
        <is>
          <t>1981</t>
        </is>
      </c>
      <c r="O381" t="inlineStr">
        <is>
          <t>eng</t>
        </is>
      </c>
      <c r="P381" t="inlineStr">
        <is>
          <t>mau</t>
        </is>
      </c>
      <c r="Q381" t="inlineStr">
        <is>
          <t>Twayne's United States authors series ; TUSAS 391</t>
        </is>
      </c>
      <c r="R381" t="inlineStr">
        <is>
          <t xml:space="preserve">HM </t>
        </is>
      </c>
      <c r="S381" t="n">
        <v>1</v>
      </c>
      <c r="T381" t="n">
        <v>1</v>
      </c>
      <c r="U381" t="inlineStr">
        <is>
          <t>1995-01-24</t>
        </is>
      </c>
      <c r="V381" t="inlineStr">
        <is>
          <t>1995-01-24</t>
        </is>
      </c>
      <c r="W381" t="inlineStr">
        <is>
          <t>1992-08-05</t>
        </is>
      </c>
      <c r="X381" t="inlineStr">
        <is>
          <t>1992-08-05</t>
        </is>
      </c>
      <c r="Y381" t="n">
        <v>533</v>
      </c>
      <c r="Z381" t="n">
        <v>473</v>
      </c>
      <c r="AA381" t="n">
        <v>481</v>
      </c>
      <c r="AB381" t="n">
        <v>4</v>
      </c>
      <c r="AC381" t="n">
        <v>4</v>
      </c>
      <c r="AD381" t="n">
        <v>22</v>
      </c>
      <c r="AE381" t="n">
        <v>22</v>
      </c>
      <c r="AF381" t="n">
        <v>9</v>
      </c>
      <c r="AG381" t="n">
        <v>9</v>
      </c>
      <c r="AH381" t="n">
        <v>2</v>
      </c>
      <c r="AI381" t="n">
        <v>2</v>
      </c>
      <c r="AJ381" t="n">
        <v>14</v>
      </c>
      <c r="AK381" t="n">
        <v>14</v>
      </c>
      <c r="AL381" t="n">
        <v>3</v>
      </c>
      <c r="AM381" t="n">
        <v>3</v>
      </c>
      <c r="AN381" t="n">
        <v>0</v>
      </c>
      <c r="AO381" t="n">
        <v>0</v>
      </c>
      <c r="AP381" t="inlineStr">
        <is>
          <t>No</t>
        </is>
      </c>
      <c r="AQ381" t="inlineStr">
        <is>
          <t>Yes</t>
        </is>
      </c>
      <c r="AR381">
        <f>HYPERLINK("http://catalog.hathitrust.org/Record/000226141","HathiTrust Record")</f>
        <v/>
      </c>
      <c r="AS381">
        <f>HYPERLINK("https://creighton-primo.hosted.exlibrisgroup.com/primo-explore/search?tab=default_tab&amp;search_scope=EVERYTHING&amp;vid=01CRU&amp;lang=en_US&amp;offset=0&amp;query=any,contains,991005100809702656","Catalog Record")</f>
        <v/>
      </c>
      <c r="AT381">
        <f>HYPERLINK("http://www.worldcat.org/oclc/7283200","WorldCat Record")</f>
        <v/>
      </c>
      <c r="AU381" t="inlineStr">
        <is>
          <t>26415157:eng</t>
        </is>
      </c>
      <c r="AV381" t="inlineStr">
        <is>
          <t>7283200</t>
        </is>
      </c>
      <c r="AW381" t="inlineStr">
        <is>
          <t>991005100809702656</t>
        </is>
      </c>
      <c r="AX381" t="inlineStr">
        <is>
          <t>991005100809702656</t>
        </is>
      </c>
      <c r="AY381" t="inlineStr">
        <is>
          <t>2257362040002656</t>
        </is>
      </c>
      <c r="AZ381" t="inlineStr">
        <is>
          <t>BOOK</t>
        </is>
      </c>
      <c r="BB381" t="inlineStr">
        <is>
          <t>9780805773248</t>
        </is>
      </c>
      <c r="BC381" t="inlineStr">
        <is>
          <t>32285001193563</t>
        </is>
      </c>
      <c r="BD381" t="inlineStr">
        <is>
          <t>893430844</t>
        </is>
      </c>
    </row>
    <row r="382">
      <c r="A382" t="inlineStr">
        <is>
          <t>No</t>
        </is>
      </c>
      <c r="B382" t="inlineStr">
        <is>
          <t>HM22.U6 W48 1994</t>
        </is>
      </c>
      <c r="C382" t="inlineStr">
        <is>
          <t>0                      HM 0022000U  6                  W  48          1994</t>
        </is>
      </c>
      <c r="D382" t="inlineStr">
        <is>
          <t>Participant observer : an autobiography / William Foote Whyte.</t>
        </is>
      </c>
      <c r="F382" t="inlineStr">
        <is>
          <t>No</t>
        </is>
      </c>
      <c r="G382" t="inlineStr">
        <is>
          <t>1</t>
        </is>
      </c>
      <c r="H382" t="inlineStr">
        <is>
          <t>No</t>
        </is>
      </c>
      <c r="I382" t="inlineStr">
        <is>
          <t>No</t>
        </is>
      </c>
      <c r="J382" t="inlineStr">
        <is>
          <t>0</t>
        </is>
      </c>
      <c r="K382" t="inlineStr">
        <is>
          <t>Whyte, William Foote, 1914-2000.</t>
        </is>
      </c>
      <c r="L382" t="inlineStr">
        <is>
          <t>Ithaca, New York : ILR Press, c1994.</t>
        </is>
      </c>
      <c r="M382" t="inlineStr">
        <is>
          <t>1994</t>
        </is>
      </c>
      <c r="O382" t="inlineStr">
        <is>
          <t>eng</t>
        </is>
      </c>
      <c r="P382" t="inlineStr">
        <is>
          <t>nyu</t>
        </is>
      </c>
      <c r="R382" t="inlineStr">
        <is>
          <t xml:space="preserve">HM </t>
        </is>
      </c>
      <c r="S382" t="n">
        <v>2</v>
      </c>
      <c r="T382" t="n">
        <v>2</v>
      </c>
      <c r="U382" t="inlineStr">
        <is>
          <t>1994-10-06</t>
        </is>
      </c>
      <c r="V382" t="inlineStr">
        <is>
          <t>1994-10-06</t>
        </is>
      </c>
      <c r="W382" t="inlineStr">
        <is>
          <t>1994-09-16</t>
        </is>
      </c>
      <c r="X382" t="inlineStr">
        <is>
          <t>1994-09-16</t>
        </is>
      </c>
      <c r="Y382" t="n">
        <v>572</v>
      </c>
      <c r="Z382" t="n">
        <v>485</v>
      </c>
      <c r="AA382" t="n">
        <v>638</v>
      </c>
      <c r="AB382" t="n">
        <v>6</v>
      </c>
      <c r="AC382" t="n">
        <v>6</v>
      </c>
      <c r="AD382" t="n">
        <v>25</v>
      </c>
      <c r="AE382" t="n">
        <v>34</v>
      </c>
      <c r="AF382" t="n">
        <v>6</v>
      </c>
      <c r="AG382" t="n">
        <v>12</v>
      </c>
      <c r="AH382" t="n">
        <v>7</v>
      </c>
      <c r="AI382" t="n">
        <v>10</v>
      </c>
      <c r="AJ382" t="n">
        <v>13</v>
      </c>
      <c r="AK382" t="n">
        <v>17</v>
      </c>
      <c r="AL382" t="n">
        <v>5</v>
      </c>
      <c r="AM382" t="n">
        <v>5</v>
      </c>
      <c r="AN382" t="n">
        <v>0</v>
      </c>
      <c r="AO382" t="n">
        <v>0</v>
      </c>
      <c r="AP382" t="inlineStr">
        <is>
          <t>No</t>
        </is>
      </c>
      <c r="AQ382" t="inlineStr">
        <is>
          <t>Yes</t>
        </is>
      </c>
      <c r="AR382">
        <f>HYPERLINK("http://catalog.hathitrust.org/Record/002915917","HathiTrust Record")</f>
        <v/>
      </c>
      <c r="AS382">
        <f>HYPERLINK("https://creighton-primo.hosted.exlibrisgroup.com/primo-explore/search?tab=default_tab&amp;search_scope=EVERYTHING&amp;vid=01CRU&amp;lang=en_US&amp;offset=0&amp;query=any,contains,991002279909702656","Catalog Record")</f>
        <v/>
      </c>
      <c r="AT382">
        <f>HYPERLINK("http://www.worldcat.org/oclc/29564307","WorldCat Record")</f>
        <v/>
      </c>
      <c r="AU382" t="inlineStr">
        <is>
          <t>889922243:eng</t>
        </is>
      </c>
      <c r="AV382" t="inlineStr">
        <is>
          <t>29564307</t>
        </is>
      </c>
      <c r="AW382" t="inlineStr">
        <is>
          <t>991002279909702656</t>
        </is>
      </c>
      <c r="AX382" t="inlineStr">
        <is>
          <t>991002279909702656</t>
        </is>
      </c>
      <c r="AY382" t="inlineStr">
        <is>
          <t>2255545970002656</t>
        </is>
      </c>
      <c r="AZ382" t="inlineStr">
        <is>
          <t>BOOK</t>
        </is>
      </c>
      <c r="BB382" t="inlineStr">
        <is>
          <t>9780875463247</t>
        </is>
      </c>
      <c r="BC382" t="inlineStr">
        <is>
          <t>32285001945681</t>
        </is>
      </c>
      <c r="BD382" t="inlineStr">
        <is>
          <t>893609684</t>
        </is>
      </c>
    </row>
    <row r="383">
      <c r="A383" t="inlineStr">
        <is>
          <t>No</t>
        </is>
      </c>
      <c r="B383" t="inlineStr">
        <is>
          <t>HM221 .B84 1995</t>
        </is>
      </c>
      <c r="C383" t="inlineStr">
        <is>
          <t>0                      HM 0221000B  84          1995</t>
        </is>
      </c>
      <c r="D383" t="inlineStr">
        <is>
          <t>The axemaker's gift : a double-edged history of human culture / James Burke, Robert Ornstein ; illustrations by Ted Dewan.</t>
        </is>
      </c>
      <c r="F383" t="inlineStr">
        <is>
          <t>No</t>
        </is>
      </c>
      <c r="G383" t="inlineStr">
        <is>
          <t>1</t>
        </is>
      </c>
      <c r="H383" t="inlineStr">
        <is>
          <t>No</t>
        </is>
      </c>
      <c r="I383" t="inlineStr">
        <is>
          <t>No</t>
        </is>
      </c>
      <c r="J383" t="inlineStr">
        <is>
          <t>0</t>
        </is>
      </c>
      <c r="K383" t="inlineStr">
        <is>
          <t>Burke, James, 1936-</t>
        </is>
      </c>
      <c r="L383" t="inlineStr">
        <is>
          <t>New York : Putnam's, c1995.</t>
        </is>
      </c>
      <c r="M383" t="inlineStr">
        <is>
          <t>1995</t>
        </is>
      </c>
      <c r="O383" t="inlineStr">
        <is>
          <t>eng</t>
        </is>
      </c>
      <c r="P383" t="inlineStr">
        <is>
          <t>nyu</t>
        </is>
      </c>
      <c r="R383" t="inlineStr">
        <is>
          <t xml:space="preserve">HM </t>
        </is>
      </c>
      <c r="S383" t="n">
        <v>4</v>
      </c>
      <c r="T383" t="n">
        <v>4</v>
      </c>
      <c r="U383" t="inlineStr">
        <is>
          <t>2006-10-12</t>
        </is>
      </c>
      <c r="V383" t="inlineStr">
        <is>
          <t>2006-10-12</t>
        </is>
      </c>
      <c r="W383" t="inlineStr">
        <is>
          <t>1996-03-21</t>
        </is>
      </c>
      <c r="X383" t="inlineStr">
        <is>
          <t>1996-03-21</t>
        </is>
      </c>
      <c r="Y383" t="n">
        <v>641</v>
      </c>
      <c r="Z383" t="n">
        <v>595</v>
      </c>
      <c r="AA383" t="n">
        <v>750</v>
      </c>
      <c r="AB383" t="n">
        <v>4</v>
      </c>
      <c r="AC383" t="n">
        <v>4</v>
      </c>
      <c r="AD383" t="n">
        <v>15</v>
      </c>
      <c r="AE383" t="n">
        <v>20</v>
      </c>
      <c r="AF383" t="n">
        <v>5</v>
      </c>
      <c r="AG383" t="n">
        <v>7</v>
      </c>
      <c r="AH383" t="n">
        <v>3</v>
      </c>
      <c r="AI383" t="n">
        <v>4</v>
      </c>
      <c r="AJ383" t="n">
        <v>8</v>
      </c>
      <c r="AK383" t="n">
        <v>11</v>
      </c>
      <c r="AL383" t="n">
        <v>3</v>
      </c>
      <c r="AM383" t="n">
        <v>3</v>
      </c>
      <c r="AN383" t="n">
        <v>0</v>
      </c>
      <c r="AO383" t="n">
        <v>0</v>
      </c>
      <c r="AP383" t="inlineStr">
        <is>
          <t>No</t>
        </is>
      </c>
      <c r="AQ383" t="inlineStr">
        <is>
          <t>Yes</t>
        </is>
      </c>
      <c r="AR383">
        <f>HYPERLINK("http://catalog.hathitrust.org/Record/003003999","HathiTrust Record")</f>
        <v/>
      </c>
      <c r="AS383">
        <f>HYPERLINK("https://creighton-primo.hosted.exlibrisgroup.com/primo-explore/search?tab=default_tab&amp;search_scope=EVERYTHING&amp;vid=01CRU&amp;lang=en_US&amp;offset=0&amp;query=any,contains,991002450889702656","Catalog Record")</f>
        <v/>
      </c>
      <c r="AT383">
        <f>HYPERLINK("http://www.worldcat.org/oclc/31969537","WorldCat Record")</f>
        <v/>
      </c>
      <c r="AU383" t="inlineStr">
        <is>
          <t>641791:eng</t>
        </is>
      </c>
      <c r="AV383" t="inlineStr">
        <is>
          <t>31969537</t>
        </is>
      </c>
      <c r="AW383" t="inlineStr">
        <is>
          <t>991002450889702656</t>
        </is>
      </c>
      <c r="AX383" t="inlineStr">
        <is>
          <t>991002450889702656</t>
        </is>
      </c>
      <c r="AY383" t="inlineStr">
        <is>
          <t>2263064320002656</t>
        </is>
      </c>
      <c r="AZ383" t="inlineStr">
        <is>
          <t>BOOK</t>
        </is>
      </c>
      <c r="BB383" t="inlineStr">
        <is>
          <t>9780399140884</t>
        </is>
      </c>
      <c r="BC383" t="inlineStr">
        <is>
          <t>32285002145430</t>
        </is>
      </c>
      <c r="BD383" t="inlineStr">
        <is>
          <t>893786154</t>
        </is>
      </c>
    </row>
    <row r="384">
      <c r="A384" t="inlineStr">
        <is>
          <t>No</t>
        </is>
      </c>
      <c r="B384" t="inlineStr">
        <is>
          <t>HM221 .C366 1997</t>
        </is>
      </c>
      <c r="C384" t="inlineStr">
        <is>
          <t>0                      HM 0221000C  366         1997</t>
        </is>
      </c>
      <c r="D384" t="inlineStr">
        <is>
          <t>The power of identity / Manuel Castells.</t>
        </is>
      </c>
      <c r="F384" t="inlineStr">
        <is>
          <t>No</t>
        </is>
      </c>
      <c r="G384" t="inlineStr">
        <is>
          <t>1</t>
        </is>
      </c>
      <c r="H384" t="inlineStr">
        <is>
          <t>No</t>
        </is>
      </c>
      <c r="I384" t="inlineStr">
        <is>
          <t>No</t>
        </is>
      </c>
      <c r="J384" t="inlineStr">
        <is>
          <t>0</t>
        </is>
      </c>
      <c r="K384" t="inlineStr">
        <is>
          <t>Castells, Manuel, 1942-</t>
        </is>
      </c>
      <c r="L384" t="inlineStr">
        <is>
          <t>Malden, Mass. : Blackwell, 1997.</t>
        </is>
      </c>
      <c r="M384" t="inlineStr">
        <is>
          <t>1997</t>
        </is>
      </c>
      <c r="O384" t="inlineStr">
        <is>
          <t>eng</t>
        </is>
      </c>
      <c r="P384" t="inlineStr">
        <is>
          <t>mau</t>
        </is>
      </c>
      <c r="Q384" t="inlineStr">
        <is>
          <t>Information age ; v. 2</t>
        </is>
      </c>
      <c r="R384" t="inlineStr">
        <is>
          <t xml:space="preserve">HM </t>
        </is>
      </c>
      <c r="S384" t="n">
        <v>3</v>
      </c>
      <c r="T384" t="n">
        <v>3</v>
      </c>
      <c r="U384" t="inlineStr">
        <is>
          <t>1999-12-03</t>
        </is>
      </c>
      <c r="V384" t="inlineStr">
        <is>
          <t>1999-12-03</t>
        </is>
      </c>
      <c r="W384" t="inlineStr">
        <is>
          <t>1999-06-08</t>
        </is>
      </c>
      <c r="X384" t="inlineStr">
        <is>
          <t>1999-06-08</t>
        </is>
      </c>
      <c r="Y384" t="n">
        <v>778</v>
      </c>
      <c r="Z384" t="n">
        <v>491</v>
      </c>
      <c r="AA384" t="n">
        <v>941</v>
      </c>
      <c r="AB384" t="n">
        <v>1</v>
      </c>
      <c r="AC384" t="n">
        <v>7</v>
      </c>
      <c r="AD384" t="n">
        <v>22</v>
      </c>
      <c r="AE384" t="n">
        <v>44</v>
      </c>
      <c r="AF384" t="n">
        <v>9</v>
      </c>
      <c r="AG384" t="n">
        <v>17</v>
      </c>
      <c r="AH384" t="n">
        <v>5</v>
      </c>
      <c r="AI384" t="n">
        <v>9</v>
      </c>
      <c r="AJ384" t="n">
        <v>12</v>
      </c>
      <c r="AK384" t="n">
        <v>17</v>
      </c>
      <c r="AL384" t="n">
        <v>0</v>
      </c>
      <c r="AM384" t="n">
        <v>6</v>
      </c>
      <c r="AN384" t="n">
        <v>1</v>
      </c>
      <c r="AO384" t="n">
        <v>2</v>
      </c>
      <c r="AP384" t="inlineStr">
        <is>
          <t>No</t>
        </is>
      </c>
      <c r="AQ384" t="inlineStr">
        <is>
          <t>No</t>
        </is>
      </c>
      <c r="AS384">
        <f>HYPERLINK("https://creighton-primo.hosted.exlibrisgroup.com/primo-explore/search?tab=default_tab&amp;search_scope=EVERYTHING&amp;vid=01CRU&amp;lang=en_US&amp;offset=0&amp;query=any,contains,991002703939702656","Catalog Record")</f>
        <v/>
      </c>
      <c r="AT384">
        <f>HYPERLINK("http://www.worldcat.org/oclc/35298606","WorldCat Record")</f>
        <v/>
      </c>
      <c r="AU384" t="inlineStr">
        <is>
          <t>11003924:eng</t>
        </is>
      </c>
      <c r="AV384" t="inlineStr">
        <is>
          <t>35298606</t>
        </is>
      </c>
      <c r="AW384" t="inlineStr">
        <is>
          <t>991002703939702656</t>
        </is>
      </c>
      <c r="AX384" t="inlineStr">
        <is>
          <t>991002703939702656</t>
        </is>
      </c>
      <c r="AY384" t="inlineStr">
        <is>
          <t>2260428010002656</t>
        </is>
      </c>
      <c r="AZ384" t="inlineStr">
        <is>
          <t>BOOK</t>
        </is>
      </c>
      <c r="BB384" t="inlineStr">
        <is>
          <t>9781557868732</t>
        </is>
      </c>
      <c r="BC384" t="inlineStr">
        <is>
          <t>32285003573903</t>
        </is>
      </c>
      <c r="BD384" t="inlineStr">
        <is>
          <t>893257610</t>
        </is>
      </c>
    </row>
    <row r="385">
      <c r="A385" t="inlineStr">
        <is>
          <t>No</t>
        </is>
      </c>
      <c r="B385" t="inlineStr">
        <is>
          <t>HM221 .E4313</t>
        </is>
      </c>
      <c r="C385" t="inlineStr">
        <is>
          <t>0                      HM 0221000E  4313</t>
        </is>
      </c>
      <c r="D385" t="inlineStr">
        <is>
          <t>The technological system / Jacques Ellul ; translated from the French by Joachim Neugroschel.</t>
        </is>
      </c>
      <c r="F385" t="inlineStr">
        <is>
          <t>No</t>
        </is>
      </c>
      <c r="G385" t="inlineStr">
        <is>
          <t>1</t>
        </is>
      </c>
      <c r="H385" t="inlineStr">
        <is>
          <t>No</t>
        </is>
      </c>
      <c r="I385" t="inlineStr">
        <is>
          <t>No</t>
        </is>
      </c>
      <c r="J385" t="inlineStr">
        <is>
          <t>0</t>
        </is>
      </c>
      <c r="K385" t="inlineStr">
        <is>
          <t>Ellul, Jacques, 1912-1994.</t>
        </is>
      </c>
      <c r="L385" t="inlineStr">
        <is>
          <t>New York : Continuum, 1980.</t>
        </is>
      </c>
      <c r="M385" t="inlineStr">
        <is>
          <t>1980</t>
        </is>
      </c>
      <c r="O385" t="inlineStr">
        <is>
          <t>eng</t>
        </is>
      </c>
      <c r="P385" t="inlineStr">
        <is>
          <t>nyu</t>
        </is>
      </c>
      <c r="R385" t="inlineStr">
        <is>
          <t xml:space="preserve">HM </t>
        </is>
      </c>
      <c r="S385" t="n">
        <v>7</v>
      </c>
      <c r="T385" t="n">
        <v>7</v>
      </c>
      <c r="U385" t="inlineStr">
        <is>
          <t>2006-09-07</t>
        </is>
      </c>
      <c r="V385" t="inlineStr">
        <is>
          <t>2006-09-07</t>
        </is>
      </c>
      <c r="W385" t="inlineStr">
        <is>
          <t>1992-09-01</t>
        </is>
      </c>
      <c r="X385" t="inlineStr">
        <is>
          <t>1992-09-01</t>
        </is>
      </c>
      <c r="Y385" t="n">
        <v>766</v>
      </c>
      <c r="Z385" t="n">
        <v>653</v>
      </c>
      <c r="AA385" t="n">
        <v>656</v>
      </c>
      <c r="AB385" t="n">
        <v>5</v>
      </c>
      <c r="AC385" t="n">
        <v>5</v>
      </c>
      <c r="AD385" t="n">
        <v>37</v>
      </c>
      <c r="AE385" t="n">
        <v>37</v>
      </c>
      <c r="AF385" t="n">
        <v>15</v>
      </c>
      <c r="AG385" t="n">
        <v>15</v>
      </c>
      <c r="AH385" t="n">
        <v>8</v>
      </c>
      <c r="AI385" t="n">
        <v>8</v>
      </c>
      <c r="AJ385" t="n">
        <v>21</v>
      </c>
      <c r="AK385" t="n">
        <v>21</v>
      </c>
      <c r="AL385" t="n">
        <v>4</v>
      </c>
      <c r="AM385" t="n">
        <v>4</v>
      </c>
      <c r="AN385" t="n">
        <v>0</v>
      </c>
      <c r="AO385" t="n">
        <v>0</v>
      </c>
      <c r="AP385" t="inlineStr">
        <is>
          <t>No</t>
        </is>
      </c>
      <c r="AQ385" t="inlineStr">
        <is>
          <t>Yes</t>
        </is>
      </c>
      <c r="AR385">
        <f>HYPERLINK("http://catalog.hathitrust.org/Record/000127358","HathiTrust Record")</f>
        <v/>
      </c>
      <c r="AS385">
        <f>HYPERLINK("https://creighton-primo.hosted.exlibrisgroup.com/primo-explore/search?tab=default_tab&amp;search_scope=EVERYTHING&amp;vid=01CRU&amp;lang=en_US&amp;offset=0&amp;query=any,contains,991004968909702656","Catalog Record")</f>
        <v/>
      </c>
      <c r="AT385">
        <f>HYPERLINK("http://www.worldcat.org/oclc/6356064","WorldCat Record")</f>
        <v/>
      </c>
      <c r="AU385" t="inlineStr">
        <is>
          <t>179421222:eng</t>
        </is>
      </c>
      <c r="AV385" t="inlineStr">
        <is>
          <t>6356064</t>
        </is>
      </c>
      <c r="AW385" t="inlineStr">
        <is>
          <t>991004968909702656</t>
        </is>
      </c>
      <c r="AX385" t="inlineStr">
        <is>
          <t>991004968909702656</t>
        </is>
      </c>
      <c r="AY385" t="inlineStr">
        <is>
          <t>2255494920002656</t>
        </is>
      </c>
      <c r="AZ385" t="inlineStr">
        <is>
          <t>BOOK</t>
        </is>
      </c>
      <c r="BC385" t="inlineStr">
        <is>
          <t>32285001267151</t>
        </is>
      </c>
      <c r="BD385" t="inlineStr">
        <is>
          <t>893332225</t>
        </is>
      </c>
    </row>
    <row r="386">
      <c r="A386" t="inlineStr">
        <is>
          <t>No</t>
        </is>
      </c>
      <c r="B386" t="inlineStr">
        <is>
          <t>HM221 .I45 1988</t>
        </is>
      </c>
      <c r="C386" t="inlineStr">
        <is>
          <t>0                      HM 0221000I  45          1988</t>
        </is>
      </c>
      <c r="D386" t="inlineStr">
        <is>
          <t>Information horizons : the long-term social implications of new information technologies / Ian Miles ... [et al.].</t>
        </is>
      </c>
      <c r="F386" t="inlineStr">
        <is>
          <t>No</t>
        </is>
      </c>
      <c r="G386" t="inlineStr">
        <is>
          <t>1</t>
        </is>
      </c>
      <c r="H386" t="inlineStr">
        <is>
          <t>No</t>
        </is>
      </c>
      <c r="I386" t="inlineStr">
        <is>
          <t>No</t>
        </is>
      </c>
      <c r="J386" t="inlineStr">
        <is>
          <t>0</t>
        </is>
      </c>
      <c r="L386" t="inlineStr">
        <is>
          <t>Aldershot, Hants, England : E. Elgar Pub. ; Brookfield, VT, USA : Gower Pub. Co., c1988.</t>
        </is>
      </c>
      <c r="M386" t="inlineStr">
        <is>
          <t>1988</t>
        </is>
      </c>
      <c r="O386" t="inlineStr">
        <is>
          <t>eng</t>
        </is>
      </c>
      <c r="P386" t="inlineStr">
        <is>
          <t>enk</t>
        </is>
      </c>
      <c r="R386" t="inlineStr">
        <is>
          <t xml:space="preserve">HM </t>
        </is>
      </c>
      <c r="S386" t="n">
        <v>1</v>
      </c>
      <c r="T386" t="n">
        <v>1</v>
      </c>
      <c r="U386" t="inlineStr">
        <is>
          <t>2001-04-18</t>
        </is>
      </c>
      <c r="V386" t="inlineStr">
        <is>
          <t>2001-04-18</t>
        </is>
      </c>
      <c r="W386" t="inlineStr">
        <is>
          <t>1989-11-13</t>
        </is>
      </c>
      <c r="X386" t="inlineStr">
        <is>
          <t>1989-11-13</t>
        </is>
      </c>
      <c r="Y386" t="n">
        <v>304</v>
      </c>
      <c r="Z386" t="n">
        <v>172</v>
      </c>
      <c r="AA386" t="n">
        <v>179</v>
      </c>
      <c r="AB386" t="n">
        <v>2</v>
      </c>
      <c r="AC386" t="n">
        <v>2</v>
      </c>
      <c r="AD386" t="n">
        <v>4</v>
      </c>
      <c r="AE386" t="n">
        <v>4</v>
      </c>
      <c r="AF386" t="n">
        <v>1</v>
      </c>
      <c r="AG386" t="n">
        <v>1</v>
      </c>
      <c r="AH386" t="n">
        <v>1</v>
      </c>
      <c r="AI386" t="n">
        <v>1</v>
      </c>
      <c r="AJ386" t="n">
        <v>2</v>
      </c>
      <c r="AK386" t="n">
        <v>2</v>
      </c>
      <c r="AL386" t="n">
        <v>1</v>
      </c>
      <c r="AM386" t="n">
        <v>1</v>
      </c>
      <c r="AN386" t="n">
        <v>0</v>
      </c>
      <c r="AO386" t="n">
        <v>0</v>
      </c>
      <c r="AP386" t="inlineStr">
        <is>
          <t>No</t>
        </is>
      </c>
      <c r="AQ386" t="inlineStr">
        <is>
          <t>Yes</t>
        </is>
      </c>
      <c r="AR386">
        <f>HYPERLINK("http://catalog.hathitrust.org/Record/000927042","HathiTrust Record")</f>
        <v/>
      </c>
      <c r="AS386">
        <f>HYPERLINK("https://creighton-primo.hosted.exlibrisgroup.com/primo-explore/search?tab=default_tab&amp;search_scope=EVERYTHING&amp;vid=01CRU&amp;lang=en_US&amp;offset=0&amp;query=any,contains,991001337229702656","Catalog Record")</f>
        <v/>
      </c>
      <c r="AT386">
        <f>HYPERLINK("http://www.worldcat.org/oclc/18352021","WorldCat Record")</f>
        <v/>
      </c>
      <c r="AU386" t="inlineStr">
        <is>
          <t>836717848:eng</t>
        </is>
      </c>
      <c r="AV386" t="inlineStr">
        <is>
          <t>18352021</t>
        </is>
      </c>
      <c r="AW386" t="inlineStr">
        <is>
          <t>991001337229702656</t>
        </is>
      </c>
      <c r="AX386" t="inlineStr">
        <is>
          <t>991001337229702656</t>
        </is>
      </c>
      <c r="AY386" t="inlineStr">
        <is>
          <t>2272608630002656</t>
        </is>
      </c>
      <c r="AZ386" t="inlineStr">
        <is>
          <t>BOOK</t>
        </is>
      </c>
      <c r="BB386" t="inlineStr">
        <is>
          <t>9781852780418</t>
        </is>
      </c>
      <c r="BC386" t="inlineStr">
        <is>
          <t>32285000012491</t>
        </is>
      </c>
      <c r="BD386" t="inlineStr">
        <is>
          <t>893621262</t>
        </is>
      </c>
    </row>
    <row r="387">
      <c r="A387" t="inlineStr">
        <is>
          <t>No</t>
        </is>
      </c>
      <c r="B387" t="inlineStr">
        <is>
          <t>HM221 .K588 1998</t>
        </is>
      </c>
      <c r="C387" t="inlineStr">
        <is>
          <t>0                      HM 0221000K  588         1998</t>
        </is>
      </c>
      <c r="D387" t="inlineStr">
        <is>
          <t>Civilizing the Internet : global concerns and efforts toward regulation / Joseph Migga Kizza.</t>
        </is>
      </c>
      <c r="F387" t="inlineStr">
        <is>
          <t>No</t>
        </is>
      </c>
      <c r="G387" t="inlineStr">
        <is>
          <t>1</t>
        </is>
      </c>
      <c r="H387" t="inlineStr">
        <is>
          <t>No</t>
        </is>
      </c>
      <c r="I387" t="inlineStr">
        <is>
          <t>No</t>
        </is>
      </c>
      <c r="J387" t="inlineStr">
        <is>
          <t>0</t>
        </is>
      </c>
      <c r="K387" t="inlineStr">
        <is>
          <t>Kizza, Joseph Migga.</t>
        </is>
      </c>
      <c r="L387" t="inlineStr">
        <is>
          <t>Jefferson, N.C. : McFarland, c1998.</t>
        </is>
      </c>
      <c r="M387" t="inlineStr">
        <is>
          <t>1998</t>
        </is>
      </c>
      <c r="O387" t="inlineStr">
        <is>
          <t>eng</t>
        </is>
      </c>
      <c r="P387" t="inlineStr">
        <is>
          <t>ncu</t>
        </is>
      </c>
      <c r="R387" t="inlineStr">
        <is>
          <t xml:space="preserve">HM </t>
        </is>
      </c>
      <c r="S387" t="n">
        <v>10</v>
      </c>
      <c r="T387" t="n">
        <v>10</v>
      </c>
      <c r="U387" t="inlineStr">
        <is>
          <t>2001-12-18</t>
        </is>
      </c>
      <c r="V387" t="inlineStr">
        <is>
          <t>2001-12-18</t>
        </is>
      </c>
      <c r="W387" t="inlineStr">
        <is>
          <t>1998-11-02</t>
        </is>
      </c>
      <c r="X387" t="inlineStr">
        <is>
          <t>1998-11-02</t>
        </is>
      </c>
      <c r="Y387" t="n">
        <v>344</v>
      </c>
      <c r="Z387" t="n">
        <v>291</v>
      </c>
      <c r="AA387" t="n">
        <v>298</v>
      </c>
      <c r="AB387" t="n">
        <v>3</v>
      </c>
      <c r="AC387" t="n">
        <v>3</v>
      </c>
      <c r="AD387" t="n">
        <v>21</v>
      </c>
      <c r="AE387" t="n">
        <v>21</v>
      </c>
      <c r="AF387" t="n">
        <v>3</v>
      </c>
      <c r="AG387" t="n">
        <v>3</v>
      </c>
      <c r="AH387" t="n">
        <v>4</v>
      </c>
      <c r="AI387" t="n">
        <v>4</v>
      </c>
      <c r="AJ387" t="n">
        <v>8</v>
      </c>
      <c r="AK387" t="n">
        <v>8</v>
      </c>
      <c r="AL387" t="n">
        <v>2</v>
      </c>
      <c r="AM387" t="n">
        <v>2</v>
      </c>
      <c r="AN387" t="n">
        <v>7</v>
      </c>
      <c r="AO387" t="n">
        <v>7</v>
      </c>
      <c r="AP387" t="inlineStr">
        <is>
          <t>No</t>
        </is>
      </c>
      <c r="AQ387" t="inlineStr">
        <is>
          <t>Yes</t>
        </is>
      </c>
      <c r="AR387">
        <f>HYPERLINK("http://catalog.hathitrust.org/Record/003999135","HathiTrust Record")</f>
        <v/>
      </c>
      <c r="AS387">
        <f>HYPERLINK("https://creighton-primo.hosted.exlibrisgroup.com/primo-explore/search?tab=default_tab&amp;search_scope=EVERYTHING&amp;vid=01CRU&amp;lang=en_US&amp;offset=0&amp;query=any,contains,991002949709702656","Catalog Record")</f>
        <v/>
      </c>
      <c r="AT387">
        <f>HYPERLINK("http://www.worldcat.org/oclc/39307304","WorldCat Record")</f>
        <v/>
      </c>
      <c r="AU387" t="inlineStr">
        <is>
          <t>375719263:eng</t>
        </is>
      </c>
      <c r="AV387" t="inlineStr">
        <is>
          <t>39307304</t>
        </is>
      </c>
      <c r="AW387" t="inlineStr">
        <is>
          <t>991002949709702656</t>
        </is>
      </c>
      <c r="AX387" t="inlineStr">
        <is>
          <t>991002949709702656</t>
        </is>
      </c>
      <c r="AY387" t="inlineStr">
        <is>
          <t>2255487360002656</t>
        </is>
      </c>
      <c r="AZ387" t="inlineStr">
        <is>
          <t>BOOK</t>
        </is>
      </c>
      <c r="BB387" t="inlineStr">
        <is>
          <t>9780786405398</t>
        </is>
      </c>
      <c r="BC387" t="inlineStr">
        <is>
          <t>32285003479333</t>
        </is>
      </c>
      <c r="BD387" t="inlineStr">
        <is>
          <t>893685996</t>
        </is>
      </c>
    </row>
    <row r="388">
      <c r="A388" t="inlineStr">
        <is>
          <t>No</t>
        </is>
      </c>
      <c r="B388" t="inlineStr">
        <is>
          <t>HM221 .K737 1996</t>
        </is>
      </c>
      <c r="C388" t="inlineStr">
        <is>
          <t>0                      HM 0221000K  737         1996</t>
        </is>
      </c>
      <c r="D388" t="inlineStr">
        <is>
          <t>Hacking the future : stories for the flesh-eating 90s / Arthur &amp; Marilouise Kroker.</t>
        </is>
      </c>
      <c r="F388" t="inlineStr">
        <is>
          <t>No</t>
        </is>
      </c>
      <c r="G388" t="inlineStr">
        <is>
          <t>1</t>
        </is>
      </c>
      <c r="H388" t="inlineStr">
        <is>
          <t>No</t>
        </is>
      </c>
      <c r="I388" t="inlineStr">
        <is>
          <t>No</t>
        </is>
      </c>
      <c r="J388" t="inlineStr">
        <is>
          <t>0</t>
        </is>
      </c>
      <c r="K388" t="inlineStr">
        <is>
          <t>Kroker, Arthur, 1945-</t>
        </is>
      </c>
      <c r="L388" t="inlineStr">
        <is>
          <t>New York : St. Martin's Press, 1996.</t>
        </is>
      </c>
      <c r="M388" t="inlineStr">
        <is>
          <t>1996</t>
        </is>
      </c>
      <c r="O388" t="inlineStr">
        <is>
          <t>eng</t>
        </is>
      </c>
      <c r="P388" t="inlineStr">
        <is>
          <t>nyu</t>
        </is>
      </c>
      <c r="Q388" t="inlineStr">
        <is>
          <t>CultureTexts</t>
        </is>
      </c>
      <c r="R388" t="inlineStr">
        <is>
          <t xml:space="preserve">HM </t>
        </is>
      </c>
      <c r="S388" t="n">
        <v>4</v>
      </c>
      <c r="T388" t="n">
        <v>4</v>
      </c>
      <c r="U388" t="inlineStr">
        <is>
          <t>2000-01-28</t>
        </is>
      </c>
      <c r="V388" t="inlineStr">
        <is>
          <t>2000-01-28</t>
        </is>
      </c>
      <c r="W388" t="inlineStr">
        <is>
          <t>1996-08-15</t>
        </is>
      </c>
      <c r="X388" t="inlineStr">
        <is>
          <t>1996-08-15</t>
        </is>
      </c>
      <c r="Y388" t="n">
        <v>150</v>
      </c>
      <c r="Z388" t="n">
        <v>116</v>
      </c>
      <c r="AA388" t="n">
        <v>126</v>
      </c>
      <c r="AB388" t="n">
        <v>1</v>
      </c>
      <c r="AC388" t="n">
        <v>1</v>
      </c>
      <c r="AD388" t="n">
        <v>4</v>
      </c>
      <c r="AE388" t="n">
        <v>4</v>
      </c>
      <c r="AF388" t="n">
        <v>1</v>
      </c>
      <c r="AG388" t="n">
        <v>1</v>
      </c>
      <c r="AH388" t="n">
        <v>1</v>
      </c>
      <c r="AI388" t="n">
        <v>1</v>
      </c>
      <c r="AJ388" t="n">
        <v>3</v>
      </c>
      <c r="AK388" t="n">
        <v>3</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HYPERLINK("https://creighton-primo.hosted.exlibrisgroup.com/primo-explore/search?tab=default_tab&amp;search_scope=EVERYTHING&amp;vid=01CRU&amp;lang=en_US&amp;offset=0&amp;query=any,contains,991004712139702656","Catalog Record")</f>
        <v/>
      </c>
      <c r="AT388">
        <f>HYPERLINK("http://www.worldcat.org/oclc/33335451","WorldCat Record")</f>
        <v/>
      </c>
      <c r="AU388" t="inlineStr">
        <is>
          <t>38104533:eng</t>
        </is>
      </c>
      <c r="AV388" t="inlineStr">
        <is>
          <t>33335451</t>
        </is>
      </c>
      <c r="AW388" t="inlineStr">
        <is>
          <t>991004712139702656</t>
        </is>
      </c>
      <c r="AX388" t="inlineStr">
        <is>
          <t>991004712139702656</t>
        </is>
      </c>
      <c r="AY388" t="inlineStr">
        <is>
          <t>2258634110002656</t>
        </is>
      </c>
      <c r="AZ388" t="inlineStr">
        <is>
          <t>BOOK</t>
        </is>
      </c>
      <c r="BB388" t="inlineStr">
        <is>
          <t>9780312129552</t>
        </is>
      </c>
      <c r="BC388" t="inlineStr">
        <is>
          <t>32285002197415</t>
        </is>
      </c>
      <c r="BD388" t="inlineStr">
        <is>
          <t>893618985</t>
        </is>
      </c>
    </row>
    <row r="389">
      <c r="A389" t="inlineStr">
        <is>
          <t>No</t>
        </is>
      </c>
      <c r="B389" t="inlineStr">
        <is>
          <t>HM221 .M292 1995</t>
        </is>
      </c>
      <c r="C389" t="inlineStr">
        <is>
          <t>0                      HM 0221000M  292         1995</t>
        </is>
      </c>
      <c r="D389" t="inlineStr">
        <is>
          <t>The global information society / William J. Martin.</t>
        </is>
      </c>
      <c r="F389" t="inlineStr">
        <is>
          <t>No</t>
        </is>
      </c>
      <c r="G389" t="inlineStr">
        <is>
          <t>1</t>
        </is>
      </c>
      <c r="H389" t="inlineStr">
        <is>
          <t>No</t>
        </is>
      </c>
      <c r="I389" t="inlineStr">
        <is>
          <t>No</t>
        </is>
      </c>
      <c r="J389" t="inlineStr">
        <is>
          <t>0</t>
        </is>
      </c>
      <c r="K389" t="inlineStr">
        <is>
          <t>Martin, William J., 1938-</t>
        </is>
      </c>
      <c r="L389" t="inlineStr">
        <is>
          <t>Aldershot : Aslib Gower ; Brookfield, Vt., USA : Gower, c1995.</t>
        </is>
      </c>
      <c r="M389" t="inlineStr">
        <is>
          <t>1995</t>
        </is>
      </c>
      <c r="O389" t="inlineStr">
        <is>
          <t>eng</t>
        </is>
      </c>
      <c r="P389" t="inlineStr">
        <is>
          <t>enk</t>
        </is>
      </c>
      <c r="R389" t="inlineStr">
        <is>
          <t xml:space="preserve">HM </t>
        </is>
      </c>
      <c r="S389" t="n">
        <v>2</v>
      </c>
      <c r="T389" t="n">
        <v>2</v>
      </c>
      <c r="U389" t="inlineStr">
        <is>
          <t>2001-04-18</t>
        </is>
      </c>
      <c r="V389" t="inlineStr">
        <is>
          <t>2001-04-18</t>
        </is>
      </c>
      <c r="W389" t="inlineStr">
        <is>
          <t>1996-12-17</t>
        </is>
      </c>
      <c r="X389" t="inlineStr">
        <is>
          <t>1996-12-17</t>
        </is>
      </c>
      <c r="Y389" t="n">
        <v>435</v>
      </c>
      <c r="Z389" t="n">
        <v>228</v>
      </c>
      <c r="AA389" t="n">
        <v>245</v>
      </c>
      <c r="AB389" t="n">
        <v>5</v>
      </c>
      <c r="AC389" t="n">
        <v>5</v>
      </c>
      <c r="AD389" t="n">
        <v>13</v>
      </c>
      <c r="AE389" t="n">
        <v>13</v>
      </c>
      <c r="AF389" t="n">
        <v>4</v>
      </c>
      <c r="AG389" t="n">
        <v>4</v>
      </c>
      <c r="AH389" t="n">
        <v>2</v>
      </c>
      <c r="AI389" t="n">
        <v>2</v>
      </c>
      <c r="AJ389" t="n">
        <v>5</v>
      </c>
      <c r="AK389" t="n">
        <v>5</v>
      </c>
      <c r="AL389" t="n">
        <v>4</v>
      </c>
      <c r="AM389" t="n">
        <v>4</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HYPERLINK("https://creighton-primo.hosted.exlibrisgroup.com/primo-explore/search?tab=default_tab&amp;search_scope=EVERYTHING&amp;vid=01CRU&amp;lang=en_US&amp;offset=0&amp;query=any,contains,991002503309702656","Catalog Record")</f>
        <v/>
      </c>
      <c r="AT389">
        <f>HYPERLINK("http://www.worldcat.org/oclc/32551427","WorldCat Record")</f>
        <v/>
      </c>
      <c r="AU389" t="inlineStr">
        <is>
          <t>34061813:eng</t>
        </is>
      </c>
      <c r="AV389" t="inlineStr">
        <is>
          <t>32551427</t>
        </is>
      </c>
      <c r="AW389" t="inlineStr">
        <is>
          <t>991002503309702656</t>
        </is>
      </c>
      <c r="AX389" t="inlineStr">
        <is>
          <t>991002503309702656</t>
        </is>
      </c>
      <c r="AY389" t="inlineStr">
        <is>
          <t>2270285410002656</t>
        </is>
      </c>
      <c r="AZ389" t="inlineStr">
        <is>
          <t>BOOK</t>
        </is>
      </c>
      <c r="BB389" t="inlineStr">
        <is>
          <t>9780566077159</t>
        </is>
      </c>
      <c r="BC389" t="inlineStr">
        <is>
          <t>32285002394723</t>
        </is>
      </c>
      <c r="BD389" t="inlineStr">
        <is>
          <t>893779891</t>
        </is>
      </c>
    </row>
    <row r="390">
      <c r="A390" t="inlineStr">
        <is>
          <t>No</t>
        </is>
      </c>
      <c r="B390" t="inlineStr">
        <is>
          <t>HM221 .P427 1994</t>
        </is>
      </c>
      <c r="C390" t="inlineStr">
        <is>
          <t>0                      HM 0221000P  427         1994</t>
        </is>
      </c>
      <c r="D390" t="inlineStr">
        <is>
          <t>The People's right to know : media, democracy, and the information highway / Frederick Williams, John V. Pavlik, editors.</t>
        </is>
      </c>
      <c r="F390" t="inlineStr">
        <is>
          <t>No</t>
        </is>
      </c>
      <c r="G390" t="inlineStr">
        <is>
          <t>1</t>
        </is>
      </c>
      <c r="H390" t="inlineStr">
        <is>
          <t>No</t>
        </is>
      </c>
      <c r="I390" t="inlineStr">
        <is>
          <t>No</t>
        </is>
      </c>
      <c r="J390" t="inlineStr">
        <is>
          <t>0</t>
        </is>
      </c>
      <c r="L390" t="inlineStr">
        <is>
          <t>Hillsdale, N.J. : L. Erlbaum Associates, 1994.</t>
        </is>
      </c>
      <c r="M390" t="inlineStr">
        <is>
          <t>1994</t>
        </is>
      </c>
      <c r="O390" t="inlineStr">
        <is>
          <t>eng</t>
        </is>
      </c>
      <c r="P390" t="inlineStr">
        <is>
          <t>nju</t>
        </is>
      </c>
      <c r="Q390" t="inlineStr">
        <is>
          <t>LEA telecommunications series</t>
        </is>
      </c>
      <c r="R390" t="inlineStr">
        <is>
          <t xml:space="preserve">HM </t>
        </is>
      </c>
      <c r="S390" t="n">
        <v>8</v>
      </c>
      <c r="T390" t="n">
        <v>8</v>
      </c>
      <c r="U390" t="inlineStr">
        <is>
          <t>2004-03-31</t>
        </is>
      </c>
      <c r="V390" t="inlineStr">
        <is>
          <t>2004-03-31</t>
        </is>
      </c>
      <c r="W390" t="inlineStr">
        <is>
          <t>1994-11-17</t>
        </is>
      </c>
      <c r="X390" t="inlineStr">
        <is>
          <t>1994-11-17</t>
        </is>
      </c>
      <c r="Y390" t="n">
        <v>623</v>
      </c>
      <c r="Z390" t="n">
        <v>529</v>
      </c>
      <c r="AA390" t="n">
        <v>572</v>
      </c>
      <c r="AB390" t="n">
        <v>5</v>
      </c>
      <c r="AC390" t="n">
        <v>5</v>
      </c>
      <c r="AD390" t="n">
        <v>34</v>
      </c>
      <c r="AE390" t="n">
        <v>34</v>
      </c>
      <c r="AF390" t="n">
        <v>16</v>
      </c>
      <c r="AG390" t="n">
        <v>16</v>
      </c>
      <c r="AH390" t="n">
        <v>6</v>
      </c>
      <c r="AI390" t="n">
        <v>6</v>
      </c>
      <c r="AJ390" t="n">
        <v>15</v>
      </c>
      <c r="AK390" t="n">
        <v>15</v>
      </c>
      <c r="AL390" t="n">
        <v>4</v>
      </c>
      <c r="AM390" t="n">
        <v>4</v>
      </c>
      <c r="AN390" t="n">
        <v>0</v>
      </c>
      <c r="AO390" t="n">
        <v>0</v>
      </c>
      <c r="AP390" t="inlineStr">
        <is>
          <t>No</t>
        </is>
      </c>
      <c r="AQ390" t="inlineStr">
        <is>
          <t>Yes</t>
        </is>
      </c>
      <c r="AR390">
        <f>HYPERLINK("http://catalog.hathitrust.org/Record/002780663","HathiTrust Record")</f>
        <v/>
      </c>
      <c r="AS390">
        <f>HYPERLINK("https://creighton-primo.hosted.exlibrisgroup.com/primo-explore/search?tab=default_tab&amp;search_scope=EVERYTHING&amp;vid=01CRU&amp;lang=en_US&amp;offset=0&amp;query=any,contains,991002234189702656","Catalog Record")</f>
        <v/>
      </c>
      <c r="AT390">
        <f>HYPERLINK("http://www.worldcat.org/oclc/28799622","WorldCat Record")</f>
        <v/>
      </c>
      <c r="AU390" t="inlineStr">
        <is>
          <t>836898716:eng</t>
        </is>
      </c>
      <c r="AV390" t="inlineStr">
        <is>
          <t>28799622</t>
        </is>
      </c>
      <c r="AW390" t="inlineStr">
        <is>
          <t>991002234189702656</t>
        </is>
      </c>
      <c r="AX390" t="inlineStr">
        <is>
          <t>991002234189702656</t>
        </is>
      </c>
      <c r="AY390" t="inlineStr">
        <is>
          <t>2268585390002656</t>
        </is>
      </c>
      <c r="AZ390" t="inlineStr">
        <is>
          <t>BOOK</t>
        </is>
      </c>
      <c r="BB390" t="inlineStr">
        <is>
          <t>9780805814903</t>
        </is>
      </c>
      <c r="BC390" t="inlineStr">
        <is>
          <t>32285001958742</t>
        </is>
      </c>
      <c r="BD390" t="inlineStr">
        <is>
          <t>893250979</t>
        </is>
      </c>
    </row>
    <row r="391">
      <c r="A391" t="inlineStr">
        <is>
          <t>No</t>
        </is>
      </c>
      <c r="B391" t="inlineStr">
        <is>
          <t>HM221 .R6213 1998</t>
        </is>
      </c>
      <c r="C391" t="inlineStr">
        <is>
          <t>0                      HM 0221000R  6213        1998</t>
        </is>
      </c>
      <c r="D391" t="inlineStr">
        <is>
          <t>A humane economy : the social framework of the free market / by Wilhelm Röpke ; introduction by Dermot Quinn.</t>
        </is>
      </c>
      <c r="F391" t="inlineStr">
        <is>
          <t>No</t>
        </is>
      </c>
      <c r="G391" t="inlineStr">
        <is>
          <t>1</t>
        </is>
      </c>
      <c r="H391" t="inlineStr">
        <is>
          <t>No</t>
        </is>
      </c>
      <c r="I391" t="inlineStr">
        <is>
          <t>No</t>
        </is>
      </c>
      <c r="J391" t="inlineStr">
        <is>
          <t>0</t>
        </is>
      </c>
      <c r="K391" t="inlineStr">
        <is>
          <t>Röpke, Wilhelm, 1899-1966.</t>
        </is>
      </c>
      <c r="L391" t="inlineStr">
        <is>
          <t>Wilmington, Del. : ISI Books, Intercollegiate Studies Institute, 1998.</t>
        </is>
      </c>
      <c r="M391" t="inlineStr">
        <is>
          <t>1998</t>
        </is>
      </c>
      <c r="N391" t="inlineStr">
        <is>
          <t>3rd ed.</t>
        </is>
      </c>
      <c r="O391" t="inlineStr">
        <is>
          <t>eng</t>
        </is>
      </c>
      <c r="P391" t="inlineStr">
        <is>
          <t>deu</t>
        </is>
      </c>
      <c r="R391" t="inlineStr">
        <is>
          <t xml:space="preserve">HM </t>
        </is>
      </c>
      <c r="S391" t="n">
        <v>1</v>
      </c>
      <c r="T391" t="n">
        <v>1</v>
      </c>
      <c r="U391" t="inlineStr">
        <is>
          <t>2000-09-12</t>
        </is>
      </c>
      <c r="V391" t="inlineStr">
        <is>
          <t>2000-09-12</t>
        </is>
      </c>
      <c r="W391" t="inlineStr">
        <is>
          <t>2000-09-12</t>
        </is>
      </c>
      <c r="X391" t="inlineStr">
        <is>
          <t>2000-09-12</t>
        </is>
      </c>
      <c r="Y391" t="n">
        <v>225</v>
      </c>
      <c r="Z391" t="n">
        <v>197</v>
      </c>
      <c r="AA391" t="n">
        <v>941</v>
      </c>
      <c r="AB391" t="n">
        <v>2</v>
      </c>
      <c r="AC391" t="n">
        <v>6</v>
      </c>
      <c r="AD391" t="n">
        <v>6</v>
      </c>
      <c r="AE391" t="n">
        <v>42</v>
      </c>
      <c r="AF391" t="n">
        <v>1</v>
      </c>
      <c r="AG391" t="n">
        <v>17</v>
      </c>
      <c r="AH391" t="n">
        <v>1</v>
      </c>
      <c r="AI391" t="n">
        <v>9</v>
      </c>
      <c r="AJ391" t="n">
        <v>3</v>
      </c>
      <c r="AK391" t="n">
        <v>20</v>
      </c>
      <c r="AL391" t="n">
        <v>1</v>
      </c>
      <c r="AM391" t="n">
        <v>5</v>
      </c>
      <c r="AN391" t="n">
        <v>1</v>
      </c>
      <c r="AO391" t="n">
        <v>2</v>
      </c>
      <c r="AP391" t="inlineStr">
        <is>
          <t>No</t>
        </is>
      </c>
      <c r="AQ391" t="inlineStr">
        <is>
          <t>Yes</t>
        </is>
      </c>
      <c r="AR391">
        <f>HYPERLINK("http://catalog.hathitrust.org/Record/007052510","HathiTrust Record")</f>
        <v/>
      </c>
      <c r="AS391">
        <f>HYPERLINK("https://creighton-primo.hosted.exlibrisgroup.com/primo-explore/search?tab=default_tab&amp;search_scope=EVERYTHING&amp;vid=01CRU&amp;lang=en_US&amp;offset=0&amp;query=any,contains,991003245539702656","Catalog Record")</f>
        <v/>
      </c>
      <c r="AT391">
        <f>HYPERLINK("http://www.worldcat.org/oclc/40170017","WorldCat Record")</f>
        <v/>
      </c>
      <c r="AU391" t="inlineStr">
        <is>
          <t>4757722250:eng</t>
        </is>
      </c>
      <c r="AV391" t="inlineStr">
        <is>
          <t>40170017</t>
        </is>
      </c>
      <c r="AW391" t="inlineStr">
        <is>
          <t>991003245539702656</t>
        </is>
      </c>
      <c r="AX391" t="inlineStr">
        <is>
          <t>991003245539702656</t>
        </is>
      </c>
      <c r="AY391" t="inlineStr">
        <is>
          <t>2266820860002656</t>
        </is>
      </c>
      <c r="AZ391" t="inlineStr">
        <is>
          <t>BOOK</t>
        </is>
      </c>
      <c r="BB391" t="inlineStr">
        <is>
          <t>9781882926244</t>
        </is>
      </c>
      <c r="BC391" t="inlineStr">
        <is>
          <t>32285003761250</t>
        </is>
      </c>
      <c r="BD391" t="inlineStr">
        <is>
          <t>893874573</t>
        </is>
      </c>
    </row>
    <row r="392">
      <c r="A392" t="inlineStr">
        <is>
          <t>No</t>
        </is>
      </c>
      <c r="B392" t="inlineStr">
        <is>
          <t>HM221 .S365 1979</t>
        </is>
      </c>
      <c r="C392" t="inlineStr">
        <is>
          <t>0                      HM 0221000S  365         1979</t>
        </is>
      </c>
      <c r="D392" t="inlineStr">
        <is>
          <t>Good work / E. F. Schumacher.</t>
        </is>
      </c>
      <c r="F392" t="inlineStr">
        <is>
          <t>No</t>
        </is>
      </c>
      <c r="G392" t="inlineStr">
        <is>
          <t>1</t>
        </is>
      </c>
      <c r="H392" t="inlineStr">
        <is>
          <t>No</t>
        </is>
      </c>
      <c r="I392" t="inlineStr">
        <is>
          <t>No</t>
        </is>
      </c>
      <c r="J392" t="inlineStr">
        <is>
          <t>0</t>
        </is>
      </c>
      <c r="K392" t="inlineStr">
        <is>
          <t>Schumacher, E. F. (Ernst Friedrich), 1911-1977.</t>
        </is>
      </c>
      <c r="L392" t="inlineStr">
        <is>
          <t>New York : Harper &amp; Row, c1979.</t>
        </is>
      </c>
      <c r="M392" t="inlineStr">
        <is>
          <t>1979</t>
        </is>
      </c>
      <c r="N392" t="inlineStr">
        <is>
          <t>1st ed.</t>
        </is>
      </c>
      <c r="O392" t="inlineStr">
        <is>
          <t>eng</t>
        </is>
      </c>
      <c r="P392" t="inlineStr">
        <is>
          <t>nyu</t>
        </is>
      </c>
      <c r="R392" t="inlineStr">
        <is>
          <t xml:space="preserve">HM </t>
        </is>
      </c>
      <c r="S392" t="n">
        <v>6</v>
      </c>
      <c r="T392" t="n">
        <v>6</v>
      </c>
      <c r="U392" t="inlineStr">
        <is>
          <t>2008-11-01</t>
        </is>
      </c>
      <c r="V392" t="inlineStr">
        <is>
          <t>2008-11-01</t>
        </is>
      </c>
      <c r="W392" t="inlineStr">
        <is>
          <t>1994-01-12</t>
        </is>
      </c>
      <c r="X392" t="inlineStr">
        <is>
          <t>1994-01-12</t>
        </is>
      </c>
      <c r="Y392" t="n">
        <v>976</v>
      </c>
      <c r="Z392" t="n">
        <v>889</v>
      </c>
      <c r="AA392" t="n">
        <v>946</v>
      </c>
      <c r="AB392" t="n">
        <v>4</v>
      </c>
      <c r="AC392" t="n">
        <v>4</v>
      </c>
      <c r="AD392" t="n">
        <v>34</v>
      </c>
      <c r="AE392" t="n">
        <v>37</v>
      </c>
      <c r="AF392" t="n">
        <v>12</v>
      </c>
      <c r="AG392" t="n">
        <v>13</v>
      </c>
      <c r="AH392" t="n">
        <v>9</v>
      </c>
      <c r="AI392" t="n">
        <v>9</v>
      </c>
      <c r="AJ392" t="n">
        <v>19</v>
      </c>
      <c r="AK392" t="n">
        <v>22</v>
      </c>
      <c r="AL392" t="n">
        <v>3</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HYPERLINK("https://creighton-primo.hosted.exlibrisgroup.com/primo-explore/search?tab=default_tab&amp;search_scope=EVERYTHING&amp;vid=01CRU&amp;lang=en_US&amp;offset=0&amp;query=any,contains,991004682019702656","Catalog Record")</f>
        <v/>
      </c>
      <c r="AT392">
        <f>HYPERLINK("http://www.worldcat.org/oclc/4570721","WorldCat Record")</f>
        <v/>
      </c>
      <c r="AU392" t="inlineStr">
        <is>
          <t>402507:eng</t>
        </is>
      </c>
      <c r="AV392" t="inlineStr">
        <is>
          <t>4570721</t>
        </is>
      </c>
      <c r="AW392" t="inlineStr">
        <is>
          <t>991004682019702656</t>
        </is>
      </c>
      <c r="AX392" t="inlineStr">
        <is>
          <t>991004682019702656</t>
        </is>
      </c>
      <c r="AY392" t="inlineStr">
        <is>
          <t>2268073130002656</t>
        </is>
      </c>
      <c r="AZ392" t="inlineStr">
        <is>
          <t>BOOK</t>
        </is>
      </c>
      <c r="BB392" t="inlineStr">
        <is>
          <t>9780060138578</t>
        </is>
      </c>
      <c r="BC392" t="inlineStr">
        <is>
          <t>32285001829331</t>
        </is>
      </c>
      <c r="BD392" t="inlineStr">
        <is>
          <t>893446332</t>
        </is>
      </c>
    </row>
    <row r="393">
      <c r="A393" t="inlineStr">
        <is>
          <t>No</t>
        </is>
      </c>
      <c r="B393" t="inlineStr">
        <is>
          <t>HM221 .S515 1997</t>
        </is>
      </c>
      <c r="C393" t="inlineStr">
        <is>
          <t>0                      HM 0221000S  515         1997</t>
        </is>
      </c>
      <c r="D393" t="inlineStr">
        <is>
          <t>Data smog : surviving the information glut / David Shenk.</t>
        </is>
      </c>
      <c r="F393" t="inlineStr">
        <is>
          <t>No</t>
        </is>
      </c>
      <c r="G393" t="inlineStr">
        <is>
          <t>1</t>
        </is>
      </c>
      <c r="H393" t="inlineStr">
        <is>
          <t>No</t>
        </is>
      </c>
      <c r="I393" t="inlineStr">
        <is>
          <t>No</t>
        </is>
      </c>
      <c r="J393" t="inlineStr">
        <is>
          <t>0</t>
        </is>
      </c>
      <c r="K393" t="inlineStr">
        <is>
          <t>Shenk, David, 1966-</t>
        </is>
      </c>
      <c r="L393" t="inlineStr">
        <is>
          <t>San Francisco, Calif. : Harper Edge, 1997.</t>
        </is>
      </c>
      <c r="M393" t="inlineStr">
        <is>
          <t>1997</t>
        </is>
      </c>
      <c r="N393" t="inlineStr">
        <is>
          <t>1st ed.</t>
        </is>
      </c>
      <c r="O393" t="inlineStr">
        <is>
          <t>eng</t>
        </is>
      </c>
      <c r="P393" t="inlineStr">
        <is>
          <t>cau</t>
        </is>
      </c>
      <c r="R393" t="inlineStr">
        <is>
          <t xml:space="preserve">HM </t>
        </is>
      </c>
      <c r="S393" t="n">
        <v>9</v>
      </c>
      <c r="T393" t="n">
        <v>9</v>
      </c>
      <c r="U393" t="inlineStr">
        <is>
          <t>2000-02-05</t>
        </is>
      </c>
      <c r="V393" t="inlineStr">
        <is>
          <t>2000-02-05</t>
        </is>
      </c>
      <c r="W393" t="inlineStr">
        <is>
          <t>1997-06-19</t>
        </is>
      </c>
      <c r="X393" t="inlineStr">
        <is>
          <t>1997-06-19</t>
        </is>
      </c>
      <c r="Y393" t="n">
        <v>929</v>
      </c>
      <c r="Z393" t="n">
        <v>830</v>
      </c>
      <c r="AA393" t="n">
        <v>976</v>
      </c>
      <c r="AB393" t="n">
        <v>8</v>
      </c>
      <c r="AC393" t="n">
        <v>8</v>
      </c>
      <c r="AD393" t="n">
        <v>28</v>
      </c>
      <c r="AE393" t="n">
        <v>34</v>
      </c>
      <c r="AF393" t="n">
        <v>8</v>
      </c>
      <c r="AG393" t="n">
        <v>13</v>
      </c>
      <c r="AH393" t="n">
        <v>5</v>
      </c>
      <c r="AI393" t="n">
        <v>5</v>
      </c>
      <c r="AJ393" t="n">
        <v>13</v>
      </c>
      <c r="AK393" t="n">
        <v>16</v>
      </c>
      <c r="AL393" t="n">
        <v>7</v>
      </c>
      <c r="AM393" t="n">
        <v>7</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HYPERLINK("https://creighton-primo.hosted.exlibrisgroup.com/primo-explore/search?tab=default_tab&amp;search_scope=EVERYTHING&amp;vid=01CRU&amp;lang=en_US&amp;offset=0&amp;query=any,contains,991002755929702656","Catalog Record")</f>
        <v/>
      </c>
      <c r="AT393">
        <f>HYPERLINK("http://www.worldcat.org/oclc/36147201","WorldCat Record")</f>
        <v/>
      </c>
      <c r="AU393" t="inlineStr">
        <is>
          <t>801003471:eng</t>
        </is>
      </c>
      <c r="AV393" t="inlineStr">
        <is>
          <t>36147201</t>
        </is>
      </c>
      <c r="AW393" t="inlineStr">
        <is>
          <t>991002755929702656</t>
        </is>
      </c>
      <c r="AX393" t="inlineStr">
        <is>
          <t>991002755929702656</t>
        </is>
      </c>
      <c r="AY393" t="inlineStr">
        <is>
          <t>2261653640002656</t>
        </is>
      </c>
      <c r="AZ393" t="inlineStr">
        <is>
          <t>BOOK</t>
        </is>
      </c>
      <c r="BB393" t="inlineStr">
        <is>
          <t>9780060187019</t>
        </is>
      </c>
      <c r="BC393" t="inlineStr">
        <is>
          <t>32285002752482</t>
        </is>
      </c>
      <c r="BD393" t="inlineStr">
        <is>
          <t>893257677</t>
        </is>
      </c>
    </row>
    <row r="394">
      <c r="A394" t="inlineStr">
        <is>
          <t>No</t>
        </is>
      </c>
      <c r="B394" t="inlineStr">
        <is>
          <t>HM24 .A378 1992</t>
        </is>
      </c>
      <c r="C394" t="inlineStr">
        <is>
          <t>0                      HM 0024000A  378         1992</t>
        </is>
      </c>
      <c r="D394" t="inlineStr">
        <is>
          <t>The discourse of domination : from the Frankfurt School to postmodernism / Ben Agger.</t>
        </is>
      </c>
      <c r="F394" t="inlineStr">
        <is>
          <t>No</t>
        </is>
      </c>
      <c r="G394" t="inlineStr">
        <is>
          <t>1</t>
        </is>
      </c>
      <c r="H394" t="inlineStr">
        <is>
          <t>No</t>
        </is>
      </c>
      <c r="I394" t="inlineStr">
        <is>
          <t>No</t>
        </is>
      </c>
      <c r="J394" t="inlineStr">
        <is>
          <t>0</t>
        </is>
      </c>
      <c r="K394" t="inlineStr">
        <is>
          <t>Agger, Ben.</t>
        </is>
      </c>
      <c r="L394" t="inlineStr">
        <is>
          <t>Evanston, Ill. : Northwestern University Press, 1992.</t>
        </is>
      </c>
      <c r="M394" t="inlineStr">
        <is>
          <t>1992</t>
        </is>
      </c>
      <c r="O394" t="inlineStr">
        <is>
          <t>eng</t>
        </is>
      </c>
      <c r="P394" t="inlineStr">
        <is>
          <t>ilu</t>
        </is>
      </c>
      <c r="Q394" t="inlineStr">
        <is>
          <t>Northwestern University studies in phenomenology and existential philosophy</t>
        </is>
      </c>
      <c r="R394" t="inlineStr">
        <is>
          <t xml:space="preserve">HM </t>
        </is>
      </c>
      <c r="S394" t="n">
        <v>6</v>
      </c>
      <c r="T394" t="n">
        <v>6</v>
      </c>
      <c r="U394" t="inlineStr">
        <is>
          <t>2000-10-09</t>
        </is>
      </c>
      <c r="V394" t="inlineStr">
        <is>
          <t>2000-10-09</t>
        </is>
      </c>
      <c r="W394" t="inlineStr">
        <is>
          <t>1994-12-21</t>
        </is>
      </c>
      <c r="X394" t="inlineStr">
        <is>
          <t>1994-12-21</t>
        </is>
      </c>
      <c r="Y394" t="n">
        <v>285</v>
      </c>
      <c r="Z394" t="n">
        <v>209</v>
      </c>
      <c r="AA394" t="n">
        <v>283</v>
      </c>
      <c r="AB394" t="n">
        <v>2</v>
      </c>
      <c r="AC394" t="n">
        <v>3</v>
      </c>
      <c r="AD394" t="n">
        <v>16</v>
      </c>
      <c r="AE394" t="n">
        <v>21</v>
      </c>
      <c r="AF394" t="n">
        <v>8</v>
      </c>
      <c r="AG394" t="n">
        <v>11</v>
      </c>
      <c r="AH394" t="n">
        <v>5</v>
      </c>
      <c r="AI394" t="n">
        <v>5</v>
      </c>
      <c r="AJ394" t="n">
        <v>10</v>
      </c>
      <c r="AK394" t="n">
        <v>11</v>
      </c>
      <c r="AL394" t="n">
        <v>1</v>
      </c>
      <c r="AM394" t="n">
        <v>2</v>
      </c>
      <c r="AN394" t="n">
        <v>0</v>
      </c>
      <c r="AO394" t="n">
        <v>0</v>
      </c>
      <c r="AP394" t="inlineStr">
        <is>
          <t>No</t>
        </is>
      </c>
      <c r="AQ394" t="inlineStr">
        <is>
          <t>Yes</t>
        </is>
      </c>
      <c r="AR394">
        <f>HYPERLINK("http://catalog.hathitrust.org/Record/002551675","HathiTrust Record")</f>
        <v/>
      </c>
      <c r="AS394">
        <f>HYPERLINK("https://creighton-primo.hosted.exlibrisgroup.com/primo-explore/search?tab=default_tab&amp;search_scope=EVERYTHING&amp;vid=01CRU&amp;lang=en_US&amp;offset=0&amp;query=any,contains,991005414159702656","Catalog Record")</f>
        <v/>
      </c>
      <c r="AT394">
        <f>HYPERLINK("http://www.worldcat.org/oclc/24671268","WorldCat Record")</f>
        <v/>
      </c>
      <c r="AU394" t="inlineStr">
        <is>
          <t>326340474:eng</t>
        </is>
      </c>
      <c r="AV394" t="inlineStr">
        <is>
          <t>24671268</t>
        </is>
      </c>
      <c r="AW394" t="inlineStr">
        <is>
          <t>991005414159702656</t>
        </is>
      </c>
      <c r="AX394" t="inlineStr">
        <is>
          <t>991005414159702656</t>
        </is>
      </c>
      <c r="AY394" t="inlineStr">
        <is>
          <t>2270233630002656</t>
        </is>
      </c>
      <c r="AZ394" t="inlineStr">
        <is>
          <t>BOOK</t>
        </is>
      </c>
      <c r="BB394" t="inlineStr">
        <is>
          <t>9780810110045</t>
        </is>
      </c>
      <c r="BC394" t="inlineStr">
        <is>
          <t>32285001977833</t>
        </is>
      </c>
      <c r="BD394" t="inlineStr">
        <is>
          <t>893701543</t>
        </is>
      </c>
    </row>
    <row r="395">
      <c r="A395" t="inlineStr">
        <is>
          <t>No</t>
        </is>
      </c>
      <c r="B395" t="inlineStr">
        <is>
          <t>HM24 .B669 1992</t>
        </is>
      </c>
      <c r="C395" t="inlineStr">
        <is>
          <t>0                      HM 0024000B  669         1992</t>
        </is>
      </c>
      <c r="D395" t="inlineStr">
        <is>
          <t>An invitation to reflexive sociology / Pierre Bourdieu and Loïc J.D. Wacquant.</t>
        </is>
      </c>
      <c r="F395" t="inlineStr">
        <is>
          <t>No</t>
        </is>
      </c>
      <c r="G395" t="inlineStr">
        <is>
          <t>1</t>
        </is>
      </c>
      <c r="H395" t="inlineStr">
        <is>
          <t>No</t>
        </is>
      </c>
      <c r="I395" t="inlineStr">
        <is>
          <t>No</t>
        </is>
      </c>
      <c r="J395" t="inlineStr">
        <is>
          <t>0</t>
        </is>
      </c>
      <c r="K395" t="inlineStr">
        <is>
          <t>Bourdieu, Pierre, 1930-2002.</t>
        </is>
      </c>
      <c r="L395" t="inlineStr">
        <is>
          <t>Chicago : University of Chicago Press, 1992.</t>
        </is>
      </c>
      <c r="M395" t="inlineStr">
        <is>
          <t>1992</t>
        </is>
      </c>
      <c r="O395" t="inlineStr">
        <is>
          <t>eng</t>
        </is>
      </c>
      <c r="P395" t="inlineStr">
        <is>
          <t>ilu</t>
        </is>
      </c>
      <c r="R395" t="inlineStr">
        <is>
          <t xml:space="preserve">HM </t>
        </is>
      </c>
      <c r="S395" t="n">
        <v>7</v>
      </c>
      <c r="T395" t="n">
        <v>7</v>
      </c>
      <c r="U395" t="inlineStr">
        <is>
          <t>2008-05-27</t>
        </is>
      </c>
      <c r="V395" t="inlineStr">
        <is>
          <t>2008-05-27</t>
        </is>
      </c>
      <c r="W395" t="inlineStr">
        <is>
          <t>1992-12-08</t>
        </is>
      </c>
      <c r="X395" t="inlineStr">
        <is>
          <t>1992-12-08</t>
        </is>
      </c>
      <c r="Y395" t="n">
        <v>699</v>
      </c>
      <c r="Z395" t="n">
        <v>487</v>
      </c>
      <c r="AA395" t="n">
        <v>488</v>
      </c>
      <c r="AB395" t="n">
        <v>5</v>
      </c>
      <c r="AC395" t="n">
        <v>5</v>
      </c>
      <c r="AD395" t="n">
        <v>31</v>
      </c>
      <c r="AE395" t="n">
        <v>31</v>
      </c>
      <c r="AF395" t="n">
        <v>10</v>
      </c>
      <c r="AG395" t="n">
        <v>10</v>
      </c>
      <c r="AH395" t="n">
        <v>9</v>
      </c>
      <c r="AI395" t="n">
        <v>9</v>
      </c>
      <c r="AJ395" t="n">
        <v>15</v>
      </c>
      <c r="AK395" t="n">
        <v>15</v>
      </c>
      <c r="AL395" t="n">
        <v>4</v>
      </c>
      <c r="AM395" t="n">
        <v>4</v>
      </c>
      <c r="AN395" t="n">
        <v>0</v>
      </c>
      <c r="AO395" t="n">
        <v>0</v>
      </c>
      <c r="AP395" t="inlineStr">
        <is>
          <t>No</t>
        </is>
      </c>
      <c r="AQ395" t="inlineStr">
        <is>
          <t>Yes</t>
        </is>
      </c>
      <c r="AR395">
        <f>HYPERLINK("http://catalog.hathitrust.org/Record/002554579","HathiTrust Record")</f>
        <v/>
      </c>
      <c r="AS395">
        <f>HYPERLINK("https://creighton-primo.hosted.exlibrisgroup.com/primo-explore/search?tab=default_tab&amp;search_scope=EVERYTHING&amp;vid=01CRU&amp;lang=en_US&amp;offset=0&amp;query=any,contains,991001968869702656","Catalog Record")</f>
        <v/>
      </c>
      <c r="AT395">
        <f>HYPERLINK("http://www.worldcat.org/oclc/24954068","WorldCat Record")</f>
        <v/>
      </c>
      <c r="AU395" t="inlineStr">
        <is>
          <t>57740608:eng</t>
        </is>
      </c>
      <c r="AV395" t="inlineStr">
        <is>
          <t>24954068</t>
        </is>
      </c>
      <c r="AW395" t="inlineStr">
        <is>
          <t>991001968869702656</t>
        </is>
      </c>
      <c r="AX395" t="inlineStr">
        <is>
          <t>991001968869702656</t>
        </is>
      </c>
      <c r="AY395" t="inlineStr">
        <is>
          <t>2271648870002656</t>
        </is>
      </c>
      <c r="AZ395" t="inlineStr">
        <is>
          <t>BOOK</t>
        </is>
      </c>
      <c r="BB395" t="inlineStr">
        <is>
          <t>9780226067407</t>
        </is>
      </c>
      <c r="BC395" t="inlineStr">
        <is>
          <t>32285001401578</t>
        </is>
      </c>
      <c r="BD395" t="inlineStr">
        <is>
          <t>893590782</t>
        </is>
      </c>
    </row>
    <row r="396">
      <c r="A396" t="inlineStr">
        <is>
          <t>No</t>
        </is>
      </c>
      <c r="B396" t="inlineStr">
        <is>
          <t>HM24 .C49 1979</t>
        </is>
      </c>
      <c r="C396" t="inlineStr">
        <is>
          <t>0                      HM 0024000C  49          1979</t>
        </is>
      </c>
      <c r="D396" t="inlineStr">
        <is>
          <t>The systems approach and its enemies / C. West Churchman.</t>
        </is>
      </c>
      <c r="F396" t="inlineStr">
        <is>
          <t>No</t>
        </is>
      </c>
      <c r="G396" t="inlineStr">
        <is>
          <t>1</t>
        </is>
      </c>
      <c r="H396" t="inlineStr">
        <is>
          <t>No</t>
        </is>
      </c>
      <c r="I396" t="inlineStr">
        <is>
          <t>No</t>
        </is>
      </c>
      <c r="J396" t="inlineStr">
        <is>
          <t>0</t>
        </is>
      </c>
      <c r="K396" t="inlineStr">
        <is>
          <t>Churchman, C. West (Charles West), 1913-2004.</t>
        </is>
      </c>
      <c r="L396" t="inlineStr">
        <is>
          <t>New York : Basic Books, c1979.</t>
        </is>
      </c>
      <c r="M396" t="inlineStr">
        <is>
          <t>1979</t>
        </is>
      </c>
      <c r="O396" t="inlineStr">
        <is>
          <t>eng</t>
        </is>
      </c>
      <c r="P396" t="inlineStr">
        <is>
          <t>nyu</t>
        </is>
      </c>
      <c r="R396" t="inlineStr">
        <is>
          <t xml:space="preserve">HM </t>
        </is>
      </c>
      <c r="S396" t="n">
        <v>3</v>
      </c>
      <c r="T396" t="n">
        <v>3</v>
      </c>
      <c r="U396" t="inlineStr">
        <is>
          <t>1994-04-28</t>
        </is>
      </c>
      <c r="V396" t="inlineStr">
        <is>
          <t>1994-04-28</t>
        </is>
      </c>
      <c r="W396" t="inlineStr">
        <is>
          <t>1992-07-27</t>
        </is>
      </c>
      <c r="X396" t="inlineStr">
        <is>
          <t>1992-07-27</t>
        </is>
      </c>
      <c r="Y396" t="n">
        <v>591</v>
      </c>
      <c r="Z396" t="n">
        <v>467</v>
      </c>
      <c r="AA396" t="n">
        <v>469</v>
      </c>
      <c r="AB396" t="n">
        <v>4</v>
      </c>
      <c r="AC396" t="n">
        <v>4</v>
      </c>
      <c r="AD396" t="n">
        <v>24</v>
      </c>
      <c r="AE396" t="n">
        <v>24</v>
      </c>
      <c r="AF396" t="n">
        <v>9</v>
      </c>
      <c r="AG396" t="n">
        <v>9</v>
      </c>
      <c r="AH396" t="n">
        <v>5</v>
      </c>
      <c r="AI396" t="n">
        <v>5</v>
      </c>
      <c r="AJ396" t="n">
        <v>12</v>
      </c>
      <c r="AK396" t="n">
        <v>12</v>
      </c>
      <c r="AL396" t="n">
        <v>3</v>
      </c>
      <c r="AM396" t="n">
        <v>3</v>
      </c>
      <c r="AN396" t="n">
        <v>0</v>
      </c>
      <c r="AO396" t="n">
        <v>0</v>
      </c>
      <c r="AP396" t="inlineStr">
        <is>
          <t>No</t>
        </is>
      </c>
      <c r="AQ396" t="inlineStr">
        <is>
          <t>Yes</t>
        </is>
      </c>
      <c r="AR396">
        <f>HYPERLINK("http://catalog.hathitrust.org/Record/000299123","HathiTrust Record")</f>
        <v/>
      </c>
      <c r="AS396">
        <f>HYPERLINK("https://creighton-primo.hosted.exlibrisgroup.com/primo-explore/search?tab=default_tab&amp;search_scope=EVERYTHING&amp;vid=01CRU&amp;lang=en_US&amp;offset=0&amp;query=any,contains,991004731979702656","Catalog Record")</f>
        <v/>
      </c>
      <c r="AT396">
        <f>HYPERLINK("http://www.worldcat.org/oclc/4835242","WorldCat Record")</f>
        <v/>
      </c>
      <c r="AU396" t="inlineStr">
        <is>
          <t>425688975:eng</t>
        </is>
      </c>
      <c r="AV396" t="inlineStr">
        <is>
          <t>4835242</t>
        </is>
      </c>
      <c r="AW396" t="inlineStr">
        <is>
          <t>991004731979702656</t>
        </is>
      </c>
      <c r="AX396" t="inlineStr">
        <is>
          <t>991004731979702656</t>
        </is>
      </c>
      <c r="AY396" t="inlineStr">
        <is>
          <t>2265253420002656</t>
        </is>
      </c>
      <c r="AZ396" t="inlineStr">
        <is>
          <t>BOOK</t>
        </is>
      </c>
      <c r="BB396" t="inlineStr">
        <is>
          <t>9780465083428</t>
        </is>
      </c>
      <c r="BC396" t="inlineStr">
        <is>
          <t>32285001207231</t>
        </is>
      </c>
      <c r="BD396" t="inlineStr">
        <is>
          <t>893344187</t>
        </is>
      </c>
    </row>
    <row r="397">
      <c r="A397" t="inlineStr">
        <is>
          <t>No</t>
        </is>
      </c>
      <c r="B397" t="inlineStr">
        <is>
          <t>HM24 .C63 1994</t>
        </is>
      </c>
      <c r="C397" t="inlineStr">
        <is>
          <t>0                      HM 0024000C  63          1994</t>
        </is>
      </c>
      <c r="D397" t="inlineStr">
        <is>
          <t>Foundations of social theory / James S. Coleman.</t>
        </is>
      </c>
      <c r="F397" t="inlineStr">
        <is>
          <t>No</t>
        </is>
      </c>
      <c r="G397" t="inlineStr">
        <is>
          <t>1</t>
        </is>
      </c>
      <c r="H397" t="inlineStr">
        <is>
          <t>No</t>
        </is>
      </c>
      <c r="I397" t="inlineStr">
        <is>
          <t>No</t>
        </is>
      </c>
      <c r="J397" t="inlineStr">
        <is>
          <t>0</t>
        </is>
      </c>
      <c r="K397" t="inlineStr">
        <is>
          <t>Coleman, James S., 1926-1995.</t>
        </is>
      </c>
      <c r="L397" t="inlineStr">
        <is>
          <t>Cambridge, MA : Belknap Press of Harvard University Press, 1994.</t>
        </is>
      </c>
      <c r="M397" t="inlineStr">
        <is>
          <t>1994</t>
        </is>
      </c>
      <c r="N397" t="inlineStr">
        <is>
          <t>1st Harvard University Press pbk. ed.</t>
        </is>
      </c>
      <c r="O397" t="inlineStr">
        <is>
          <t>eng</t>
        </is>
      </c>
      <c r="P397" t="inlineStr">
        <is>
          <t>mau</t>
        </is>
      </c>
      <c r="R397" t="inlineStr">
        <is>
          <t xml:space="preserve">HM </t>
        </is>
      </c>
      <c r="S397" t="n">
        <v>4</v>
      </c>
      <c r="T397" t="n">
        <v>4</v>
      </c>
      <c r="U397" t="inlineStr">
        <is>
          <t>2010-11-19</t>
        </is>
      </c>
      <c r="V397" t="inlineStr">
        <is>
          <t>2010-11-19</t>
        </is>
      </c>
      <c r="W397" t="inlineStr">
        <is>
          <t>1996-02-05</t>
        </is>
      </c>
      <c r="X397" t="inlineStr">
        <is>
          <t>1996-02-05</t>
        </is>
      </c>
      <c r="Y397" t="n">
        <v>140</v>
      </c>
      <c r="Z397" t="n">
        <v>78</v>
      </c>
      <c r="AA397" t="n">
        <v>980</v>
      </c>
      <c r="AB397" t="n">
        <v>1</v>
      </c>
      <c r="AC397" t="n">
        <v>7</v>
      </c>
      <c r="AD397" t="n">
        <v>4</v>
      </c>
      <c r="AE397" t="n">
        <v>48</v>
      </c>
      <c r="AF397" t="n">
        <v>2</v>
      </c>
      <c r="AG397" t="n">
        <v>22</v>
      </c>
      <c r="AH397" t="n">
        <v>1</v>
      </c>
      <c r="AI397" t="n">
        <v>9</v>
      </c>
      <c r="AJ397" t="n">
        <v>1</v>
      </c>
      <c r="AK397" t="n">
        <v>22</v>
      </c>
      <c r="AL397" t="n">
        <v>0</v>
      </c>
      <c r="AM397" t="n">
        <v>6</v>
      </c>
      <c r="AN397" t="n">
        <v>0</v>
      </c>
      <c r="AO397" t="n">
        <v>1</v>
      </c>
      <c r="AP397" t="inlineStr">
        <is>
          <t>No</t>
        </is>
      </c>
      <c r="AQ397" t="inlineStr">
        <is>
          <t>No</t>
        </is>
      </c>
      <c r="AS397">
        <f>HYPERLINK("https://creighton-primo.hosted.exlibrisgroup.com/primo-explore/search?tab=default_tab&amp;search_scope=EVERYTHING&amp;vid=01CRU&amp;lang=en_US&amp;offset=0&amp;query=any,contains,991002546799702656","Catalog Record")</f>
        <v/>
      </c>
      <c r="AT397">
        <f>HYPERLINK("http://www.worldcat.org/oclc/33083426","WorldCat Record")</f>
        <v/>
      </c>
      <c r="AU397" t="inlineStr">
        <is>
          <t>4417697777:eng</t>
        </is>
      </c>
      <c r="AV397" t="inlineStr">
        <is>
          <t>33083426</t>
        </is>
      </c>
      <c r="AW397" t="inlineStr">
        <is>
          <t>991002546799702656</t>
        </is>
      </c>
      <c r="AX397" t="inlineStr">
        <is>
          <t>991002546799702656</t>
        </is>
      </c>
      <c r="AY397" t="inlineStr">
        <is>
          <t>2260418610002656</t>
        </is>
      </c>
      <c r="AZ397" t="inlineStr">
        <is>
          <t>BOOK</t>
        </is>
      </c>
      <c r="BB397" t="inlineStr">
        <is>
          <t>9780674312265</t>
        </is>
      </c>
      <c r="BC397" t="inlineStr">
        <is>
          <t>32285002128055</t>
        </is>
      </c>
      <c r="BD397" t="inlineStr">
        <is>
          <t>893341567</t>
        </is>
      </c>
    </row>
    <row r="398">
      <c r="A398" t="inlineStr">
        <is>
          <t>No</t>
        </is>
      </c>
      <c r="B398" t="inlineStr">
        <is>
          <t>HM24 .C7 1992</t>
        </is>
      </c>
      <c r="C398" t="inlineStr">
        <is>
          <t>0                      HM 0024000C  7           1992</t>
        </is>
      </c>
      <c r="D398" t="inlineStr">
        <is>
          <t>Modern social theory : from Parsons to Habermas / Ian Craib.</t>
        </is>
      </c>
      <c r="F398" t="inlineStr">
        <is>
          <t>No</t>
        </is>
      </c>
      <c r="G398" t="inlineStr">
        <is>
          <t>1</t>
        </is>
      </c>
      <c r="H398" t="inlineStr">
        <is>
          <t>No</t>
        </is>
      </c>
      <c r="I398" t="inlineStr">
        <is>
          <t>No</t>
        </is>
      </c>
      <c r="J398" t="inlineStr">
        <is>
          <t>0</t>
        </is>
      </c>
      <c r="K398" t="inlineStr">
        <is>
          <t>Craib, Ian, 1945-</t>
        </is>
      </c>
      <c r="L398" t="inlineStr">
        <is>
          <t>New York : St. Martin's Press, 1992.</t>
        </is>
      </c>
      <c r="M398" t="inlineStr">
        <is>
          <t>1992</t>
        </is>
      </c>
      <c r="N398" t="inlineStr">
        <is>
          <t>2nd ed.</t>
        </is>
      </c>
      <c r="O398" t="inlineStr">
        <is>
          <t>eng</t>
        </is>
      </c>
      <c r="P398" t="inlineStr">
        <is>
          <t>nyu</t>
        </is>
      </c>
      <c r="R398" t="inlineStr">
        <is>
          <t xml:space="preserve">HM </t>
        </is>
      </c>
      <c r="S398" t="n">
        <v>8</v>
      </c>
      <c r="T398" t="n">
        <v>8</v>
      </c>
      <c r="U398" t="inlineStr">
        <is>
          <t>1999-12-22</t>
        </is>
      </c>
      <c r="V398" t="inlineStr">
        <is>
          <t>1999-12-22</t>
        </is>
      </c>
      <c r="W398" t="inlineStr">
        <is>
          <t>1993-03-25</t>
        </is>
      </c>
      <c r="X398" t="inlineStr">
        <is>
          <t>1993-03-25</t>
        </is>
      </c>
      <c r="Y398" t="n">
        <v>149</v>
      </c>
      <c r="Z398" t="n">
        <v>91</v>
      </c>
      <c r="AA398" t="n">
        <v>414</v>
      </c>
      <c r="AB398" t="n">
        <v>1</v>
      </c>
      <c r="AC398" t="n">
        <v>2</v>
      </c>
      <c r="AD398" t="n">
        <v>3</v>
      </c>
      <c r="AE398" t="n">
        <v>18</v>
      </c>
      <c r="AF398" t="n">
        <v>1</v>
      </c>
      <c r="AG398" t="n">
        <v>6</v>
      </c>
      <c r="AH398" t="n">
        <v>1</v>
      </c>
      <c r="AI398" t="n">
        <v>5</v>
      </c>
      <c r="AJ398" t="n">
        <v>2</v>
      </c>
      <c r="AK398" t="n">
        <v>10</v>
      </c>
      <c r="AL398" t="n">
        <v>0</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HYPERLINK("https://creighton-primo.hosted.exlibrisgroup.com/primo-explore/search?tab=default_tab&amp;search_scope=EVERYTHING&amp;vid=01CRU&amp;lang=en_US&amp;offset=0&amp;query=any,contains,991002042349702656","Catalog Record")</f>
        <v/>
      </c>
      <c r="AT398">
        <f>HYPERLINK("http://www.worldcat.org/oclc/26054873","WorldCat Record")</f>
        <v/>
      </c>
      <c r="AU398" t="inlineStr">
        <is>
          <t>3176997:eng</t>
        </is>
      </c>
      <c r="AV398" t="inlineStr">
        <is>
          <t>26054873</t>
        </is>
      </c>
      <c r="AW398" t="inlineStr">
        <is>
          <t>991002042349702656</t>
        </is>
      </c>
      <c r="AX398" t="inlineStr">
        <is>
          <t>991002042349702656</t>
        </is>
      </c>
      <c r="AY398" t="inlineStr">
        <is>
          <t>2256445550002656</t>
        </is>
      </c>
      <c r="AZ398" t="inlineStr">
        <is>
          <t>BOOK</t>
        </is>
      </c>
      <c r="BB398" t="inlineStr">
        <is>
          <t>9780312086749</t>
        </is>
      </c>
      <c r="BC398" t="inlineStr">
        <is>
          <t>32285001498624</t>
        </is>
      </c>
      <c r="BD398" t="inlineStr">
        <is>
          <t>893316309</t>
        </is>
      </c>
    </row>
    <row r="399">
      <c r="A399" t="inlineStr">
        <is>
          <t>No</t>
        </is>
      </c>
      <c r="B399" t="inlineStr">
        <is>
          <t>HM24 .D438 1989</t>
        </is>
      </c>
      <c r="C399" t="inlineStr">
        <is>
          <t>0                      HM 0024000D  438         1989</t>
        </is>
      </c>
      <c r="D399" t="inlineStr">
        <is>
          <t>Interpretive interactionism / Norman K. Denzin.</t>
        </is>
      </c>
      <c r="F399" t="inlineStr">
        <is>
          <t>No</t>
        </is>
      </c>
      <c r="G399" t="inlineStr">
        <is>
          <t>1</t>
        </is>
      </c>
      <c r="H399" t="inlineStr">
        <is>
          <t>No</t>
        </is>
      </c>
      <c r="I399" t="inlineStr">
        <is>
          <t>No</t>
        </is>
      </c>
      <c r="J399" t="inlineStr">
        <is>
          <t>0</t>
        </is>
      </c>
      <c r="K399" t="inlineStr">
        <is>
          <t>Denzin, Norman K.</t>
        </is>
      </c>
      <c r="L399" t="inlineStr">
        <is>
          <t>Newbury Park, Calif. : Sage Publications, c1989.</t>
        </is>
      </c>
      <c r="M399" t="inlineStr">
        <is>
          <t>1989</t>
        </is>
      </c>
      <c r="O399" t="inlineStr">
        <is>
          <t>eng</t>
        </is>
      </c>
      <c r="P399" t="inlineStr">
        <is>
          <t>cau</t>
        </is>
      </c>
      <c r="Q399" t="inlineStr">
        <is>
          <t>Applied social research methods series ; v. 16</t>
        </is>
      </c>
      <c r="R399" t="inlineStr">
        <is>
          <t xml:space="preserve">HM </t>
        </is>
      </c>
      <c r="S399" t="n">
        <v>2</v>
      </c>
      <c r="T399" t="n">
        <v>2</v>
      </c>
      <c r="U399" t="inlineStr">
        <is>
          <t>2008-04-07</t>
        </is>
      </c>
      <c r="V399" t="inlineStr">
        <is>
          <t>2008-04-07</t>
        </is>
      </c>
      <c r="W399" t="inlineStr">
        <is>
          <t>1989-10-20</t>
        </is>
      </c>
      <c r="X399" t="inlineStr">
        <is>
          <t>1989-10-20</t>
        </is>
      </c>
      <c r="Y399" t="n">
        <v>530</v>
      </c>
      <c r="Z399" t="n">
        <v>334</v>
      </c>
      <c r="AA399" t="n">
        <v>470</v>
      </c>
      <c r="AB399" t="n">
        <v>5</v>
      </c>
      <c r="AC399" t="n">
        <v>5</v>
      </c>
      <c r="AD399" t="n">
        <v>19</v>
      </c>
      <c r="AE399" t="n">
        <v>23</v>
      </c>
      <c r="AF399" t="n">
        <v>7</v>
      </c>
      <c r="AG399" t="n">
        <v>10</v>
      </c>
      <c r="AH399" t="n">
        <v>2</v>
      </c>
      <c r="AI399" t="n">
        <v>3</v>
      </c>
      <c r="AJ399" t="n">
        <v>10</v>
      </c>
      <c r="AK399" t="n">
        <v>11</v>
      </c>
      <c r="AL399" t="n">
        <v>4</v>
      </c>
      <c r="AM399" t="n">
        <v>4</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HYPERLINK("https://creighton-primo.hosted.exlibrisgroup.com/primo-explore/search?tab=default_tab&amp;search_scope=EVERYTHING&amp;vid=01CRU&amp;lang=en_US&amp;offset=0&amp;query=any,contains,991001356869702656","Catalog Record")</f>
        <v/>
      </c>
      <c r="AT399">
        <f>HYPERLINK("http://www.worldcat.org/oclc/18496486","WorldCat Record")</f>
        <v/>
      </c>
      <c r="AU399" t="inlineStr">
        <is>
          <t>18125174:eng</t>
        </is>
      </c>
      <c r="AV399" t="inlineStr">
        <is>
          <t>18496486</t>
        </is>
      </c>
      <c r="AW399" t="inlineStr">
        <is>
          <t>991001356869702656</t>
        </is>
      </c>
      <c r="AX399" t="inlineStr">
        <is>
          <t>991001356869702656</t>
        </is>
      </c>
      <c r="AY399" t="inlineStr">
        <is>
          <t>2271099740002656</t>
        </is>
      </c>
      <c r="AZ399" t="inlineStr">
        <is>
          <t>BOOK</t>
        </is>
      </c>
      <c r="BB399" t="inlineStr">
        <is>
          <t>9780803930032</t>
        </is>
      </c>
      <c r="BC399" t="inlineStr">
        <is>
          <t>32285000002609</t>
        </is>
      </c>
      <c r="BD399" t="inlineStr">
        <is>
          <t>893426535</t>
        </is>
      </c>
    </row>
    <row r="400">
      <c r="A400" t="inlineStr">
        <is>
          <t>No</t>
        </is>
      </c>
      <c r="B400" t="inlineStr">
        <is>
          <t>HM24 .D44 1978</t>
        </is>
      </c>
      <c r="C400" t="inlineStr">
        <is>
          <t>0                      HM 0024000D  44          1978</t>
        </is>
      </c>
      <c r="D400" t="inlineStr">
        <is>
          <t>The research act : a theoretical introduction to sociological methods / Norman K. Denzin.</t>
        </is>
      </c>
      <c r="F400" t="inlineStr">
        <is>
          <t>No</t>
        </is>
      </c>
      <c r="G400" t="inlineStr">
        <is>
          <t>1</t>
        </is>
      </c>
      <c r="H400" t="inlineStr">
        <is>
          <t>No</t>
        </is>
      </c>
      <c r="I400" t="inlineStr">
        <is>
          <t>No</t>
        </is>
      </c>
      <c r="J400" t="inlineStr">
        <is>
          <t>0</t>
        </is>
      </c>
      <c r="K400" t="inlineStr">
        <is>
          <t>Denzin, Norman K.</t>
        </is>
      </c>
      <c r="L400" t="inlineStr">
        <is>
          <t>New York : McGraw-Hill, c1978.</t>
        </is>
      </c>
      <c r="M400" t="inlineStr">
        <is>
          <t>1978</t>
        </is>
      </c>
      <c r="N400" t="inlineStr">
        <is>
          <t>2d ed.</t>
        </is>
      </c>
      <c r="O400" t="inlineStr">
        <is>
          <t>eng</t>
        </is>
      </c>
      <c r="P400" t="inlineStr">
        <is>
          <t>nyu</t>
        </is>
      </c>
      <c r="R400" t="inlineStr">
        <is>
          <t xml:space="preserve">HM </t>
        </is>
      </c>
      <c r="S400" t="n">
        <v>3</v>
      </c>
      <c r="T400" t="n">
        <v>3</v>
      </c>
      <c r="U400" t="inlineStr">
        <is>
          <t>2009-02-17</t>
        </is>
      </c>
      <c r="V400" t="inlineStr">
        <is>
          <t>2009-02-17</t>
        </is>
      </c>
      <c r="W400" t="inlineStr">
        <is>
          <t>1997-10-28</t>
        </is>
      </c>
      <c r="X400" t="inlineStr">
        <is>
          <t>1997-10-28</t>
        </is>
      </c>
      <c r="Y400" t="n">
        <v>364</v>
      </c>
      <c r="Z400" t="n">
        <v>251</v>
      </c>
      <c r="AA400" t="n">
        <v>254</v>
      </c>
      <c r="AB400" t="n">
        <v>4</v>
      </c>
      <c r="AC400" t="n">
        <v>4</v>
      </c>
      <c r="AD400" t="n">
        <v>11</v>
      </c>
      <c r="AE400" t="n">
        <v>11</v>
      </c>
      <c r="AF400" t="n">
        <v>4</v>
      </c>
      <c r="AG400" t="n">
        <v>4</v>
      </c>
      <c r="AH400" t="n">
        <v>3</v>
      </c>
      <c r="AI400" t="n">
        <v>3</v>
      </c>
      <c r="AJ400" t="n">
        <v>4</v>
      </c>
      <c r="AK400" t="n">
        <v>4</v>
      </c>
      <c r="AL400" t="n">
        <v>3</v>
      </c>
      <c r="AM400" t="n">
        <v>3</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HYPERLINK("https://creighton-primo.hosted.exlibrisgroup.com/primo-explore/search?tab=default_tab&amp;search_scope=EVERYTHING&amp;vid=01CRU&amp;lang=en_US&amp;offset=0&amp;query=any,contains,991004512469702656","Catalog Record")</f>
        <v/>
      </c>
      <c r="AT400">
        <f>HYPERLINK("http://www.worldcat.org/oclc/3770897","WorldCat Record")</f>
        <v/>
      </c>
      <c r="AU400" t="inlineStr">
        <is>
          <t>1249208:eng</t>
        </is>
      </c>
      <c r="AV400" t="inlineStr">
        <is>
          <t>3770897</t>
        </is>
      </c>
      <c r="AW400" t="inlineStr">
        <is>
          <t>991004512469702656</t>
        </is>
      </c>
      <c r="AX400" t="inlineStr">
        <is>
          <t>991004512469702656</t>
        </is>
      </c>
      <c r="AY400" t="inlineStr">
        <is>
          <t>2260888380002656</t>
        </is>
      </c>
      <c r="AZ400" t="inlineStr">
        <is>
          <t>BOOK</t>
        </is>
      </c>
      <c r="BB400" t="inlineStr">
        <is>
          <t>9780070163614</t>
        </is>
      </c>
      <c r="BC400" t="inlineStr">
        <is>
          <t>32285003258372</t>
        </is>
      </c>
      <c r="BD400" t="inlineStr">
        <is>
          <t>893895080</t>
        </is>
      </c>
    </row>
    <row r="401">
      <c r="A401" t="inlineStr">
        <is>
          <t>No</t>
        </is>
      </c>
      <c r="B401" t="inlineStr">
        <is>
          <t>HM24 .D59 1977</t>
        </is>
      </c>
      <c r="C401" t="inlineStr">
        <is>
          <t>0                      HM 0024000D  59          1977</t>
        </is>
      </c>
      <c r="D401" t="inlineStr">
        <is>
          <t>Doing sociological research / edited by Colin Bell and Howard Newby.</t>
        </is>
      </c>
      <c r="F401" t="inlineStr">
        <is>
          <t>No</t>
        </is>
      </c>
      <c r="G401" t="inlineStr">
        <is>
          <t>1</t>
        </is>
      </c>
      <c r="H401" t="inlineStr">
        <is>
          <t>No</t>
        </is>
      </c>
      <c r="I401" t="inlineStr">
        <is>
          <t>No</t>
        </is>
      </c>
      <c r="J401" t="inlineStr">
        <is>
          <t>0</t>
        </is>
      </c>
      <c r="L401" t="inlineStr">
        <is>
          <t>New York : Free Press, 1977.</t>
        </is>
      </c>
      <c r="M401" t="inlineStr">
        <is>
          <t>1977</t>
        </is>
      </c>
      <c r="N401" t="inlineStr">
        <is>
          <t>1st American ed.</t>
        </is>
      </c>
      <c r="O401" t="inlineStr">
        <is>
          <t>eng</t>
        </is>
      </c>
      <c r="P401" t="inlineStr">
        <is>
          <t>nyu</t>
        </is>
      </c>
      <c r="R401" t="inlineStr">
        <is>
          <t xml:space="preserve">HM </t>
        </is>
      </c>
      <c r="S401" t="n">
        <v>1</v>
      </c>
      <c r="T401" t="n">
        <v>1</v>
      </c>
      <c r="U401" t="inlineStr">
        <is>
          <t>1994-04-19</t>
        </is>
      </c>
      <c r="V401" t="inlineStr">
        <is>
          <t>1994-04-19</t>
        </is>
      </c>
      <c r="W401" t="inlineStr">
        <is>
          <t>1992-08-05</t>
        </is>
      </c>
      <c r="X401" t="inlineStr">
        <is>
          <t>1992-08-05</t>
        </is>
      </c>
      <c r="Y401" t="n">
        <v>299</v>
      </c>
      <c r="Z401" t="n">
        <v>262</v>
      </c>
      <c r="AA401" t="n">
        <v>296</v>
      </c>
      <c r="AB401" t="n">
        <v>1</v>
      </c>
      <c r="AC401" t="n">
        <v>3</v>
      </c>
      <c r="AD401" t="n">
        <v>7</v>
      </c>
      <c r="AE401" t="n">
        <v>9</v>
      </c>
      <c r="AF401" t="n">
        <v>1</v>
      </c>
      <c r="AG401" t="n">
        <v>1</v>
      </c>
      <c r="AH401" t="n">
        <v>2</v>
      </c>
      <c r="AI401" t="n">
        <v>2</v>
      </c>
      <c r="AJ401" t="n">
        <v>5</v>
      </c>
      <c r="AK401" t="n">
        <v>5</v>
      </c>
      <c r="AL401" t="n">
        <v>0</v>
      </c>
      <c r="AM401" t="n">
        <v>2</v>
      </c>
      <c r="AN401" t="n">
        <v>0</v>
      </c>
      <c r="AO401" t="n">
        <v>0</v>
      </c>
      <c r="AP401" t="inlineStr">
        <is>
          <t>No</t>
        </is>
      </c>
      <c r="AQ401" t="inlineStr">
        <is>
          <t>Yes</t>
        </is>
      </c>
      <c r="AR401">
        <f>HYPERLINK("http://catalog.hathitrust.org/Record/000750736","HathiTrust Record")</f>
        <v/>
      </c>
      <c r="AS401">
        <f>HYPERLINK("https://creighton-primo.hosted.exlibrisgroup.com/primo-explore/search?tab=default_tab&amp;search_scope=EVERYTHING&amp;vid=01CRU&amp;lang=en_US&amp;offset=0&amp;query=any,contains,991004419399702656","Catalog Record")</f>
        <v/>
      </c>
      <c r="AT401">
        <f>HYPERLINK("http://www.worldcat.org/oclc/3379932","WorldCat Record")</f>
        <v/>
      </c>
      <c r="AU401" t="inlineStr">
        <is>
          <t>355716623:eng</t>
        </is>
      </c>
      <c r="AV401" t="inlineStr">
        <is>
          <t>3379932</t>
        </is>
      </c>
      <c r="AW401" t="inlineStr">
        <is>
          <t>991004419399702656</t>
        </is>
      </c>
      <c r="AX401" t="inlineStr">
        <is>
          <t>991004419399702656</t>
        </is>
      </c>
      <c r="AY401" t="inlineStr">
        <is>
          <t>2256762560002656</t>
        </is>
      </c>
      <c r="AZ401" t="inlineStr">
        <is>
          <t>BOOK</t>
        </is>
      </c>
      <c r="BB401" t="inlineStr">
        <is>
          <t>9780029023501</t>
        </is>
      </c>
      <c r="BC401" t="inlineStr">
        <is>
          <t>32285001193845</t>
        </is>
      </c>
      <c r="BD401" t="inlineStr">
        <is>
          <t>893901216</t>
        </is>
      </c>
    </row>
    <row r="402">
      <c r="A402" t="inlineStr">
        <is>
          <t>No</t>
        </is>
      </c>
      <c r="B402" t="inlineStr">
        <is>
          <t>HM24 .F265</t>
        </is>
      </c>
      <c r="C402" t="inlineStr">
        <is>
          <t>0                      HM 0024000F  265</t>
        </is>
      </c>
      <c r="D402" t="inlineStr">
        <is>
          <t>Factor analysis and measurement in sociological research : a multi-dimensional perspective / editors, David J. Jackson and Edgar F. Borgatta.</t>
        </is>
      </c>
      <c r="F402" t="inlineStr">
        <is>
          <t>No</t>
        </is>
      </c>
      <c r="G402" t="inlineStr">
        <is>
          <t>1</t>
        </is>
      </c>
      <c r="H402" t="inlineStr">
        <is>
          <t>No</t>
        </is>
      </c>
      <c r="I402" t="inlineStr">
        <is>
          <t>No</t>
        </is>
      </c>
      <c r="J402" t="inlineStr">
        <is>
          <t>0</t>
        </is>
      </c>
      <c r="L402" t="inlineStr">
        <is>
          <t>London ; Beverly Hills, Calif. : Sage, c1981.</t>
        </is>
      </c>
      <c r="M402" t="inlineStr">
        <is>
          <t>1981</t>
        </is>
      </c>
      <c r="O402" t="inlineStr">
        <is>
          <t>eng</t>
        </is>
      </c>
      <c r="P402" t="inlineStr">
        <is>
          <t>enk</t>
        </is>
      </c>
      <c r="Q402" t="inlineStr">
        <is>
          <t>Sage studies in international sociology ; 21</t>
        </is>
      </c>
      <c r="R402" t="inlineStr">
        <is>
          <t xml:space="preserve">HM </t>
        </is>
      </c>
      <c r="S402" t="n">
        <v>4</v>
      </c>
      <c r="T402" t="n">
        <v>4</v>
      </c>
      <c r="U402" t="inlineStr">
        <is>
          <t>1999-09-21</t>
        </is>
      </c>
      <c r="V402" t="inlineStr">
        <is>
          <t>1999-09-21</t>
        </is>
      </c>
      <c r="W402" t="inlineStr">
        <is>
          <t>1992-08-05</t>
        </is>
      </c>
      <c r="X402" t="inlineStr">
        <is>
          <t>1992-08-05</t>
        </is>
      </c>
      <c r="Y402" t="n">
        <v>473</v>
      </c>
      <c r="Z402" t="n">
        <v>337</v>
      </c>
      <c r="AA402" t="n">
        <v>344</v>
      </c>
      <c r="AB402" t="n">
        <v>4</v>
      </c>
      <c r="AC402" t="n">
        <v>4</v>
      </c>
      <c r="AD402" t="n">
        <v>16</v>
      </c>
      <c r="AE402" t="n">
        <v>16</v>
      </c>
      <c r="AF402" t="n">
        <v>5</v>
      </c>
      <c r="AG402" t="n">
        <v>5</v>
      </c>
      <c r="AH402" t="n">
        <v>4</v>
      </c>
      <c r="AI402" t="n">
        <v>4</v>
      </c>
      <c r="AJ402" t="n">
        <v>9</v>
      </c>
      <c r="AK402" t="n">
        <v>9</v>
      </c>
      <c r="AL402" t="n">
        <v>2</v>
      </c>
      <c r="AM402" t="n">
        <v>2</v>
      </c>
      <c r="AN402" t="n">
        <v>0</v>
      </c>
      <c r="AO402" t="n">
        <v>0</v>
      </c>
      <c r="AP402" t="inlineStr">
        <is>
          <t>No</t>
        </is>
      </c>
      <c r="AQ402" t="inlineStr">
        <is>
          <t>Yes</t>
        </is>
      </c>
      <c r="AR402">
        <f>HYPERLINK("http://catalog.hathitrust.org/Record/000169369","HathiTrust Record")</f>
        <v/>
      </c>
      <c r="AS402">
        <f>HYPERLINK("https://creighton-primo.hosted.exlibrisgroup.com/primo-explore/search?tab=default_tab&amp;search_scope=EVERYTHING&amp;vid=01CRU&amp;lang=en_US&amp;offset=0&amp;query=any,contains,991005203709702656","Catalog Record")</f>
        <v/>
      </c>
      <c r="AT402">
        <f>HYPERLINK("http://www.worldcat.org/oclc/8110239","WorldCat Record")</f>
        <v/>
      </c>
      <c r="AU402" t="inlineStr">
        <is>
          <t>352432749:eng</t>
        </is>
      </c>
      <c r="AV402" t="inlineStr">
        <is>
          <t>8110239</t>
        </is>
      </c>
      <c r="AW402" t="inlineStr">
        <is>
          <t>991005203709702656</t>
        </is>
      </c>
      <c r="AX402" t="inlineStr">
        <is>
          <t>991005203709702656</t>
        </is>
      </c>
      <c r="AY402" t="inlineStr">
        <is>
          <t>2255816100002656</t>
        </is>
      </c>
      <c r="AZ402" t="inlineStr">
        <is>
          <t>BOOK</t>
        </is>
      </c>
      <c r="BB402" t="inlineStr">
        <is>
          <t>9780803998148</t>
        </is>
      </c>
      <c r="BC402" t="inlineStr">
        <is>
          <t>32285001193878</t>
        </is>
      </c>
      <c r="BD402" t="inlineStr">
        <is>
          <t>893606999</t>
        </is>
      </c>
    </row>
    <row r="403">
      <c r="A403" t="inlineStr">
        <is>
          <t>No</t>
        </is>
      </c>
      <c r="B403" t="inlineStr">
        <is>
          <t>HM24 .G3</t>
        </is>
      </c>
      <c r="C403" t="inlineStr">
        <is>
          <t>0                      HM 0024000G  3</t>
        </is>
      </c>
      <c r="D403" t="inlineStr">
        <is>
          <t>Studies in ethnomethodology.</t>
        </is>
      </c>
      <c r="F403" t="inlineStr">
        <is>
          <t>No</t>
        </is>
      </c>
      <c r="G403" t="inlineStr">
        <is>
          <t>1</t>
        </is>
      </c>
      <c r="H403" t="inlineStr">
        <is>
          <t>No</t>
        </is>
      </c>
      <c r="I403" t="inlineStr">
        <is>
          <t>No</t>
        </is>
      </c>
      <c r="J403" t="inlineStr">
        <is>
          <t>0</t>
        </is>
      </c>
      <c r="K403" t="inlineStr">
        <is>
          <t>Garfinkel, Harold.</t>
        </is>
      </c>
      <c r="L403" t="inlineStr">
        <is>
          <t>Englewood Cliffs, N.J., Prentice-Hall [1967]</t>
        </is>
      </c>
      <c r="M403" t="inlineStr">
        <is>
          <t>1967</t>
        </is>
      </c>
      <c r="O403" t="inlineStr">
        <is>
          <t>eng</t>
        </is>
      </c>
      <c r="P403" t="inlineStr">
        <is>
          <t>nju</t>
        </is>
      </c>
      <c r="R403" t="inlineStr">
        <is>
          <t xml:space="preserve">HM </t>
        </is>
      </c>
      <c r="S403" t="n">
        <v>1</v>
      </c>
      <c r="T403" t="n">
        <v>1</v>
      </c>
      <c r="U403" t="inlineStr">
        <is>
          <t>2008-04-07</t>
        </is>
      </c>
      <c r="V403" t="inlineStr">
        <is>
          <t>2008-04-07</t>
        </is>
      </c>
      <c r="W403" t="inlineStr">
        <is>
          <t>1997-07-25</t>
        </is>
      </c>
      <c r="X403" t="inlineStr">
        <is>
          <t>1997-07-25</t>
        </is>
      </c>
      <c r="Y403" t="n">
        <v>1091</v>
      </c>
      <c r="Z403" t="n">
        <v>823</v>
      </c>
      <c r="AA403" t="n">
        <v>923</v>
      </c>
      <c r="AB403" t="n">
        <v>8</v>
      </c>
      <c r="AC403" t="n">
        <v>8</v>
      </c>
      <c r="AD403" t="n">
        <v>40</v>
      </c>
      <c r="AE403" t="n">
        <v>42</v>
      </c>
      <c r="AF403" t="n">
        <v>16</v>
      </c>
      <c r="AG403" t="n">
        <v>17</v>
      </c>
      <c r="AH403" t="n">
        <v>8</v>
      </c>
      <c r="AI403" t="n">
        <v>9</v>
      </c>
      <c r="AJ403" t="n">
        <v>20</v>
      </c>
      <c r="AK403" t="n">
        <v>20</v>
      </c>
      <c r="AL403" t="n">
        <v>7</v>
      </c>
      <c r="AM403" t="n">
        <v>7</v>
      </c>
      <c r="AN403" t="n">
        <v>0</v>
      </c>
      <c r="AO403" t="n">
        <v>0</v>
      </c>
      <c r="AP403" t="inlineStr">
        <is>
          <t>No</t>
        </is>
      </c>
      <c r="AQ403" t="inlineStr">
        <is>
          <t>Yes</t>
        </is>
      </c>
      <c r="AR403">
        <f>HYPERLINK("http://catalog.hathitrust.org/Record/000005102","HathiTrust Record")</f>
        <v/>
      </c>
      <c r="AS403">
        <f>HYPERLINK("https://creighton-primo.hosted.exlibrisgroup.com/primo-explore/search?tab=default_tab&amp;search_scope=EVERYTHING&amp;vid=01CRU&amp;lang=en_US&amp;offset=0&amp;query=any,contains,991002462999702656","Catalog Record")</f>
        <v/>
      </c>
      <c r="AT403">
        <f>HYPERLINK("http://www.worldcat.org/oclc/356659","WorldCat Record")</f>
        <v/>
      </c>
      <c r="AU403" t="inlineStr">
        <is>
          <t>298964:eng</t>
        </is>
      </c>
      <c r="AV403" t="inlineStr">
        <is>
          <t>356659</t>
        </is>
      </c>
      <c r="AW403" t="inlineStr">
        <is>
          <t>991002462999702656</t>
        </is>
      </c>
      <c r="AX403" t="inlineStr">
        <is>
          <t>991002462999702656</t>
        </is>
      </c>
      <c r="AY403" t="inlineStr">
        <is>
          <t>2262605880002656</t>
        </is>
      </c>
      <c r="AZ403" t="inlineStr">
        <is>
          <t>BOOK</t>
        </is>
      </c>
      <c r="BC403" t="inlineStr">
        <is>
          <t>32285003008116</t>
        </is>
      </c>
      <c r="BD403" t="inlineStr">
        <is>
          <t>893685385</t>
        </is>
      </c>
    </row>
    <row r="404">
      <c r="A404" t="inlineStr">
        <is>
          <t>No</t>
        </is>
      </c>
      <c r="B404" t="inlineStr">
        <is>
          <t>HM24 .G4445</t>
        </is>
      </c>
      <c r="C404" t="inlineStr">
        <is>
          <t>0                      HM 0024000G  4445</t>
        </is>
      </c>
      <c r="D404" t="inlineStr">
        <is>
          <t>The idea of a critical theory : Habermas and the Frankfurt School / Raymond Geuss.</t>
        </is>
      </c>
      <c r="F404" t="inlineStr">
        <is>
          <t>No</t>
        </is>
      </c>
      <c r="G404" t="inlineStr">
        <is>
          <t>1</t>
        </is>
      </c>
      <c r="H404" t="inlineStr">
        <is>
          <t>No</t>
        </is>
      </c>
      <c r="I404" t="inlineStr">
        <is>
          <t>No</t>
        </is>
      </c>
      <c r="J404" t="inlineStr">
        <is>
          <t>0</t>
        </is>
      </c>
      <c r="K404" t="inlineStr">
        <is>
          <t>Geuss, Raymond.</t>
        </is>
      </c>
      <c r="L404" t="inlineStr">
        <is>
          <t>Cambridge [England] ; New York : Cambridge University Press, 1981.</t>
        </is>
      </c>
      <c r="M404" t="inlineStr">
        <is>
          <t>1981</t>
        </is>
      </c>
      <c r="O404" t="inlineStr">
        <is>
          <t>eng</t>
        </is>
      </c>
      <c r="P404" t="inlineStr">
        <is>
          <t>enk</t>
        </is>
      </c>
      <c r="Q404" t="inlineStr">
        <is>
          <t>Modern European philosophy</t>
        </is>
      </c>
      <c r="R404" t="inlineStr">
        <is>
          <t xml:space="preserve">HM </t>
        </is>
      </c>
      <c r="S404" t="n">
        <v>1</v>
      </c>
      <c r="T404" t="n">
        <v>1</v>
      </c>
      <c r="U404" t="inlineStr">
        <is>
          <t>2009-10-19</t>
        </is>
      </c>
      <c r="V404" t="inlineStr">
        <is>
          <t>2009-10-19</t>
        </is>
      </c>
      <c r="W404" t="inlineStr">
        <is>
          <t>1992-08-05</t>
        </is>
      </c>
      <c r="X404" t="inlineStr">
        <is>
          <t>1992-08-05</t>
        </is>
      </c>
      <c r="Y404" t="n">
        <v>696</v>
      </c>
      <c r="Z404" t="n">
        <v>497</v>
      </c>
      <c r="AA404" t="n">
        <v>519</v>
      </c>
      <c r="AB404" t="n">
        <v>4</v>
      </c>
      <c r="AC404" t="n">
        <v>4</v>
      </c>
      <c r="AD404" t="n">
        <v>32</v>
      </c>
      <c r="AE404" t="n">
        <v>34</v>
      </c>
      <c r="AF404" t="n">
        <v>9</v>
      </c>
      <c r="AG404" t="n">
        <v>9</v>
      </c>
      <c r="AH404" t="n">
        <v>8</v>
      </c>
      <c r="AI404" t="n">
        <v>9</v>
      </c>
      <c r="AJ404" t="n">
        <v>16</v>
      </c>
      <c r="AK404" t="n">
        <v>18</v>
      </c>
      <c r="AL404" t="n">
        <v>3</v>
      </c>
      <c r="AM404" t="n">
        <v>3</v>
      </c>
      <c r="AN404" t="n">
        <v>3</v>
      </c>
      <c r="AO404" t="n">
        <v>3</v>
      </c>
      <c r="AP404" t="inlineStr">
        <is>
          <t>No</t>
        </is>
      </c>
      <c r="AQ404" t="inlineStr">
        <is>
          <t>No</t>
        </is>
      </c>
      <c r="AS404">
        <f>HYPERLINK("https://creighton-primo.hosted.exlibrisgroup.com/primo-explore/search?tab=default_tab&amp;search_scope=EVERYTHING&amp;vid=01CRU&amp;lang=en_US&amp;offset=0&amp;query=any,contains,991005175279702656","Catalog Record")</f>
        <v/>
      </c>
      <c r="AT404">
        <f>HYPERLINK("http://www.worldcat.org/oclc/9082095","WorldCat Record")</f>
        <v/>
      </c>
      <c r="AU404" t="inlineStr">
        <is>
          <t>807520314:eng</t>
        </is>
      </c>
      <c r="AV404" t="inlineStr">
        <is>
          <t>9082095</t>
        </is>
      </c>
      <c r="AW404" t="inlineStr">
        <is>
          <t>991005175279702656</t>
        </is>
      </c>
      <c r="AX404" t="inlineStr">
        <is>
          <t>991005175279702656</t>
        </is>
      </c>
      <c r="AY404" t="inlineStr">
        <is>
          <t>2269130260002656</t>
        </is>
      </c>
      <c r="AZ404" t="inlineStr">
        <is>
          <t>BOOK</t>
        </is>
      </c>
      <c r="BB404" t="inlineStr">
        <is>
          <t>9780521240727</t>
        </is>
      </c>
      <c r="BC404" t="inlineStr">
        <is>
          <t>32285001193886</t>
        </is>
      </c>
      <c r="BD404" t="inlineStr">
        <is>
          <t>893326314</t>
        </is>
      </c>
    </row>
    <row r="405">
      <c r="A405" t="inlineStr">
        <is>
          <t>No</t>
        </is>
      </c>
      <c r="B405" t="inlineStr">
        <is>
          <t>HM24 .H456 1983</t>
        </is>
      </c>
      <c r="C405" t="inlineStr">
        <is>
          <t>0                      HM 0024000H  456         1983</t>
        </is>
      </c>
      <c r="D405" t="inlineStr">
        <is>
          <t>Weber, the ideal type, and contemporary social theory / Susan J. Hekman.</t>
        </is>
      </c>
      <c r="F405" t="inlineStr">
        <is>
          <t>No</t>
        </is>
      </c>
      <c r="G405" t="inlineStr">
        <is>
          <t>1</t>
        </is>
      </c>
      <c r="H405" t="inlineStr">
        <is>
          <t>No</t>
        </is>
      </c>
      <c r="I405" t="inlineStr">
        <is>
          <t>No</t>
        </is>
      </c>
      <c r="J405" t="inlineStr">
        <is>
          <t>0</t>
        </is>
      </c>
      <c r="K405" t="inlineStr">
        <is>
          <t>Hekman, Susan J.</t>
        </is>
      </c>
      <c r="L405" t="inlineStr">
        <is>
          <t>Notre Dame, Ind. : University of Notre Dame Press ; [New York : Distributed by Harper &amp; Row], c1983.</t>
        </is>
      </c>
      <c r="M405" t="inlineStr">
        <is>
          <t>1983</t>
        </is>
      </c>
      <c r="O405" t="inlineStr">
        <is>
          <t>eng</t>
        </is>
      </c>
      <c r="P405" t="inlineStr">
        <is>
          <t>inu</t>
        </is>
      </c>
      <c r="R405" t="inlineStr">
        <is>
          <t xml:space="preserve">HM </t>
        </is>
      </c>
      <c r="S405" t="n">
        <v>2</v>
      </c>
      <c r="T405" t="n">
        <v>2</v>
      </c>
      <c r="U405" t="inlineStr">
        <is>
          <t>2000-11-20</t>
        </is>
      </c>
      <c r="V405" t="inlineStr">
        <is>
          <t>2000-11-20</t>
        </is>
      </c>
      <c r="W405" t="inlineStr">
        <is>
          <t>1992-08-05</t>
        </is>
      </c>
      <c r="X405" t="inlineStr">
        <is>
          <t>1992-08-05</t>
        </is>
      </c>
      <c r="Y405" t="n">
        <v>564</v>
      </c>
      <c r="Z405" t="n">
        <v>455</v>
      </c>
      <c r="AA405" t="n">
        <v>464</v>
      </c>
      <c r="AB405" t="n">
        <v>3</v>
      </c>
      <c r="AC405" t="n">
        <v>3</v>
      </c>
      <c r="AD405" t="n">
        <v>22</v>
      </c>
      <c r="AE405" t="n">
        <v>22</v>
      </c>
      <c r="AF405" t="n">
        <v>7</v>
      </c>
      <c r="AG405" t="n">
        <v>7</v>
      </c>
      <c r="AH405" t="n">
        <v>4</v>
      </c>
      <c r="AI405" t="n">
        <v>4</v>
      </c>
      <c r="AJ405" t="n">
        <v>14</v>
      </c>
      <c r="AK405" t="n">
        <v>14</v>
      </c>
      <c r="AL405" t="n">
        <v>2</v>
      </c>
      <c r="AM405" t="n">
        <v>2</v>
      </c>
      <c r="AN405" t="n">
        <v>0</v>
      </c>
      <c r="AO405" t="n">
        <v>0</v>
      </c>
      <c r="AP405" t="inlineStr">
        <is>
          <t>No</t>
        </is>
      </c>
      <c r="AQ405" t="inlineStr">
        <is>
          <t>Yes</t>
        </is>
      </c>
      <c r="AR405">
        <f>HYPERLINK("http://catalog.hathitrust.org/Record/000238433","HathiTrust Record")</f>
        <v/>
      </c>
      <c r="AS405">
        <f>HYPERLINK("https://creighton-primo.hosted.exlibrisgroup.com/primo-explore/search?tab=default_tab&amp;search_scope=EVERYTHING&amp;vid=01CRU&amp;lang=en_US&amp;offset=0&amp;query=any,contains,991000056709702656","Catalog Record")</f>
        <v/>
      </c>
      <c r="AT405">
        <f>HYPERLINK("http://www.worldcat.org/oclc/8709246","WorldCat Record")</f>
        <v/>
      </c>
      <c r="AU405" t="inlineStr">
        <is>
          <t>430770:eng</t>
        </is>
      </c>
      <c r="AV405" t="inlineStr">
        <is>
          <t>8709246</t>
        </is>
      </c>
      <c r="AW405" t="inlineStr">
        <is>
          <t>991000056709702656</t>
        </is>
      </c>
      <c r="AX405" t="inlineStr">
        <is>
          <t>991000056709702656</t>
        </is>
      </c>
      <c r="AY405" t="inlineStr">
        <is>
          <t>2256692590002656</t>
        </is>
      </c>
      <c r="AZ405" t="inlineStr">
        <is>
          <t>BOOK</t>
        </is>
      </c>
      <c r="BB405" t="inlineStr">
        <is>
          <t>9780268019310</t>
        </is>
      </c>
      <c r="BC405" t="inlineStr">
        <is>
          <t>32285001193951</t>
        </is>
      </c>
      <c r="BD405" t="inlineStr">
        <is>
          <t>893406887</t>
        </is>
      </c>
    </row>
    <row r="406">
      <c r="A406" t="inlineStr">
        <is>
          <t>No</t>
        </is>
      </c>
      <c r="B406" t="inlineStr">
        <is>
          <t>HM24 .H582713 1991</t>
        </is>
      </c>
      <c r="C406" t="inlineStr">
        <is>
          <t>0                      HM 0024000H  582713      1991</t>
        </is>
      </c>
      <c r="D406" t="inlineStr">
        <is>
          <t>The critique of power : reflective stages in a critical social theory / Alex Honneth ; translated by Kenneth Baynes.</t>
        </is>
      </c>
      <c r="F406" t="inlineStr">
        <is>
          <t>No</t>
        </is>
      </c>
      <c r="G406" t="inlineStr">
        <is>
          <t>1</t>
        </is>
      </c>
      <c r="H406" t="inlineStr">
        <is>
          <t>No</t>
        </is>
      </c>
      <c r="I406" t="inlineStr">
        <is>
          <t>No</t>
        </is>
      </c>
      <c r="J406" t="inlineStr">
        <is>
          <t>0</t>
        </is>
      </c>
      <c r="K406" t="inlineStr">
        <is>
          <t>Honneth, Axel, 1949-</t>
        </is>
      </c>
      <c r="L406" t="inlineStr">
        <is>
          <t>Cambridge, Mass. : MIT Press, 1991.</t>
        </is>
      </c>
      <c r="M406" t="inlineStr">
        <is>
          <t>1991</t>
        </is>
      </c>
      <c r="N406" t="inlineStr">
        <is>
          <t>1st MIT Press ed.</t>
        </is>
      </c>
      <c r="O406" t="inlineStr">
        <is>
          <t>eng</t>
        </is>
      </c>
      <c r="P406" t="inlineStr">
        <is>
          <t>mau</t>
        </is>
      </c>
      <c r="Q406" t="inlineStr">
        <is>
          <t>Studies in contemporary German social thought</t>
        </is>
      </c>
      <c r="R406" t="inlineStr">
        <is>
          <t xml:space="preserve">HM </t>
        </is>
      </c>
      <c r="S406" t="n">
        <v>4</v>
      </c>
      <c r="T406" t="n">
        <v>4</v>
      </c>
      <c r="U406" t="inlineStr">
        <is>
          <t>1999-08-03</t>
        </is>
      </c>
      <c r="V406" t="inlineStr">
        <is>
          <t>1999-08-03</t>
        </is>
      </c>
      <c r="W406" t="inlineStr">
        <is>
          <t>1992-04-09</t>
        </is>
      </c>
      <c r="X406" t="inlineStr">
        <is>
          <t>1992-04-09</t>
        </is>
      </c>
      <c r="Y406" t="n">
        <v>401</v>
      </c>
      <c r="Z406" t="n">
        <v>248</v>
      </c>
      <c r="AA406" t="n">
        <v>555</v>
      </c>
      <c r="AB406" t="n">
        <v>2</v>
      </c>
      <c r="AC406" t="n">
        <v>4</v>
      </c>
      <c r="AD406" t="n">
        <v>15</v>
      </c>
      <c r="AE406" t="n">
        <v>19</v>
      </c>
      <c r="AF406" t="n">
        <v>3</v>
      </c>
      <c r="AG406" t="n">
        <v>5</v>
      </c>
      <c r="AH406" t="n">
        <v>5</v>
      </c>
      <c r="AI406" t="n">
        <v>5</v>
      </c>
      <c r="AJ406" t="n">
        <v>9</v>
      </c>
      <c r="AK406" t="n">
        <v>9</v>
      </c>
      <c r="AL406" t="n">
        <v>1</v>
      </c>
      <c r="AM406" t="n">
        <v>3</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HYPERLINK("https://creighton-primo.hosted.exlibrisgroup.com/primo-explore/search?tab=default_tab&amp;search_scope=EVERYTHING&amp;vid=01CRU&amp;lang=en_US&amp;offset=0&amp;query=any,contains,991001841629702656","Catalog Record")</f>
        <v/>
      </c>
      <c r="AT406">
        <f>HYPERLINK("http://www.worldcat.org/oclc/23141296","WorldCat Record")</f>
        <v/>
      </c>
      <c r="AU406" t="inlineStr">
        <is>
          <t>3901289514:eng</t>
        </is>
      </c>
      <c r="AV406" t="inlineStr">
        <is>
          <t>23141296</t>
        </is>
      </c>
      <c r="AW406" t="inlineStr">
        <is>
          <t>991001841629702656</t>
        </is>
      </c>
      <c r="AX406" t="inlineStr">
        <is>
          <t>991001841629702656</t>
        </is>
      </c>
      <c r="AY406" t="inlineStr">
        <is>
          <t>2266643260002656</t>
        </is>
      </c>
      <c r="AZ406" t="inlineStr">
        <is>
          <t>BOOK</t>
        </is>
      </c>
      <c r="BB406" t="inlineStr">
        <is>
          <t>9780262082020</t>
        </is>
      </c>
      <c r="BC406" t="inlineStr">
        <is>
          <t>32285001009587</t>
        </is>
      </c>
      <c r="BD406" t="inlineStr">
        <is>
          <t>893891882</t>
        </is>
      </c>
    </row>
    <row r="407">
      <c r="A407" t="inlineStr">
        <is>
          <t>No</t>
        </is>
      </c>
      <c r="B407" t="inlineStr">
        <is>
          <t>HM24 .H825 1995</t>
        </is>
      </c>
      <c r="C407" t="inlineStr">
        <is>
          <t>0                      HM 0024000H  825         1995</t>
        </is>
      </c>
      <c r="D407" t="inlineStr">
        <is>
          <t>Understanding classical sociology : Marx, Weber, Durkheim / John A. Hughes, Peter J. Martin and W.W. Sharrock.</t>
        </is>
      </c>
      <c r="F407" t="inlineStr">
        <is>
          <t>No</t>
        </is>
      </c>
      <c r="G407" t="inlineStr">
        <is>
          <t>1</t>
        </is>
      </c>
      <c r="H407" t="inlineStr">
        <is>
          <t>No</t>
        </is>
      </c>
      <c r="I407" t="inlineStr">
        <is>
          <t>No</t>
        </is>
      </c>
      <c r="J407" t="inlineStr">
        <is>
          <t>0</t>
        </is>
      </c>
      <c r="K407" t="inlineStr">
        <is>
          <t>Hughes, J. A., 1941-2015.</t>
        </is>
      </c>
      <c r="L407" t="inlineStr">
        <is>
          <t>London ; Thousand Oaks, Calif. : Sage, 1995.</t>
        </is>
      </c>
      <c r="M407" t="inlineStr">
        <is>
          <t>1995</t>
        </is>
      </c>
      <c r="O407" t="inlineStr">
        <is>
          <t>eng</t>
        </is>
      </c>
      <c r="P407" t="inlineStr">
        <is>
          <t>enk</t>
        </is>
      </c>
      <c r="R407" t="inlineStr">
        <is>
          <t xml:space="preserve">HM </t>
        </is>
      </c>
      <c r="S407" t="n">
        <v>2</v>
      </c>
      <c r="T407" t="n">
        <v>2</v>
      </c>
      <c r="U407" t="inlineStr">
        <is>
          <t>2007-10-27</t>
        </is>
      </c>
      <c r="V407" t="inlineStr">
        <is>
          <t>2007-10-27</t>
        </is>
      </c>
      <c r="W407" t="inlineStr">
        <is>
          <t>1996-05-21</t>
        </is>
      </c>
      <c r="X407" t="inlineStr">
        <is>
          <t>1996-05-21</t>
        </is>
      </c>
      <c r="Y407" t="n">
        <v>473</v>
      </c>
      <c r="Z407" t="n">
        <v>270</v>
      </c>
      <c r="AA407" t="n">
        <v>375</v>
      </c>
      <c r="AB407" t="n">
        <v>2</v>
      </c>
      <c r="AC407" t="n">
        <v>3</v>
      </c>
      <c r="AD407" t="n">
        <v>10</v>
      </c>
      <c r="AE407" t="n">
        <v>17</v>
      </c>
      <c r="AF407" t="n">
        <v>4</v>
      </c>
      <c r="AG407" t="n">
        <v>9</v>
      </c>
      <c r="AH407" t="n">
        <v>2</v>
      </c>
      <c r="AI407" t="n">
        <v>3</v>
      </c>
      <c r="AJ407" t="n">
        <v>5</v>
      </c>
      <c r="AK407" t="n">
        <v>9</v>
      </c>
      <c r="AL407" t="n">
        <v>1</v>
      </c>
      <c r="AM407" t="n">
        <v>2</v>
      </c>
      <c r="AN407" t="n">
        <v>0</v>
      </c>
      <c r="AO407" t="n">
        <v>0</v>
      </c>
      <c r="AP407" t="inlineStr">
        <is>
          <t>No</t>
        </is>
      </c>
      <c r="AQ407" t="inlineStr">
        <is>
          <t>Yes</t>
        </is>
      </c>
      <c r="AR407">
        <f>HYPERLINK("http://catalog.hathitrust.org/Record/003006175","HathiTrust Record")</f>
        <v/>
      </c>
      <c r="AS407">
        <f>HYPERLINK("https://creighton-primo.hosted.exlibrisgroup.com/primo-explore/search?tab=default_tab&amp;search_scope=EVERYTHING&amp;vid=01CRU&amp;lang=en_US&amp;offset=0&amp;query=any,contains,991002504239702656","Catalog Record")</f>
        <v/>
      </c>
      <c r="AT407">
        <f>HYPERLINK("http://www.worldcat.org/oclc/32569632","WorldCat Record")</f>
        <v/>
      </c>
      <c r="AU407" t="inlineStr">
        <is>
          <t>756550:eng</t>
        </is>
      </c>
      <c r="AV407" t="inlineStr">
        <is>
          <t>32569632</t>
        </is>
      </c>
      <c r="AW407" t="inlineStr">
        <is>
          <t>991002504239702656</t>
        </is>
      </c>
      <c r="AX407" t="inlineStr">
        <is>
          <t>991002504239702656</t>
        </is>
      </c>
      <c r="AY407" t="inlineStr">
        <is>
          <t>2256212010002656</t>
        </is>
      </c>
      <c r="AZ407" t="inlineStr">
        <is>
          <t>BOOK</t>
        </is>
      </c>
      <c r="BB407" t="inlineStr">
        <is>
          <t>9780803986350</t>
        </is>
      </c>
      <c r="BC407" t="inlineStr">
        <is>
          <t>32285002176054</t>
        </is>
      </c>
      <c r="BD407" t="inlineStr">
        <is>
          <t>893880018</t>
        </is>
      </c>
    </row>
    <row r="408">
      <c r="A408" t="inlineStr">
        <is>
          <t>No</t>
        </is>
      </c>
      <c r="B408" t="inlineStr">
        <is>
          <t>HM24 .I34</t>
        </is>
      </c>
      <c r="C408" t="inlineStr">
        <is>
          <t>0                      HM 0024000I  34</t>
        </is>
      </c>
      <c r="D408" t="inlineStr">
        <is>
          <t>The Idea of social structure : papers in honor of Robert K. Merton / edited by Lewis A. Coser.</t>
        </is>
      </c>
      <c r="F408" t="inlineStr">
        <is>
          <t>No</t>
        </is>
      </c>
      <c r="G408" t="inlineStr">
        <is>
          <t>1</t>
        </is>
      </c>
      <c r="H408" t="inlineStr">
        <is>
          <t>No</t>
        </is>
      </c>
      <c r="I408" t="inlineStr">
        <is>
          <t>No</t>
        </is>
      </c>
      <c r="J408" t="inlineStr">
        <is>
          <t>0</t>
        </is>
      </c>
      <c r="L408" t="inlineStr">
        <is>
          <t>New York : Harcourt Brace Jovanovich, c1975.</t>
        </is>
      </c>
      <c r="M408" t="inlineStr">
        <is>
          <t>1975</t>
        </is>
      </c>
      <c r="O408" t="inlineStr">
        <is>
          <t>eng</t>
        </is>
      </c>
      <c r="P408" t="inlineStr">
        <is>
          <t>nyu</t>
        </is>
      </c>
      <c r="R408" t="inlineStr">
        <is>
          <t xml:space="preserve">HM </t>
        </is>
      </c>
      <c r="S408" t="n">
        <v>1</v>
      </c>
      <c r="T408" t="n">
        <v>1</v>
      </c>
      <c r="U408" t="inlineStr">
        <is>
          <t>2010-11-19</t>
        </is>
      </c>
      <c r="V408" t="inlineStr">
        <is>
          <t>2010-11-19</t>
        </is>
      </c>
      <c r="W408" t="inlineStr">
        <is>
          <t>1997-07-25</t>
        </is>
      </c>
      <c r="X408" t="inlineStr">
        <is>
          <t>1997-07-25</t>
        </is>
      </c>
      <c r="Y408" t="n">
        <v>858</v>
      </c>
      <c r="Z408" t="n">
        <v>680</v>
      </c>
      <c r="AA408" t="n">
        <v>705</v>
      </c>
      <c r="AB408" t="n">
        <v>7</v>
      </c>
      <c r="AC408" t="n">
        <v>7</v>
      </c>
      <c r="AD408" t="n">
        <v>33</v>
      </c>
      <c r="AE408" t="n">
        <v>33</v>
      </c>
      <c r="AF408" t="n">
        <v>12</v>
      </c>
      <c r="AG408" t="n">
        <v>12</v>
      </c>
      <c r="AH408" t="n">
        <v>8</v>
      </c>
      <c r="AI408" t="n">
        <v>8</v>
      </c>
      <c r="AJ408" t="n">
        <v>17</v>
      </c>
      <c r="AK408" t="n">
        <v>17</v>
      </c>
      <c r="AL408" t="n">
        <v>6</v>
      </c>
      <c r="AM408" t="n">
        <v>6</v>
      </c>
      <c r="AN408" t="n">
        <v>0</v>
      </c>
      <c r="AO408" t="n">
        <v>0</v>
      </c>
      <c r="AP408" t="inlineStr">
        <is>
          <t>No</t>
        </is>
      </c>
      <c r="AQ408" t="inlineStr">
        <is>
          <t>Yes</t>
        </is>
      </c>
      <c r="AR408">
        <f>HYPERLINK("http://catalog.hathitrust.org/Record/000027512","HathiTrust Record")</f>
        <v/>
      </c>
      <c r="AS408">
        <f>HYPERLINK("https://creighton-primo.hosted.exlibrisgroup.com/primo-explore/search?tab=default_tab&amp;search_scope=EVERYTHING&amp;vid=01CRU&amp;lang=en_US&amp;offset=0&amp;query=any,contains,991003873419702656","Catalog Record")</f>
        <v/>
      </c>
      <c r="AT408">
        <f>HYPERLINK("http://www.worldcat.org/oclc/1698818","WorldCat Record")</f>
        <v/>
      </c>
      <c r="AU408" t="inlineStr">
        <is>
          <t>347662911:eng</t>
        </is>
      </c>
      <c r="AV408" t="inlineStr">
        <is>
          <t>1698818</t>
        </is>
      </c>
      <c r="AW408" t="inlineStr">
        <is>
          <t>991003873419702656</t>
        </is>
      </c>
      <c r="AX408" t="inlineStr">
        <is>
          <t>991003873419702656</t>
        </is>
      </c>
      <c r="AY408" t="inlineStr">
        <is>
          <t>2269901600002656</t>
        </is>
      </c>
      <c r="AZ408" t="inlineStr">
        <is>
          <t>BOOK</t>
        </is>
      </c>
      <c r="BB408" t="inlineStr">
        <is>
          <t>9780155405486</t>
        </is>
      </c>
      <c r="BC408" t="inlineStr">
        <is>
          <t>32285003008181</t>
        </is>
      </c>
      <c r="BD408" t="inlineStr">
        <is>
          <t>893875311</t>
        </is>
      </c>
    </row>
    <row r="409">
      <c r="A409" t="inlineStr">
        <is>
          <t>No</t>
        </is>
      </c>
      <c r="B409" t="inlineStr">
        <is>
          <t>HM24 .J635 1984</t>
        </is>
      </c>
      <c r="C409" t="inlineStr">
        <is>
          <t>0                      HM 0024000J  635         1984</t>
        </is>
      </c>
      <c r="D409" t="inlineStr">
        <is>
          <t>The structure of social theory : dilemmas, strategies, and projects / Terry Johnson, Christopher Dandeker, Clive Ashworth.</t>
        </is>
      </c>
      <c r="F409" t="inlineStr">
        <is>
          <t>No</t>
        </is>
      </c>
      <c r="G409" t="inlineStr">
        <is>
          <t>1</t>
        </is>
      </c>
      <c r="H409" t="inlineStr">
        <is>
          <t>No</t>
        </is>
      </c>
      <c r="I409" t="inlineStr">
        <is>
          <t>No</t>
        </is>
      </c>
      <c r="J409" t="inlineStr">
        <is>
          <t>0</t>
        </is>
      </c>
      <c r="K409" t="inlineStr">
        <is>
          <t>Johnson, Terry, 1934-2006.</t>
        </is>
      </c>
      <c r="L409" t="inlineStr">
        <is>
          <t>New York : St. Martin's Press, 1984.</t>
        </is>
      </c>
      <c r="M409" t="inlineStr">
        <is>
          <t>1984</t>
        </is>
      </c>
      <c r="O409" t="inlineStr">
        <is>
          <t>eng</t>
        </is>
      </c>
      <c r="P409" t="inlineStr">
        <is>
          <t>nyu</t>
        </is>
      </c>
      <c r="R409" t="inlineStr">
        <is>
          <t xml:space="preserve">HM </t>
        </is>
      </c>
      <c r="S409" t="n">
        <v>0</v>
      </c>
      <c r="T409" t="n">
        <v>0</v>
      </c>
      <c r="U409" t="inlineStr">
        <is>
          <t>2006-06-27</t>
        </is>
      </c>
      <c r="V409" t="inlineStr">
        <is>
          <t>2006-06-27</t>
        </is>
      </c>
      <c r="W409" t="inlineStr">
        <is>
          <t>1992-08-05</t>
        </is>
      </c>
      <c r="X409" t="inlineStr">
        <is>
          <t>1992-08-05</t>
        </is>
      </c>
      <c r="Y409" t="n">
        <v>256</v>
      </c>
      <c r="Z409" t="n">
        <v>227</v>
      </c>
      <c r="AA409" t="n">
        <v>288</v>
      </c>
      <c r="AB409" t="n">
        <v>2</v>
      </c>
      <c r="AC409" t="n">
        <v>3</v>
      </c>
      <c r="AD409" t="n">
        <v>13</v>
      </c>
      <c r="AE409" t="n">
        <v>16</v>
      </c>
      <c r="AF409" t="n">
        <v>5</v>
      </c>
      <c r="AG409" t="n">
        <v>6</v>
      </c>
      <c r="AH409" t="n">
        <v>3</v>
      </c>
      <c r="AI409" t="n">
        <v>3</v>
      </c>
      <c r="AJ409" t="n">
        <v>7</v>
      </c>
      <c r="AK409" t="n">
        <v>9</v>
      </c>
      <c r="AL409" t="n">
        <v>1</v>
      </c>
      <c r="AM409" t="n">
        <v>2</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HYPERLINK("https://creighton-primo.hosted.exlibrisgroup.com/primo-explore/search?tab=default_tab&amp;search_scope=EVERYTHING&amp;vid=01CRU&amp;lang=en_US&amp;offset=0&amp;query=any,contains,991000450589702656","Catalog Record")</f>
        <v/>
      </c>
      <c r="AT409">
        <f>HYPERLINK("http://www.worldcat.org/oclc/10878701","WorldCat Record")</f>
        <v/>
      </c>
      <c r="AU409" t="inlineStr">
        <is>
          <t>292346584:eng</t>
        </is>
      </c>
      <c r="AV409" t="inlineStr">
        <is>
          <t>10878701</t>
        </is>
      </c>
      <c r="AW409" t="inlineStr">
        <is>
          <t>991000450589702656</t>
        </is>
      </c>
      <c r="AX409" t="inlineStr">
        <is>
          <t>991000450589702656</t>
        </is>
      </c>
      <c r="AY409" t="inlineStr">
        <is>
          <t>2272697620002656</t>
        </is>
      </c>
      <c r="AZ409" t="inlineStr">
        <is>
          <t>BOOK</t>
        </is>
      </c>
      <c r="BB409" t="inlineStr">
        <is>
          <t>9780312768348</t>
        </is>
      </c>
      <c r="BC409" t="inlineStr">
        <is>
          <t>32285001193985</t>
        </is>
      </c>
      <c r="BD409" t="inlineStr">
        <is>
          <t>893321045</t>
        </is>
      </c>
    </row>
    <row r="410">
      <c r="A410" t="inlineStr">
        <is>
          <t>No</t>
        </is>
      </c>
      <c r="B410" t="inlineStr">
        <is>
          <t>HM24 .L427</t>
        </is>
      </c>
      <c r="C410" t="inlineStr">
        <is>
          <t>0                      HM 0024000L  427</t>
        </is>
      </c>
      <c r="D410" t="inlineStr">
        <is>
          <t>A primer of ethnomethodology / Kenneth Leiter.</t>
        </is>
      </c>
      <c r="F410" t="inlineStr">
        <is>
          <t>No</t>
        </is>
      </c>
      <c r="G410" t="inlineStr">
        <is>
          <t>1</t>
        </is>
      </c>
      <c r="H410" t="inlineStr">
        <is>
          <t>No</t>
        </is>
      </c>
      <c r="I410" t="inlineStr">
        <is>
          <t>No</t>
        </is>
      </c>
      <c r="J410" t="inlineStr">
        <is>
          <t>0</t>
        </is>
      </c>
      <c r="K410" t="inlineStr">
        <is>
          <t>Leiter, Kenneth.</t>
        </is>
      </c>
      <c r="L410" t="inlineStr">
        <is>
          <t>New York : Oxford University Press, 1980.</t>
        </is>
      </c>
      <c r="M410" t="inlineStr">
        <is>
          <t>1980</t>
        </is>
      </c>
      <c r="O410" t="inlineStr">
        <is>
          <t>eng</t>
        </is>
      </c>
      <c r="P410" t="inlineStr">
        <is>
          <t>nyu</t>
        </is>
      </c>
      <c r="R410" t="inlineStr">
        <is>
          <t xml:space="preserve">HM </t>
        </is>
      </c>
      <c r="S410" t="n">
        <v>1</v>
      </c>
      <c r="T410" t="n">
        <v>1</v>
      </c>
      <c r="U410" t="inlineStr">
        <is>
          <t>2008-04-07</t>
        </is>
      </c>
      <c r="V410" t="inlineStr">
        <is>
          <t>2008-04-07</t>
        </is>
      </c>
      <c r="W410" t="inlineStr">
        <is>
          <t>1992-08-12</t>
        </is>
      </c>
      <c r="X410" t="inlineStr">
        <is>
          <t>1992-08-12</t>
        </is>
      </c>
      <c r="Y410" t="n">
        <v>381</v>
      </c>
      <c r="Z410" t="n">
        <v>264</v>
      </c>
      <c r="AA410" t="n">
        <v>266</v>
      </c>
      <c r="AB410" t="n">
        <v>3</v>
      </c>
      <c r="AC410" t="n">
        <v>3</v>
      </c>
      <c r="AD410" t="n">
        <v>12</v>
      </c>
      <c r="AE410" t="n">
        <v>12</v>
      </c>
      <c r="AF410" t="n">
        <v>2</v>
      </c>
      <c r="AG410" t="n">
        <v>2</v>
      </c>
      <c r="AH410" t="n">
        <v>2</v>
      </c>
      <c r="AI410" t="n">
        <v>2</v>
      </c>
      <c r="AJ410" t="n">
        <v>8</v>
      </c>
      <c r="AK410" t="n">
        <v>8</v>
      </c>
      <c r="AL410" t="n">
        <v>2</v>
      </c>
      <c r="AM410" t="n">
        <v>2</v>
      </c>
      <c r="AN410" t="n">
        <v>0</v>
      </c>
      <c r="AO410" t="n">
        <v>0</v>
      </c>
      <c r="AP410" t="inlineStr">
        <is>
          <t>No</t>
        </is>
      </c>
      <c r="AQ410" t="inlineStr">
        <is>
          <t>Yes</t>
        </is>
      </c>
      <c r="AR410">
        <f>HYPERLINK("http://catalog.hathitrust.org/Record/007115871","HathiTrust Record")</f>
        <v/>
      </c>
      <c r="AS410">
        <f>HYPERLINK("https://creighton-primo.hosted.exlibrisgroup.com/primo-explore/search?tab=default_tab&amp;search_scope=EVERYTHING&amp;vid=01CRU&amp;lang=en_US&amp;offset=0&amp;query=any,contains,991004745949702656","Catalog Record")</f>
        <v/>
      </c>
      <c r="AT410">
        <f>HYPERLINK("http://www.worldcat.org/oclc/4908051","WorldCat Record")</f>
        <v/>
      </c>
      <c r="AU410" t="inlineStr">
        <is>
          <t>415066:eng</t>
        </is>
      </c>
      <c r="AV410" t="inlineStr">
        <is>
          <t>4908051</t>
        </is>
      </c>
      <c r="AW410" t="inlineStr">
        <is>
          <t>991004745949702656</t>
        </is>
      </c>
      <c r="AX410" t="inlineStr">
        <is>
          <t>991004745949702656</t>
        </is>
      </c>
      <c r="AY410" t="inlineStr">
        <is>
          <t>2256384800002656</t>
        </is>
      </c>
      <c r="AZ410" t="inlineStr">
        <is>
          <t>BOOK</t>
        </is>
      </c>
      <c r="BB410" t="inlineStr">
        <is>
          <t>9780195026283</t>
        </is>
      </c>
      <c r="BC410" t="inlineStr">
        <is>
          <t>32285001194025</t>
        </is>
      </c>
      <c r="BD410" t="inlineStr">
        <is>
          <t>893889226</t>
        </is>
      </c>
    </row>
    <row r="411">
      <c r="A411" t="inlineStr">
        <is>
          <t>No</t>
        </is>
      </c>
      <c r="B411" t="inlineStr">
        <is>
          <t>HM24 .L456 1985</t>
        </is>
      </c>
      <c r="C411" t="inlineStr">
        <is>
          <t>0                      HM 0024000L  456         1985</t>
        </is>
      </c>
      <c r="D411" t="inlineStr">
        <is>
          <t>The flight from ambiguity : essays in social and cultural theory / Donald N. Levine.</t>
        </is>
      </c>
      <c r="F411" t="inlineStr">
        <is>
          <t>No</t>
        </is>
      </c>
      <c r="G411" t="inlineStr">
        <is>
          <t>1</t>
        </is>
      </c>
      <c r="H411" t="inlineStr">
        <is>
          <t>No</t>
        </is>
      </c>
      <c r="I411" t="inlineStr">
        <is>
          <t>No</t>
        </is>
      </c>
      <c r="J411" t="inlineStr">
        <is>
          <t>0</t>
        </is>
      </c>
      <c r="K411" t="inlineStr">
        <is>
          <t>Levine, Donald N., 1931-2015.</t>
        </is>
      </c>
      <c r="L411" t="inlineStr">
        <is>
          <t>Chicago : University of Chicago Press, c1985.</t>
        </is>
      </c>
      <c r="M411" t="inlineStr">
        <is>
          <t>1985</t>
        </is>
      </c>
      <c r="O411" t="inlineStr">
        <is>
          <t>eng</t>
        </is>
      </c>
      <c r="P411" t="inlineStr">
        <is>
          <t>ilu</t>
        </is>
      </c>
      <c r="R411" t="inlineStr">
        <is>
          <t xml:space="preserve">HM </t>
        </is>
      </c>
      <c r="S411" t="n">
        <v>4</v>
      </c>
      <c r="T411" t="n">
        <v>4</v>
      </c>
      <c r="U411" t="inlineStr">
        <is>
          <t>2005-11-17</t>
        </is>
      </c>
      <c r="V411" t="inlineStr">
        <is>
          <t>2005-11-17</t>
        </is>
      </c>
      <c r="W411" t="inlineStr">
        <is>
          <t>1992-08-12</t>
        </is>
      </c>
      <c r="X411" t="inlineStr">
        <is>
          <t>1992-08-12</t>
        </is>
      </c>
      <c r="Y411" t="n">
        <v>476</v>
      </c>
      <c r="Z411" t="n">
        <v>370</v>
      </c>
      <c r="AA411" t="n">
        <v>375</v>
      </c>
      <c r="AB411" t="n">
        <v>4</v>
      </c>
      <c r="AC411" t="n">
        <v>4</v>
      </c>
      <c r="AD411" t="n">
        <v>24</v>
      </c>
      <c r="AE411" t="n">
        <v>25</v>
      </c>
      <c r="AF411" t="n">
        <v>7</v>
      </c>
      <c r="AG411" t="n">
        <v>8</v>
      </c>
      <c r="AH411" t="n">
        <v>6</v>
      </c>
      <c r="AI411" t="n">
        <v>6</v>
      </c>
      <c r="AJ411" t="n">
        <v>16</v>
      </c>
      <c r="AK411" t="n">
        <v>16</v>
      </c>
      <c r="AL411" t="n">
        <v>3</v>
      </c>
      <c r="AM411" t="n">
        <v>3</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HYPERLINK("https://creighton-primo.hosted.exlibrisgroup.com/primo-explore/search?tab=default_tab&amp;search_scope=EVERYTHING&amp;vid=01CRU&amp;lang=en_US&amp;offset=0&amp;query=any,contains,991000649889702656","Catalog Record")</f>
        <v/>
      </c>
      <c r="AT411">
        <f>HYPERLINK("http://www.worldcat.org/oclc/12162089","WorldCat Record")</f>
        <v/>
      </c>
      <c r="AU411" t="inlineStr">
        <is>
          <t>836716995:eng</t>
        </is>
      </c>
      <c r="AV411" t="inlineStr">
        <is>
          <t>12162089</t>
        </is>
      </c>
      <c r="AW411" t="inlineStr">
        <is>
          <t>991000649889702656</t>
        </is>
      </c>
      <c r="AX411" t="inlineStr">
        <is>
          <t>991000649889702656</t>
        </is>
      </c>
      <c r="AY411" t="inlineStr">
        <is>
          <t>2272308490002656</t>
        </is>
      </c>
      <c r="AZ411" t="inlineStr">
        <is>
          <t>BOOK</t>
        </is>
      </c>
      <c r="BB411" t="inlineStr">
        <is>
          <t>9780226475554</t>
        </is>
      </c>
      <c r="BC411" t="inlineStr">
        <is>
          <t>32285001194033</t>
        </is>
      </c>
      <c r="BD411" t="inlineStr">
        <is>
          <t>893249542</t>
        </is>
      </c>
    </row>
    <row r="412">
      <c r="A412" t="inlineStr">
        <is>
          <t>No</t>
        </is>
      </c>
      <c r="B412" t="inlineStr">
        <is>
          <t>HM24 .L82 1999</t>
        </is>
      </c>
      <c r="C412" t="inlineStr">
        <is>
          <t>0                      HM 0024000L  82          1999</t>
        </is>
      </c>
      <c r="D412" t="inlineStr">
        <is>
          <t>Crisis in sociology : the need for Darwin / Joseph Lopreato, Timothy Crippen.</t>
        </is>
      </c>
      <c r="F412" t="inlineStr">
        <is>
          <t>No</t>
        </is>
      </c>
      <c r="G412" t="inlineStr">
        <is>
          <t>1</t>
        </is>
      </c>
      <c r="H412" t="inlineStr">
        <is>
          <t>No</t>
        </is>
      </c>
      <c r="I412" t="inlineStr">
        <is>
          <t>No</t>
        </is>
      </c>
      <c r="J412" t="inlineStr">
        <is>
          <t>0</t>
        </is>
      </c>
      <c r="K412" t="inlineStr">
        <is>
          <t>Lopreato, Joseph.</t>
        </is>
      </c>
      <c r="L412" t="inlineStr">
        <is>
          <t>New Brunswick, NJ : Transaction Publishers, c1999.</t>
        </is>
      </c>
      <c r="M412" t="inlineStr">
        <is>
          <t>1999</t>
        </is>
      </c>
      <c r="O412" t="inlineStr">
        <is>
          <t>eng</t>
        </is>
      </c>
      <c r="P412" t="inlineStr">
        <is>
          <t>nju</t>
        </is>
      </c>
      <c r="R412" t="inlineStr">
        <is>
          <t xml:space="preserve">HM </t>
        </is>
      </c>
      <c r="S412" t="n">
        <v>1</v>
      </c>
      <c r="T412" t="n">
        <v>1</v>
      </c>
      <c r="U412" t="inlineStr">
        <is>
          <t>2007-11-13</t>
        </is>
      </c>
      <c r="V412" t="inlineStr">
        <is>
          <t>2007-11-13</t>
        </is>
      </c>
      <c r="W412" t="inlineStr">
        <is>
          <t>2000-08-08</t>
        </is>
      </c>
      <c r="X412" t="inlineStr">
        <is>
          <t>2000-08-08</t>
        </is>
      </c>
      <c r="Y412" t="n">
        <v>474</v>
      </c>
      <c r="Z412" t="n">
        <v>407</v>
      </c>
      <c r="AA412" t="n">
        <v>442</v>
      </c>
      <c r="AB412" t="n">
        <v>4</v>
      </c>
      <c r="AC412" t="n">
        <v>4</v>
      </c>
      <c r="AD412" t="n">
        <v>24</v>
      </c>
      <c r="AE412" t="n">
        <v>25</v>
      </c>
      <c r="AF412" t="n">
        <v>8</v>
      </c>
      <c r="AG412" t="n">
        <v>9</v>
      </c>
      <c r="AH412" t="n">
        <v>4</v>
      </c>
      <c r="AI412" t="n">
        <v>4</v>
      </c>
      <c r="AJ412" t="n">
        <v>13</v>
      </c>
      <c r="AK412" t="n">
        <v>13</v>
      </c>
      <c r="AL412" t="n">
        <v>3</v>
      </c>
      <c r="AM412" t="n">
        <v>3</v>
      </c>
      <c r="AN412" t="n">
        <v>1</v>
      </c>
      <c r="AO412" t="n">
        <v>1</v>
      </c>
      <c r="AP412" t="inlineStr">
        <is>
          <t>No</t>
        </is>
      </c>
      <c r="AQ412" t="inlineStr">
        <is>
          <t>No</t>
        </is>
      </c>
      <c r="AS412">
        <f>HYPERLINK("https://creighton-primo.hosted.exlibrisgroup.com/primo-explore/search?tab=default_tab&amp;search_scope=EVERYTHING&amp;vid=01CRU&amp;lang=en_US&amp;offset=0&amp;query=any,contains,991003238919702656","Catalog Record")</f>
        <v/>
      </c>
      <c r="AT412">
        <f>HYPERLINK("http://www.worldcat.org/oclc/40433193","WorldCat Record")</f>
        <v/>
      </c>
      <c r="AU412" t="inlineStr">
        <is>
          <t>232849362:eng</t>
        </is>
      </c>
      <c r="AV412" t="inlineStr">
        <is>
          <t>40433193</t>
        </is>
      </c>
      <c r="AW412" t="inlineStr">
        <is>
          <t>991003238919702656</t>
        </is>
      </c>
      <c r="AX412" t="inlineStr">
        <is>
          <t>991003238919702656</t>
        </is>
      </c>
      <c r="AY412" t="inlineStr">
        <is>
          <t>2266895640002656</t>
        </is>
      </c>
      <c r="AZ412" t="inlineStr">
        <is>
          <t>BOOK</t>
        </is>
      </c>
      <c r="BB412" t="inlineStr">
        <is>
          <t>9781560003984</t>
        </is>
      </c>
      <c r="BC412" t="inlineStr">
        <is>
          <t>32285003756250</t>
        </is>
      </c>
      <c r="BD412" t="inlineStr">
        <is>
          <t>893511728</t>
        </is>
      </c>
    </row>
    <row r="413">
      <c r="A413" t="inlineStr">
        <is>
          <t>No</t>
        </is>
      </c>
      <c r="B413" t="inlineStr">
        <is>
          <t>HM24 .M2943 1987</t>
        </is>
      </c>
      <c r="C413" t="inlineStr">
        <is>
          <t>0                      HM 0024000M  2943        1987</t>
        </is>
      </c>
      <c r="D413" t="inlineStr">
        <is>
          <t>The Marx-Weber debate / Norbert Wiley, editor.</t>
        </is>
      </c>
      <c r="F413" t="inlineStr">
        <is>
          <t>No</t>
        </is>
      </c>
      <c r="G413" t="inlineStr">
        <is>
          <t>1</t>
        </is>
      </c>
      <c r="H413" t="inlineStr">
        <is>
          <t>No</t>
        </is>
      </c>
      <c r="I413" t="inlineStr">
        <is>
          <t>No</t>
        </is>
      </c>
      <c r="J413" t="inlineStr">
        <is>
          <t>0</t>
        </is>
      </c>
      <c r="L413" t="inlineStr">
        <is>
          <t>Newbury Park, Calif. : Sage Publications, c1987.</t>
        </is>
      </c>
      <c r="M413" t="inlineStr">
        <is>
          <t>1987</t>
        </is>
      </c>
      <c r="O413" t="inlineStr">
        <is>
          <t>eng</t>
        </is>
      </c>
      <c r="P413" t="inlineStr">
        <is>
          <t>cau</t>
        </is>
      </c>
      <c r="Q413" t="inlineStr">
        <is>
          <t>Key issues in sociological theory ; 2</t>
        </is>
      </c>
      <c r="R413" t="inlineStr">
        <is>
          <t xml:space="preserve">HM </t>
        </is>
      </c>
      <c r="S413" t="n">
        <v>4</v>
      </c>
      <c r="T413" t="n">
        <v>4</v>
      </c>
      <c r="U413" t="inlineStr">
        <is>
          <t>2001-11-06</t>
        </is>
      </c>
      <c r="V413" t="inlineStr">
        <is>
          <t>2001-11-06</t>
        </is>
      </c>
      <c r="W413" t="inlineStr">
        <is>
          <t>1992-08-12</t>
        </is>
      </c>
      <c r="X413" t="inlineStr">
        <is>
          <t>1992-08-12</t>
        </is>
      </c>
      <c r="Y413" t="n">
        <v>527</v>
      </c>
      <c r="Z413" t="n">
        <v>367</v>
      </c>
      <c r="AA413" t="n">
        <v>368</v>
      </c>
      <c r="AB413" t="n">
        <v>3</v>
      </c>
      <c r="AC413" t="n">
        <v>3</v>
      </c>
      <c r="AD413" t="n">
        <v>22</v>
      </c>
      <c r="AE413" t="n">
        <v>22</v>
      </c>
      <c r="AF413" t="n">
        <v>9</v>
      </c>
      <c r="AG413" t="n">
        <v>9</v>
      </c>
      <c r="AH413" t="n">
        <v>4</v>
      </c>
      <c r="AI413" t="n">
        <v>4</v>
      </c>
      <c r="AJ413" t="n">
        <v>12</v>
      </c>
      <c r="AK413" t="n">
        <v>12</v>
      </c>
      <c r="AL413" t="n">
        <v>2</v>
      </c>
      <c r="AM413" t="n">
        <v>2</v>
      </c>
      <c r="AN413" t="n">
        <v>2</v>
      </c>
      <c r="AO413" t="n">
        <v>2</v>
      </c>
      <c r="AP413" t="inlineStr">
        <is>
          <t>No</t>
        </is>
      </c>
      <c r="AQ413" t="inlineStr">
        <is>
          <t>No</t>
        </is>
      </c>
      <c r="AS413">
        <f>HYPERLINK("https://creighton-primo.hosted.exlibrisgroup.com/primo-explore/search?tab=default_tab&amp;search_scope=EVERYTHING&amp;vid=01CRU&amp;lang=en_US&amp;offset=0&amp;query=any,contains,991000870759702656","Catalog Record")</f>
        <v/>
      </c>
      <c r="AT413">
        <f>HYPERLINK("http://www.worldcat.org/oclc/13792470","WorldCat Record")</f>
        <v/>
      </c>
      <c r="AU413" t="inlineStr">
        <is>
          <t>7850610:eng</t>
        </is>
      </c>
      <c r="AV413" t="inlineStr">
        <is>
          <t>13792470</t>
        </is>
      </c>
      <c r="AW413" t="inlineStr">
        <is>
          <t>991000870759702656</t>
        </is>
      </c>
      <c r="AX413" t="inlineStr">
        <is>
          <t>991000870759702656</t>
        </is>
      </c>
      <c r="AY413" t="inlineStr">
        <is>
          <t>2272805180002656</t>
        </is>
      </c>
      <c r="AZ413" t="inlineStr">
        <is>
          <t>BOOK</t>
        </is>
      </c>
      <c r="BB413" t="inlineStr">
        <is>
          <t>9780803929203</t>
        </is>
      </c>
      <c r="BC413" t="inlineStr">
        <is>
          <t>32285001194041</t>
        </is>
      </c>
      <c r="BD413" t="inlineStr">
        <is>
          <t>893315313</t>
        </is>
      </c>
    </row>
    <row r="414">
      <c r="A414" t="inlineStr">
        <is>
          <t>No</t>
        </is>
      </c>
      <c r="B414" t="inlineStr">
        <is>
          <t>HM24 .M8</t>
        </is>
      </c>
      <c r="C414" t="inlineStr">
        <is>
          <t>0                      HM 0024000M  8</t>
        </is>
      </c>
      <c r="D414" t="inlineStr">
        <is>
          <t>The art of theory: construction and use [by] Nicholas C. Mullins.</t>
        </is>
      </c>
      <c r="F414" t="inlineStr">
        <is>
          <t>No</t>
        </is>
      </c>
      <c r="G414" t="inlineStr">
        <is>
          <t>1</t>
        </is>
      </c>
      <c r="H414" t="inlineStr">
        <is>
          <t>No</t>
        </is>
      </c>
      <c r="I414" t="inlineStr">
        <is>
          <t>No</t>
        </is>
      </c>
      <c r="J414" t="inlineStr">
        <is>
          <t>0</t>
        </is>
      </c>
      <c r="K414" t="inlineStr">
        <is>
          <t>Mullins, Nicholas C.</t>
        </is>
      </c>
      <c r="L414" t="inlineStr">
        <is>
          <t>New York, Harper &amp; Row [1971]</t>
        </is>
      </c>
      <c r="M414" t="inlineStr">
        <is>
          <t>1971</t>
        </is>
      </c>
      <c r="O414" t="inlineStr">
        <is>
          <t>eng</t>
        </is>
      </c>
      <c r="P414" t="inlineStr">
        <is>
          <t>nyu</t>
        </is>
      </c>
      <c r="R414" t="inlineStr">
        <is>
          <t xml:space="preserve">HM </t>
        </is>
      </c>
      <c r="S414" t="n">
        <v>2</v>
      </c>
      <c r="T414" t="n">
        <v>2</v>
      </c>
      <c r="U414" t="inlineStr">
        <is>
          <t>2006-05-01</t>
        </is>
      </c>
      <c r="V414" t="inlineStr">
        <is>
          <t>2006-05-01</t>
        </is>
      </c>
      <c r="W414" t="inlineStr">
        <is>
          <t>1992-08-12</t>
        </is>
      </c>
      <c r="X414" t="inlineStr">
        <is>
          <t>1992-08-12</t>
        </is>
      </c>
      <c r="Y414" t="n">
        <v>321</v>
      </c>
      <c r="Z414" t="n">
        <v>252</v>
      </c>
      <c r="AA414" t="n">
        <v>259</v>
      </c>
      <c r="AB414" t="n">
        <v>2</v>
      </c>
      <c r="AC414" t="n">
        <v>2</v>
      </c>
      <c r="AD414" t="n">
        <v>12</v>
      </c>
      <c r="AE414" t="n">
        <v>12</v>
      </c>
      <c r="AF414" t="n">
        <v>5</v>
      </c>
      <c r="AG414" t="n">
        <v>5</v>
      </c>
      <c r="AH414" t="n">
        <v>2</v>
      </c>
      <c r="AI414" t="n">
        <v>2</v>
      </c>
      <c r="AJ414" t="n">
        <v>8</v>
      </c>
      <c r="AK414" t="n">
        <v>8</v>
      </c>
      <c r="AL414" t="n">
        <v>1</v>
      </c>
      <c r="AM414" t="n">
        <v>1</v>
      </c>
      <c r="AN414" t="n">
        <v>0</v>
      </c>
      <c r="AO414" t="n">
        <v>0</v>
      </c>
      <c r="AP414" t="inlineStr">
        <is>
          <t>No</t>
        </is>
      </c>
      <c r="AQ414" t="inlineStr">
        <is>
          <t>Yes</t>
        </is>
      </c>
      <c r="AR414">
        <f>HYPERLINK("http://catalog.hathitrust.org/Record/009910792","HathiTrust Record")</f>
        <v/>
      </c>
      <c r="AS414">
        <f>HYPERLINK("https://creighton-primo.hosted.exlibrisgroup.com/primo-explore/search?tab=default_tab&amp;search_scope=EVERYTHING&amp;vid=01CRU&amp;lang=en_US&amp;offset=0&amp;query=any,contains,991000905889702656","Catalog Record")</f>
        <v/>
      </c>
      <c r="AT414">
        <f>HYPERLINK("http://www.worldcat.org/oclc/157166","WorldCat Record")</f>
        <v/>
      </c>
      <c r="AU414" t="inlineStr">
        <is>
          <t>865282805:eng</t>
        </is>
      </c>
      <c r="AV414" t="inlineStr">
        <is>
          <t>157166</t>
        </is>
      </c>
      <c r="AW414" t="inlineStr">
        <is>
          <t>991000905889702656</t>
        </is>
      </c>
      <c r="AX414" t="inlineStr">
        <is>
          <t>991000905889702656</t>
        </is>
      </c>
      <c r="AY414" t="inlineStr">
        <is>
          <t>2255762570002656</t>
        </is>
      </c>
      <c r="AZ414" t="inlineStr">
        <is>
          <t>BOOK</t>
        </is>
      </c>
      <c r="BB414" t="inlineStr">
        <is>
          <t>9780060446420</t>
        </is>
      </c>
      <c r="BC414" t="inlineStr">
        <is>
          <t>32285001194074</t>
        </is>
      </c>
      <c r="BD414" t="inlineStr">
        <is>
          <t>893255847</t>
        </is>
      </c>
    </row>
    <row r="415">
      <c r="A415" t="inlineStr">
        <is>
          <t>No</t>
        </is>
      </c>
      <c r="B415" t="inlineStr">
        <is>
          <t>HM24 .P663 1994</t>
        </is>
      </c>
      <c r="C415" t="inlineStr">
        <is>
          <t>0                      HM 0024000P  663         1994</t>
        </is>
      </c>
      <c r="D415" t="inlineStr">
        <is>
          <t>The postmodern turn : new perspectives on social theory / edited by Steven Seidman.</t>
        </is>
      </c>
      <c r="F415" t="inlineStr">
        <is>
          <t>No</t>
        </is>
      </c>
      <c r="G415" t="inlineStr">
        <is>
          <t>1</t>
        </is>
      </c>
      <c r="H415" t="inlineStr">
        <is>
          <t>No</t>
        </is>
      </c>
      <c r="I415" t="inlineStr">
        <is>
          <t>No</t>
        </is>
      </c>
      <c r="J415" t="inlineStr">
        <is>
          <t>0</t>
        </is>
      </c>
      <c r="L415" t="inlineStr">
        <is>
          <t>Cambridge ; New York : Cambridge University Press, 1994.</t>
        </is>
      </c>
      <c r="M415" t="inlineStr">
        <is>
          <t>1994</t>
        </is>
      </c>
      <c r="O415" t="inlineStr">
        <is>
          <t>eng</t>
        </is>
      </c>
      <c r="P415" t="inlineStr">
        <is>
          <t>enk</t>
        </is>
      </c>
      <c r="R415" t="inlineStr">
        <is>
          <t xml:space="preserve">HM </t>
        </is>
      </c>
      <c r="S415" t="n">
        <v>4</v>
      </c>
      <c r="T415" t="n">
        <v>4</v>
      </c>
      <c r="U415" t="inlineStr">
        <is>
          <t>2006-12-11</t>
        </is>
      </c>
      <c r="V415" t="inlineStr">
        <is>
          <t>2006-12-11</t>
        </is>
      </c>
      <c r="W415" t="inlineStr">
        <is>
          <t>1996-03-21</t>
        </is>
      </c>
      <c r="X415" t="inlineStr">
        <is>
          <t>1996-03-21</t>
        </is>
      </c>
      <c r="Y415" t="n">
        <v>492</v>
      </c>
      <c r="Z415" t="n">
        <v>298</v>
      </c>
      <c r="AA415" t="n">
        <v>312</v>
      </c>
      <c r="AB415" t="n">
        <v>3</v>
      </c>
      <c r="AC415" t="n">
        <v>3</v>
      </c>
      <c r="AD415" t="n">
        <v>22</v>
      </c>
      <c r="AE415" t="n">
        <v>22</v>
      </c>
      <c r="AF415" t="n">
        <v>7</v>
      </c>
      <c r="AG415" t="n">
        <v>7</v>
      </c>
      <c r="AH415" t="n">
        <v>5</v>
      </c>
      <c r="AI415" t="n">
        <v>5</v>
      </c>
      <c r="AJ415" t="n">
        <v>13</v>
      </c>
      <c r="AK415" t="n">
        <v>13</v>
      </c>
      <c r="AL415" t="n">
        <v>2</v>
      </c>
      <c r="AM415" t="n">
        <v>2</v>
      </c>
      <c r="AN415" t="n">
        <v>1</v>
      </c>
      <c r="AO415" t="n">
        <v>1</v>
      </c>
      <c r="AP415" t="inlineStr">
        <is>
          <t>No</t>
        </is>
      </c>
      <c r="AQ415" t="inlineStr">
        <is>
          <t>No</t>
        </is>
      </c>
      <c r="AS415">
        <f>HYPERLINK("https://creighton-primo.hosted.exlibrisgroup.com/primo-explore/search?tab=default_tab&amp;search_scope=EVERYTHING&amp;vid=01CRU&amp;lang=en_US&amp;offset=0&amp;query=any,contains,991002282819702656","Catalog Record")</f>
        <v/>
      </c>
      <c r="AT415">
        <f>HYPERLINK("http://www.worldcat.org/oclc/29596835","WorldCat Record")</f>
        <v/>
      </c>
      <c r="AU415" t="inlineStr">
        <is>
          <t>836730329:eng</t>
        </is>
      </c>
      <c r="AV415" t="inlineStr">
        <is>
          <t>29596835</t>
        </is>
      </c>
      <c r="AW415" t="inlineStr">
        <is>
          <t>991002282819702656</t>
        </is>
      </c>
      <c r="AX415" t="inlineStr">
        <is>
          <t>991002282819702656</t>
        </is>
      </c>
      <c r="AY415" t="inlineStr">
        <is>
          <t>2261768510002656</t>
        </is>
      </c>
      <c r="AZ415" t="inlineStr">
        <is>
          <t>BOOK</t>
        </is>
      </c>
      <c r="BB415" t="inlineStr">
        <is>
          <t>9780521452359</t>
        </is>
      </c>
      <c r="BC415" t="inlineStr">
        <is>
          <t>32285002145778</t>
        </is>
      </c>
      <c r="BD415" t="inlineStr">
        <is>
          <t>893697576</t>
        </is>
      </c>
    </row>
    <row r="416">
      <c r="A416" t="inlineStr">
        <is>
          <t>No</t>
        </is>
      </c>
      <c r="B416" t="inlineStr">
        <is>
          <t>HM24 .R64</t>
        </is>
      </c>
      <c r="C416" t="inlineStr">
        <is>
          <t>0                      HM 0024000R  64</t>
        </is>
      </c>
      <c r="D416" t="inlineStr">
        <is>
          <t>The making of symbolic interactionism / Paul Rock.</t>
        </is>
      </c>
      <c r="F416" t="inlineStr">
        <is>
          <t>No</t>
        </is>
      </c>
      <c r="G416" t="inlineStr">
        <is>
          <t>1</t>
        </is>
      </c>
      <c r="H416" t="inlineStr">
        <is>
          <t>No</t>
        </is>
      </c>
      <c r="I416" t="inlineStr">
        <is>
          <t>No</t>
        </is>
      </c>
      <c r="J416" t="inlineStr">
        <is>
          <t>0</t>
        </is>
      </c>
      <c r="K416" t="inlineStr">
        <is>
          <t>Rock, Paul Elliott.</t>
        </is>
      </c>
      <c r="L416" t="inlineStr">
        <is>
          <t>Totowa, N.J. : Rowman and Littlefield, 1979.</t>
        </is>
      </c>
      <c r="M416" t="inlineStr">
        <is>
          <t>1979</t>
        </is>
      </c>
      <c r="O416" t="inlineStr">
        <is>
          <t>eng</t>
        </is>
      </c>
      <c r="P416" t="inlineStr">
        <is>
          <t>nju</t>
        </is>
      </c>
      <c r="R416" t="inlineStr">
        <is>
          <t xml:space="preserve">HM </t>
        </is>
      </c>
      <c r="S416" t="n">
        <v>6</v>
      </c>
      <c r="T416" t="n">
        <v>6</v>
      </c>
      <c r="U416" t="inlineStr">
        <is>
          <t>2002-10-30</t>
        </is>
      </c>
      <c r="V416" t="inlineStr">
        <is>
          <t>2002-10-30</t>
        </is>
      </c>
      <c r="W416" t="inlineStr">
        <is>
          <t>1992-08-12</t>
        </is>
      </c>
      <c r="X416" t="inlineStr">
        <is>
          <t>1992-08-12</t>
        </is>
      </c>
      <c r="Y416" t="n">
        <v>287</v>
      </c>
      <c r="Z416" t="n">
        <v>236</v>
      </c>
      <c r="AA416" t="n">
        <v>285</v>
      </c>
      <c r="AB416" t="n">
        <v>1</v>
      </c>
      <c r="AC416" t="n">
        <v>3</v>
      </c>
      <c r="AD416" t="n">
        <v>14</v>
      </c>
      <c r="AE416" t="n">
        <v>17</v>
      </c>
      <c r="AF416" t="n">
        <v>6</v>
      </c>
      <c r="AG416" t="n">
        <v>7</v>
      </c>
      <c r="AH416" t="n">
        <v>5</v>
      </c>
      <c r="AI416" t="n">
        <v>5</v>
      </c>
      <c r="AJ416" t="n">
        <v>7</v>
      </c>
      <c r="AK416" t="n">
        <v>8</v>
      </c>
      <c r="AL416" t="n">
        <v>0</v>
      </c>
      <c r="AM416" t="n">
        <v>2</v>
      </c>
      <c r="AN416" t="n">
        <v>0</v>
      </c>
      <c r="AO416" t="n">
        <v>0</v>
      </c>
      <c r="AP416" t="inlineStr">
        <is>
          <t>No</t>
        </is>
      </c>
      <c r="AQ416" t="inlineStr">
        <is>
          <t>Yes</t>
        </is>
      </c>
      <c r="AR416">
        <f>HYPERLINK("http://catalog.hathitrust.org/Record/000719296","HathiTrust Record")</f>
        <v/>
      </c>
      <c r="AS416">
        <f>HYPERLINK("https://creighton-primo.hosted.exlibrisgroup.com/primo-explore/search?tab=default_tab&amp;search_scope=EVERYTHING&amp;vid=01CRU&amp;lang=en_US&amp;offset=0&amp;query=any,contains,991004652099702656","Catalog Record")</f>
        <v/>
      </c>
      <c r="AT416">
        <f>HYPERLINK("http://www.worldcat.org/oclc/4494313","WorldCat Record")</f>
        <v/>
      </c>
      <c r="AU416" t="inlineStr">
        <is>
          <t>14768092:eng</t>
        </is>
      </c>
      <c r="AV416" t="inlineStr">
        <is>
          <t>4494313</t>
        </is>
      </c>
      <c r="AW416" t="inlineStr">
        <is>
          <t>991004652099702656</t>
        </is>
      </c>
      <c r="AX416" t="inlineStr">
        <is>
          <t>991004652099702656</t>
        </is>
      </c>
      <c r="AY416" t="inlineStr">
        <is>
          <t>2265489100002656</t>
        </is>
      </c>
      <c r="AZ416" t="inlineStr">
        <is>
          <t>BOOK</t>
        </is>
      </c>
      <c r="BB416" t="inlineStr">
        <is>
          <t>9780847661305</t>
        </is>
      </c>
      <c r="BC416" t="inlineStr">
        <is>
          <t>32285001194165</t>
        </is>
      </c>
      <c r="BD416" t="inlineStr">
        <is>
          <t>893513509</t>
        </is>
      </c>
    </row>
    <row r="417">
      <c r="A417" t="inlineStr">
        <is>
          <t>No</t>
        </is>
      </c>
      <c r="B417" t="inlineStr">
        <is>
          <t>HM24 .S376 1979</t>
        </is>
      </c>
      <c r="C417" t="inlineStr">
        <is>
          <t>0                      HM 0024000S  376         1979</t>
        </is>
      </c>
      <c r="D417" t="inlineStr">
        <is>
          <t>Qualitative sociology : a method to the madness / Howard Schwartz, Jerry Jacobs.</t>
        </is>
      </c>
      <c r="F417" t="inlineStr">
        <is>
          <t>No</t>
        </is>
      </c>
      <c r="G417" t="inlineStr">
        <is>
          <t>1</t>
        </is>
      </c>
      <c r="H417" t="inlineStr">
        <is>
          <t>No</t>
        </is>
      </c>
      <c r="I417" t="inlineStr">
        <is>
          <t>No</t>
        </is>
      </c>
      <c r="J417" t="inlineStr">
        <is>
          <t>0</t>
        </is>
      </c>
      <c r="K417" t="inlineStr">
        <is>
          <t>Schwartz, Howard, 1943-</t>
        </is>
      </c>
      <c r="L417" t="inlineStr">
        <is>
          <t>New York : Free Press, c1979.</t>
        </is>
      </c>
      <c r="M417" t="inlineStr">
        <is>
          <t>1979</t>
        </is>
      </c>
      <c r="O417" t="inlineStr">
        <is>
          <t>eng</t>
        </is>
      </c>
      <c r="P417" t="inlineStr">
        <is>
          <t>nyu</t>
        </is>
      </c>
      <c r="R417" t="inlineStr">
        <is>
          <t xml:space="preserve">HM </t>
        </is>
      </c>
      <c r="S417" t="n">
        <v>2</v>
      </c>
      <c r="T417" t="n">
        <v>2</v>
      </c>
      <c r="U417" t="inlineStr">
        <is>
          <t>1994-02-27</t>
        </is>
      </c>
      <c r="V417" t="inlineStr">
        <is>
          <t>1994-02-27</t>
        </is>
      </c>
      <c r="W417" t="inlineStr">
        <is>
          <t>1992-08-12</t>
        </is>
      </c>
      <c r="X417" t="inlineStr">
        <is>
          <t>1992-08-12</t>
        </is>
      </c>
      <c r="Y417" t="n">
        <v>663</v>
      </c>
      <c r="Z417" t="n">
        <v>495</v>
      </c>
      <c r="AA417" t="n">
        <v>506</v>
      </c>
      <c r="AB417" t="n">
        <v>7</v>
      </c>
      <c r="AC417" t="n">
        <v>7</v>
      </c>
      <c r="AD417" t="n">
        <v>33</v>
      </c>
      <c r="AE417" t="n">
        <v>34</v>
      </c>
      <c r="AF417" t="n">
        <v>12</v>
      </c>
      <c r="AG417" t="n">
        <v>12</v>
      </c>
      <c r="AH417" t="n">
        <v>8</v>
      </c>
      <c r="AI417" t="n">
        <v>9</v>
      </c>
      <c r="AJ417" t="n">
        <v>15</v>
      </c>
      <c r="AK417" t="n">
        <v>16</v>
      </c>
      <c r="AL417" t="n">
        <v>5</v>
      </c>
      <c r="AM417" t="n">
        <v>5</v>
      </c>
      <c r="AN417" t="n">
        <v>0</v>
      </c>
      <c r="AO417" t="n">
        <v>0</v>
      </c>
      <c r="AP417" t="inlineStr">
        <is>
          <t>No</t>
        </is>
      </c>
      <c r="AQ417" t="inlineStr">
        <is>
          <t>Yes</t>
        </is>
      </c>
      <c r="AR417">
        <f>HYPERLINK("http://catalog.hathitrust.org/Record/000701098","HathiTrust Record")</f>
        <v/>
      </c>
      <c r="AS417">
        <f>HYPERLINK("https://creighton-primo.hosted.exlibrisgroup.com/primo-explore/search?tab=default_tab&amp;search_scope=EVERYTHING&amp;vid=01CRU&amp;lang=en_US&amp;offset=0&amp;query=any,contains,991004578389702656","Catalog Record")</f>
        <v/>
      </c>
      <c r="AT417">
        <f>HYPERLINK("http://www.worldcat.org/oclc/4055897","WorldCat Record")</f>
        <v/>
      </c>
      <c r="AU417" t="inlineStr">
        <is>
          <t>347658098:eng</t>
        </is>
      </c>
      <c r="AV417" t="inlineStr">
        <is>
          <t>4055897</t>
        </is>
      </c>
      <c r="AW417" t="inlineStr">
        <is>
          <t>991004578389702656</t>
        </is>
      </c>
      <c r="AX417" t="inlineStr">
        <is>
          <t>991004578389702656</t>
        </is>
      </c>
      <c r="AY417" t="inlineStr">
        <is>
          <t>2272095040002656</t>
        </is>
      </c>
      <c r="AZ417" t="inlineStr">
        <is>
          <t>BOOK</t>
        </is>
      </c>
      <c r="BB417" t="inlineStr">
        <is>
          <t>9780029281703</t>
        </is>
      </c>
      <c r="BC417" t="inlineStr">
        <is>
          <t>32285001194181</t>
        </is>
      </c>
      <c r="BD417" t="inlineStr">
        <is>
          <t>893536073</t>
        </is>
      </c>
    </row>
    <row r="418">
      <c r="A418" t="inlineStr">
        <is>
          <t>No</t>
        </is>
      </c>
      <c r="B418" t="inlineStr">
        <is>
          <t>HM24 .S543</t>
        </is>
      </c>
      <c r="C418" t="inlineStr">
        <is>
          <t>0                      HM 0024000S  543</t>
        </is>
      </c>
      <c r="D418" t="inlineStr">
        <is>
          <t>Social exchange : advances in theory and research / edited by Kenneth J. Gergen and Martin S. Greenberg and Richard H. Willis.</t>
        </is>
      </c>
      <c r="F418" t="inlineStr">
        <is>
          <t>No</t>
        </is>
      </c>
      <c r="G418" t="inlineStr">
        <is>
          <t>1</t>
        </is>
      </c>
      <c r="H418" t="inlineStr">
        <is>
          <t>No</t>
        </is>
      </c>
      <c r="I418" t="inlineStr">
        <is>
          <t>No</t>
        </is>
      </c>
      <c r="J418" t="inlineStr">
        <is>
          <t>0</t>
        </is>
      </c>
      <c r="L418" t="inlineStr">
        <is>
          <t>New York : Plenum Press, c1980.</t>
        </is>
      </c>
      <c r="M418" t="inlineStr">
        <is>
          <t>1980</t>
        </is>
      </c>
      <c r="O418" t="inlineStr">
        <is>
          <t>eng</t>
        </is>
      </c>
      <c r="P418" t="inlineStr">
        <is>
          <t>nyu</t>
        </is>
      </c>
      <c r="R418" t="inlineStr">
        <is>
          <t xml:space="preserve">HM </t>
        </is>
      </c>
      <c r="S418" t="n">
        <v>7</v>
      </c>
      <c r="T418" t="n">
        <v>7</v>
      </c>
      <c r="U418" t="inlineStr">
        <is>
          <t>2007-11-21</t>
        </is>
      </c>
      <c r="V418" t="inlineStr">
        <is>
          <t>2007-11-21</t>
        </is>
      </c>
      <c r="W418" t="inlineStr">
        <is>
          <t>1992-08-12</t>
        </is>
      </c>
      <c r="X418" t="inlineStr">
        <is>
          <t>1992-08-12</t>
        </is>
      </c>
      <c r="Y418" t="n">
        <v>460</v>
      </c>
      <c r="Z418" t="n">
        <v>325</v>
      </c>
      <c r="AA418" t="n">
        <v>360</v>
      </c>
      <c r="AB418" t="n">
        <v>4</v>
      </c>
      <c r="AC418" t="n">
        <v>4</v>
      </c>
      <c r="AD418" t="n">
        <v>15</v>
      </c>
      <c r="AE418" t="n">
        <v>17</v>
      </c>
      <c r="AF418" t="n">
        <v>5</v>
      </c>
      <c r="AG418" t="n">
        <v>7</v>
      </c>
      <c r="AH418" t="n">
        <v>3</v>
      </c>
      <c r="AI418" t="n">
        <v>4</v>
      </c>
      <c r="AJ418" t="n">
        <v>10</v>
      </c>
      <c r="AK418" t="n">
        <v>10</v>
      </c>
      <c r="AL418" t="n">
        <v>3</v>
      </c>
      <c r="AM418" t="n">
        <v>3</v>
      </c>
      <c r="AN418" t="n">
        <v>0</v>
      </c>
      <c r="AO418" t="n">
        <v>0</v>
      </c>
      <c r="AP418" t="inlineStr">
        <is>
          <t>No</t>
        </is>
      </c>
      <c r="AQ418" t="inlineStr">
        <is>
          <t>Yes</t>
        </is>
      </c>
      <c r="AR418">
        <f>HYPERLINK("http://catalog.hathitrust.org/Record/000084287","HathiTrust Record")</f>
        <v/>
      </c>
      <c r="AS418">
        <f>HYPERLINK("https://creighton-primo.hosted.exlibrisgroup.com/primo-explore/search?tab=default_tab&amp;search_scope=EVERYTHING&amp;vid=01CRU&amp;lang=en_US&amp;offset=0&amp;query=any,contains,991005014739702656","Catalog Record")</f>
        <v/>
      </c>
      <c r="AT418">
        <f>HYPERLINK("http://www.worldcat.org/oclc/6621912","WorldCat Record")</f>
        <v/>
      </c>
      <c r="AU418" t="inlineStr">
        <is>
          <t>889834728:eng</t>
        </is>
      </c>
      <c r="AV418" t="inlineStr">
        <is>
          <t>6621912</t>
        </is>
      </c>
      <c r="AW418" t="inlineStr">
        <is>
          <t>991005014739702656</t>
        </is>
      </c>
      <c r="AX418" t="inlineStr">
        <is>
          <t>991005014739702656</t>
        </is>
      </c>
      <c r="AY418" t="inlineStr">
        <is>
          <t>2264158730002656</t>
        </is>
      </c>
      <c r="AZ418" t="inlineStr">
        <is>
          <t>BOOK</t>
        </is>
      </c>
      <c r="BB418" t="inlineStr">
        <is>
          <t>9780306403958</t>
        </is>
      </c>
      <c r="BC418" t="inlineStr">
        <is>
          <t>32285001194207</t>
        </is>
      </c>
      <c r="BD418" t="inlineStr">
        <is>
          <t>893613009</t>
        </is>
      </c>
    </row>
    <row r="419">
      <c r="A419" t="inlineStr">
        <is>
          <t>No</t>
        </is>
      </c>
      <c r="B419" t="inlineStr">
        <is>
          <t>HM24 .S57</t>
        </is>
      </c>
      <c r="C419" t="inlineStr">
        <is>
          <t>0                      HM 0024000S  57</t>
        </is>
      </c>
      <c r="D419" t="inlineStr">
        <is>
          <t>Sociology and human destiny : essays on sociology, religion, and society / edited by Gregory Baum.</t>
        </is>
      </c>
      <c r="F419" t="inlineStr">
        <is>
          <t>No</t>
        </is>
      </c>
      <c r="G419" t="inlineStr">
        <is>
          <t>1</t>
        </is>
      </c>
      <c r="H419" t="inlineStr">
        <is>
          <t>No</t>
        </is>
      </c>
      <c r="I419" t="inlineStr">
        <is>
          <t>No</t>
        </is>
      </c>
      <c r="J419" t="inlineStr">
        <is>
          <t>0</t>
        </is>
      </c>
      <c r="L419" t="inlineStr">
        <is>
          <t>New York : Seabury Press, 1980.</t>
        </is>
      </c>
      <c r="M419" t="inlineStr">
        <is>
          <t>1980</t>
        </is>
      </c>
      <c r="O419" t="inlineStr">
        <is>
          <t>eng</t>
        </is>
      </c>
      <c r="P419" t="inlineStr">
        <is>
          <t>nyu</t>
        </is>
      </c>
      <c r="R419" t="inlineStr">
        <is>
          <t xml:space="preserve">HM </t>
        </is>
      </c>
      <c r="S419" t="n">
        <v>1</v>
      </c>
      <c r="T419" t="n">
        <v>1</v>
      </c>
      <c r="U419" t="inlineStr">
        <is>
          <t>2002-09-19</t>
        </is>
      </c>
      <c r="V419" t="inlineStr">
        <is>
          <t>2002-09-19</t>
        </is>
      </c>
      <c r="W419" t="inlineStr">
        <is>
          <t>1992-08-12</t>
        </is>
      </c>
      <c r="X419" t="inlineStr">
        <is>
          <t>1992-08-12</t>
        </is>
      </c>
      <c r="Y419" t="n">
        <v>408</v>
      </c>
      <c r="Z419" t="n">
        <v>346</v>
      </c>
      <c r="AA419" t="n">
        <v>352</v>
      </c>
      <c r="AB419" t="n">
        <v>3</v>
      </c>
      <c r="AC419" t="n">
        <v>3</v>
      </c>
      <c r="AD419" t="n">
        <v>19</v>
      </c>
      <c r="AE419" t="n">
        <v>19</v>
      </c>
      <c r="AF419" t="n">
        <v>6</v>
      </c>
      <c r="AG419" t="n">
        <v>6</v>
      </c>
      <c r="AH419" t="n">
        <v>5</v>
      </c>
      <c r="AI419" t="n">
        <v>5</v>
      </c>
      <c r="AJ419" t="n">
        <v>14</v>
      </c>
      <c r="AK419" t="n">
        <v>14</v>
      </c>
      <c r="AL419" t="n">
        <v>2</v>
      </c>
      <c r="AM419" t="n">
        <v>2</v>
      </c>
      <c r="AN419" t="n">
        <v>0</v>
      </c>
      <c r="AO419" t="n">
        <v>0</v>
      </c>
      <c r="AP419" t="inlineStr">
        <is>
          <t>No</t>
        </is>
      </c>
      <c r="AQ419" t="inlineStr">
        <is>
          <t>Yes</t>
        </is>
      </c>
      <c r="AR419">
        <f>HYPERLINK("http://catalog.hathitrust.org/Record/009511959","HathiTrust Record")</f>
        <v/>
      </c>
      <c r="AS419">
        <f>HYPERLINK("https://creighton-primo.hosted.exlibrisgroup.com/primo-explore/search?tab=default_tab&amp;search_scope=EVERYTHING&amp;vid=01CRU&amp;lang=en_US&amp;offset=0&amp;query=any,contains,991004897069702656","Catalog Record")</f>
        <v/>
      </c>
      <c r="AT419">
        <f>HYPERLINK("http://www.worldcat.org/oclc/5894483","WorldCat Record")</f>
        <v/>
      </c>
      <c r="AU419" t="inlineStr">
        <is>
          <t>815115222:eng</t>
        </is>
      </c>
      <c r="AV419" t="inlineStr">
        <is>
          <t>5894483</t>
        </is>
      </c>
      <c r="AW419" t="inlineStr">
        <is>
          <t>991004897069702656</t>
        </is>
      </c>
      <c r="AX419" t="inlineStr">
        <is>
          <t>991004897069702656</t>
        </is>
      </c>
      <c r="AY419" t="inlineStr">
        <is>
          <t>2264314520002656</t>
        </is>
      </c>
      <c r="AZ419" t="inlineStr">
        <is>
          <t>BOOK</t>
        </is>
      </c>
      <c r="BB419" t="inlineStr">
        <is>
          <t>9780816401109</t>
        </is>
      </c>
      <c r="BC419" t="inlineStr">
        <is>
          <t>32285001194249</t>
        </is>
      </c>
      <c r="BD419" t="inlineStr">
        <is>
          <t>893625217</t>
        </is>
      </c>
    </row>
    <row r="420">
      <c r="A420" t="inlineStr">
        <is>
          <t>No</t>
        </is>
      </c>
      <c r="B420" t="inlineStr">
        <is>
          <t>HM24 .U45 1977</t>
        </is>
      </c>
      <c r="C420" t="inlineStr">
        <is>
          <t>0                      HM 0024000U  45          1977</t>
        </is>
      </c>
      <c r="D420" t="inlineStr">
        <is>
          <t>The emergence of norms / Edna Ullmann-Margalit. --</t>
        </is>
      </c>
      <c r="F420" t="inlineStr">
        <is>
          <t>No</t>
        </is>
      </c>
      <c r="G420" t="inlineStr">
        <is>
          <t>1</t>
        </is>
      </c>
      <c r="H420" t="inlineStr">
        <is>
          <t>No</t>
        </is>
      </c>
      <c r="I420" t="inlineStr">
        <is>
          <t>No</t>
        </is>
      </c>
      <c r="J420" t="inlineStr">
        <is>
          <t>0</t>
        </is>
      </c>
      <c r="K420" t="inlineStr">
        <is>
          <t>Ullmann-Margalit, Edna.</t>
        </is>
      </c>
      <c r="L420" t="inlineStr">
        <is>
          <t>Oxford [Eng] : Clarendon Press, 1977.</t>
        </is>
      </c>
      <c r="M420" t="inlineStr">
        <is>
          <t>1977</t>
        </is>
      </c>
      <c r="O420" t="inlineStr">
        <is>
          <t>eng</t>
        </is>
      </c>
      <c r="P420" t="inlineStr">
        <is>
          <t>enk</t>
        </is>
      </c>
      <c r="Q420" t="inlineStr">
        <is>
          <t>Clarendon library of logic and philosophy</t>
        </is>
      </c>
      <c r="R420" t="inlineStr">
        <is>
          <t xml:space="preserve">HM </t>
        </is>
      </c>
      <c r="S420" t="n">
        <v>2</v>
      </c>
      <c r="T420" t="n">
        <v>2</v>
      </c>
      <c r="U420" t="inlineStr">
        <is>
          <t>1999-08-27</t>
        </is>
      </c>
      <c r="V420" t="inlineStr">
        <is>
          <t>1999-08-27</t>
        </is>
      </c>
      <c r="W420" t="inlineStr">
        <is>
          <t>1992-08-12</t>
        </is>
      </c>
      <c r="X420" t="inlineStr">
        <is>
          <t>1992-08-12</t>
        </is>
      </c>
      <c r="Y420" t="n">
        <v>512</v>
      </c>
      <c r="Z420" t="n">
        <v>355</v>
      </c>
      <c r="AA420" t="n">
        <v>397</v>
      </c>
      <c r="AB420" t="n">
        <v>2</v>
      </c>
      <c r="AC420" t="n">
        <v>2</v>
      </c>
      <c r="AD420" t="n">
        <v>22</v>
      </c>
      <c r="AE420" t="n">
        <v>22</v>
      </c>
      <c r="AF420" t="n">
        <v>5</v>
      </c>
      <c r="AG420" t="n">
        <v>5</v>
      </c>
      <c r="AH420" t="n">
        <v>6</v>
      </c>
      <c r="AI420" t="n">
        <v>6</v>
      </c>
      <c r="AJ420" t="n">
        <v>13</v>
      </c>
      <c r="AK420" t="n">
        <v>13</v>
      </c>
      <c r="AL420" t="n">
        <v>1</v>
      </c>
      <c r="AM420" t="n">
        <v>1</v>
      </c>
      <c r="AN420" t="n">
        <v>3</v>
      </c>
      <c r="AO420" t="n">
        <v>3</v>
      </c>
      <c r="AP420" t="inlineStr">
        <is>
          <t>No</t>
        </is>
      </c>
      <c r="AQ420" t="inlineStr">
        <is>
          <t>Yes</t>
        </is>
      </c>
      <c r="AR420">
        <f>HYPERLINK("http://catalog.hathitrust.org/Record/000252412","HathiTrust Record")</f>
        <v/>
      </c>
      <c r="AS420">
        <f>HYPERLINK("https://creighton-primo.hosted.exlibrisgroup.com/primo-explore/search?tab=default_tab&amp;search_scope=EVERYTHING&amp;vid=01CRU&amp;lang=en_US&amp;offset=0&amp;query=any,contains,991004325169702656","Catalog Record")</f>
        <v/>
      </c>
      <c r="AT420">
        <f>HYPERLINK("http://www.worldcat.org/oclc/3034302","WorldCat Record")</f>
        <v/>
      </c>
      <c r="AU420" t="inlineStr">
        <is>
          <t>416087:eng</t>
        </is>
      </c>
      <c r="AV420" t="inlineStr">
        <is>
          <t>3034302</t>
        </is>
      </c>
      <c r="AW420" t="inlineStr">
        <is>
          <t>991004325169702656</t>
        </is>
      </c>
      <c r="AX420" t="inlineStr">
        <is>
          <t>991004325169702656</t>
        </is>
      </c>
      <c r="AY420" t="inlineStr">
        <is>
          <t>2261365120002656</t>
        </is>
      </c>
      <c r="AZ420" t="inlineStr">
        <is>
          <t>BOOK</t>
        </is>
      </c>
      <c r="BB420" t="inlineStr">
        <is>
          <t>9780198244110</t>
        </is>
      </c>
      <c r="BC420" t="inlineStr">
        <is>
          <t>32285001194314</t>
        </is>
      </c>
      <c r="BD420" t="inlineStr">
        <is>
          <t>893901112</t>
        </is>
      </c>
    </row>
    <row r="421">
      <c r="A421" t="inlineStr">
        <is>
          <t>No</t>
        </is>
      </c>
      <c r="B421" t="inlineStr">
        <is>
          <t>HM24 .U53</t>
        </is>
      </c>
      <c r="C421" t="inlineStr">
        <is>
          <t>0                      HM 0024000U  53</t>
        </is>
      </c>
      <c r="D421" t="inlineStr">
        <is>
          <t>Understanding and social inquiry / edited by Fred R. Dallmayr and Thomas A. McCarthy.</t>
        </is>
      </c>
      <c r="F421" t="inlineStr">
        <is>
          <t>No</t>
        </is>
      </c>
      <c r="G421" t="inlineStr">
        <is>
          <t>1</t>
        </is>
      </c>
      <c r="H421" t="inlineStr">
        <is>
          <t>No</t>
        </is>
      </c>
      <c r="I421" t="inlineStr">
        <is>
          <t>No</t>
        </is>
      </c>
      <c r="J421" t="inlineStr">
        <is>
          <t>0</t>
        </is>
      </c>
      <c r="L421" t="inlineStr">
        <is>
          <t>Notre Dame, Ind. : University of Notre Dame Press, c1977.</t>
        </is>
      </c>
      <c r="M421" t="inlineStr">
        <is>
          <t>1977</t>
        </is>
      </c>
      <c r="O421" t="inlineStr">
        <is>
          <t>eng</t>
        </is>
      </c>
      <c r="P421" t="inlineStr">
        <is>
          <t>inu</t>
        </is>
      </c>
      <c r="R421" t="inlineStr">
        <is>
          <t xml:space="preserve">HM </t>
        </is>
      </c>
      <c r="S421" t="n">
        <v>5</v>
      </c>
      <c r="T421" t="n">
        <v>5</v>
      </c>
      <c r="U421" t="inlineStr">
        <is>
          <t>2004-10-08</t>
        </is>
      </c>
      <c r="V421" t="inlineStr">
        <is>
          <t>2004-10-08</t>
        </is>
      </c>
      <c r="W421" t="inlineStr">
        <is>
          <t>1996-04-26</t>
        </is>
      </c>
      <c r="X421" t="inlineStr">
        <is>
          <t>1996-04-26</t>
        </is>
      </c>
      <c r="Y421" t="n">
        <v>637</v>
      </c>
      <c r="Z421" t="n">
        <v>459</v>
      </c>
      <c r="AA421" t="n">
        <v>460</v>
      </c>
      <c r="AB421" t="n">
        <v>2</v>
      </c>
      <c r="AC421" t="n">
        <v>2</v>
      </c>
      <c r="AD421" t="n">
        <v>26</v>
      </c>
      <c r="AE421" t="n">
        <v>26</v>
      </c>
      <c r="AF421" t="n">
        <v>9</v>
      </c>
      <c r="AG421" t="n">
        <v>9</v>
      </c>
      <c r="AH421" t="n">
        <v>7</v>
      </c>
      <c r="AI421" t="n">
        <v>7</v>
      </c>
      <c r="AJ421" t="n">
        <v>20</v>
      </c>
      <c r="AK421" t="n">
        <v>20</v>
      </c>
      <c r="AL421" t="n">
        <v>1</v>
      </c>
      <c r="AM421" t="n">
        <v>1</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HYPERLINK("https://creighton-primo.hosted.exlibrisgroup.com/primo-explore/search?tab=default_tab&amp;search_scope=EVERYTHING&amp;vid=01CRU&amp;lang=en_US&amp;offset=0&amp;query=any,contains,991004138369702656","Catalog Record")</f>
        <v/>
      </c>
      <c r="AT421">
        <f>HYPERLINK("http://www.worldcat.org/oclc/2493270","WorldCat Record")</f>
        <v/>
      </c>
      <c r="AU421" t="inlineStr">
        <is>
          <t>867483525:eng</t>
        </is>
      </c>
      <c r="AV421" t="inlineStr">
        <is>
          <t>2493270</t>
        </is>
      </c>
      <c r="AW421" t="inlineStr">
        <is>
          <t>991004138369702656</t>
        </is>
      </c>
      <c r="AX421" t="inlineStr">
        <is>
          <t>991004138369702656</t>
        </is>
      </c>
      <c r="AY421" t="inlineStr">
        <is>
          <t>2256700420002656</t>
        </is>
      </c>
      <c r="AZ421" t="inlineStr">
        <is>
          <t>BOOK</t>
        </is>
      </c>
      <c r="BB421" t="inlineStr">
        <is>
          <t>9780268019129</t>
        </is>
      </c>
      <c r="BC421" t="inlineStr">
        <is>
          <t>32285002120987</t>
        </is>
      </c>
      <c r="BD421" t="inlineStr">
        <is>
          <t>893693572</t>
        </is>
      </c>
    </row>
    <row r="422">
      <c r="A422" t="inlineStr">
        <is>
          <t>No</t>
        </is>
      </c>
      <c r="B422" t="inlineStr">
        <is>
          <t>HM24 .W28</t>
        </is>
      </c>
      <c r="C422" t="inlineStr">
        <is>
          <t>0                      HM 0024000W  28</t>
        </is>
      </c>
      <c r="D422" t="inlineStr">
        <is>
          <t>The current state of sociological theory : a critical interpretation / Leon H. Warshay. --</t>
        </is>
      </c>
      <c r="F422" t="inlineStr">
        <is>
          <t>No</t>
        </is>
      </c>
      <c r="G422" t="inlineStr">
        <is>
          <t>1</t>
        </is>
      </c>
      <c r="H422" t="inlineStr">
        <is>
          <t>No</t>
        </is>
      </c>
      <c r="I422" t="inlineStr">
        <is>
          <t>No</t>
        </is>
      </c>
      <c r="J422" t="inlineStr">
        <is>
          <t>0</t>
        </is>
      </c>
      <c r="K422" t="inlineStr">
        <is>
          <t>Warshay, Leon H.</t>
        </is>
      </c>
      <c r="L422" t="inlineStr">
        <is>
          <t>New York : D. Mckay Co., [1975]</t>
        </is>
      </c>
      <c r="M422" t="inlineStr">
        <is>
          <t>1975</t>
        </is>
      </c>
      <c r="O422" t="inlineStr">
        <is>
          <t>eng</t>
        </is>
      </c>
      <c r="P422" t="inlineStr">
        <is>
          <t>nyu</t>
        </is>
      </c>
      <c r="R422" t="inlineStr">
        <is>
          <t xml:space="preserve">HM </t>
        </is>
      </c>
      <c r="S422" t="n">
        <v>2</v>
      </c>
      <c r="T422" t="n">
        <v>2</v>
      </c>
      <c r="U422" t="inlineStr">
        <is>
          <t>2000-10-08</t>
        </is>
      </c>
      <c r="V422" t="inlineStr">
        <is>
          <t>2000-10-08</t>
        </is>
      </c>
      <c r="W422" t="inlineStr">
        <is>
          <t>1992-08-12</t>
        </is>
      </c>
      <c r="X422" t="inlineStr">
        <is>
          <t>1992-08-12</t>
        </is>
      </c>
      <c r="Y422" t="n">
        <v>293</v>
      </c>
      <c r="Z422" t="n">
        <v>223</v>
      </c>
      <c r="AA422" t="n">
        <v>231</v>
      </c>
      <c r="AB422" t="n">
        <v>3</v>
      </c>
      <c r="AC422" t="n">
        <v>3</v>
      </c>
      <c r="AD422" t="n">
        <v>6</v>
      </c>
      <c r="AE422" t="n">
        <v>6</v>
      </c>
      <c r="AF422" t="n">
        <v>1</v>
      </c>
      <c r="AG422" t="n">
        <v>1</v>
      </c>
      <c r="AH422" t="n">
        <v>1</v>
      </c>
      <c r="AI422" t="n">
        <v>1</v>
      </c>
      <c r="AJ422" t="n">
        <v>3</v>
      </c>
      <c r="AK422" t="n">
        <v>3</v>
      </c>
      <c r="AL422" t="n">
        <v>2</v>
      </c>
      <c r="AM422" t="n">
        <v>2</v>
      </c>
      <c r="AN422" t="n">
        <v>0</v>
      </c>
      <c r="AO422" t="n">
        <v>0</v>
      </c>
      <c r="AP422" t="inlineStr">
        <is>
          <t>No</t>
        </is>
      </c>
      <c r="AQ422" t="inlineStr">
        <is>
          <t>Yes</t>
        </is>
      </c>
      <c r="AR422">
        <f>HYPERLINK("http://catalog.hathitrust.org/Record/009753300","HathiTrust Record")</f>
        <v/>
      </c>
      <c r="AS422">
        <f>HYPERLINK("https://creighton-primo.hosted.exlibrisgroup.com/primo-explore/search?tab=default_tab&amp;search_scope=EVERYTHING&amp;vid=01CRU&amp;lang=en_US&amp;offset=0&amp;query=any,contains,991003773649702656","Catalog Record")</f>
        <v/>
      </c>
      <c r="AT422">
        <f>HYPERLINK("http://www.worldcat.org/oclc/1476811","WorldCat Record")</f>
        <v/>
      </c>
      <c r="AU422" t="inlineStr">
        <is>
          <t>896311845:eng</t>
        </is>
      </c>
      <c r="AV422" t="inlineStr">
        <is>
          <t>1476811</t>
        </is>
      </c>
      <c r="AW422" t="inlineStr">
        <is>
          <t>991003773649702656</t>
        </is>
      </c>
      <c r="AX422" t="inlineStr">
        <is>
          <t>991003773649702656</t>
        </is>
      </c>
      <c r="AY422" t="inlineStr">
        <is>
          <t>2259569930002656</t>
        </is>
      </c>
      <c r="AZ422" t="inlineStr">
        <is>
          <t>BOOK</t>
        </is>
      </c>
      <c r="BB422" t="inlineStr">
        <is>
          <t>9780679302834</t>
        </is>
      </c>
      <c r="BC422" t="inlineStr">
        <is>
          <t>32285001194322</t>
        </is>
      </c>
      <c r="BD422" t="inlineStr">
        <is>
          <t>893693138</t>
        </is>
      </c>
    </row>
    <row r="423">
      <c r="A423" t="inlineStr">
        <is>
          <t>No</t>
        </is>
      </c>
      <c r="B423" t="inlineStr">
        <is>
          <t>HM24 .W483 1996</t>
        </is>
      </c>
      <c r="C423" t="inlineStr">
        <is>
          <t>0                      HM 0024000W  483         1996</t>
        </is>
      </c>
      <c r="D423" t="inlineStr">
        <is>
          <t>Perversion and utopia : a study in psychoanalysis and critical theory / Joel Whitebook.</t>
        </is>
      </c>
      <c r="F423" t="inlineStr">
        <is>
          <t>No</t>
        </is>
      </c>
      <c r="G423" t="inlineStr">
        <is>
          <t>1</t>
        </is>
      </c>
      <c r="H423" t="inlineStr">
        <is>
          <t>No</t>
        </is>
      </c>
      <c r="I423" t="inlineStr">
        <is>
          <t>No</t>
        </is>
      </c>
      <c r="J423" t="inlineStr">
        <is>
          <t>0</t>
        </is>
      </c>
      <c r="K423" t="inlineStr">
        <is>
          <t>Whitebook, Joel.</t>
        </is>
      </c>
      <c r="L423" t="inlineStr">
        <is>
          <t>Cambridge, Mass. : MIT Press, c1996.</t>
        </is>
      </c>
      <c r="M423" t="inlineStr">
        <is>
          <t>1996</t>
        </is>
      </c>
      <c r="N423" t="inlineStr">
        <is>
          <t>1st MIT pbk ed., 1996.</t>
        </is>
      </c>
      <c r="O423" t="inlineStr">
        <is>
          <t>eng</t>
        </is>
      </c>
      <c r="P423" t="inlineStr">
        <is>
          <t>mau</t>
        </is>
      </c>
      <c r="Q423" t="inlineStr">
        <is>
          <t>Studies in contemporary German social thought</t>
        </is>
      </c>
      <c r="R423" t="inlineStr">
        <is>
          <t xml:space="preserve">HM </t>
        </is>
      </c>
      <c r="S423" t="n">
        <v>2</v>
      </c>
      <c r="T423" t="n">
        <v>2</v>
      </c>
      <c r="U423" t="inlineStr">
        <is>
          <t>2001-02-15</t>
        </is>
      </c>
      <c r="V423" t="inlineStr">
        <is>
          <t>2001-02-15</t>
        </is>
      </c>
      <c r="W423" t="inlineStr">
        <is>
          <t>1997-02-20</t>
        </is>
      </c>
      <c r="X423" t="inlineStr">
        <is>
          <t>1997-02-20</t>
        </is>
      </c>
      <c r="Y423" t="n">
        <v>26</v>
      </c>
      <c r="Z423" t="n">
        <v>17</v>
      </c>
      <c r="AA423" t="n">
        <v>1008</v>
      </c>
      <c r="AB423" t="n">
        <v>1</v>
      </c>
      <c r="AC423" t="n">
        <v>14</v>
      </c>
      <c r="AD423" t="n">
        <v>2</v>
      </c>
      <c r="AE423" t="n">
        <v>39</v>
      </c>
      <c r="AF423" t="n">
        <v>1</v>
      </c>
      <c r="AG423" t="n">
        <v>12</v>
      </c>
      <c r="AH423" t="n">
        <v>1</v>
      </c>
      <c r="AI423" t="n">
        <v>8</v>
      </c>
      <c r="AJ423" t="n">
        <v>0</v>
      </c>
      <c r="AK423" t="n">
        <v>12</v>
      </c>
      <c r="AL423" t="n">
        <v>0</v>
      </c>
      <c r="AM423" t="n">
        <v>12</v>
      </c>
      <c r="AN423" t="n">
        <v>0</v>
      </c>
      <c r="AO423" t="n">
        <v>1</v>
      </c>
      <c r="AP423" t="inlineStr">
        <is>
          <t>No</t>
        </is>
      </c>
      <c r="AQ423" t="inlineStr">
        <is>
          <t>No</t>
        </is>
      </c>
      <c r="AS423">
        <f>HYPERLINK("https://creighton-primo.hosted.exlibrisgroup.com/primo-explore/search?tab=default_tab&amp;search_scope=EVERYTHING&amp;vid=01CRU&amp;lang=en_US&amp;offset=0&amp;query=any,contains,991002773559702656","Catalog Record")</f>
        <v/>
      </c>
      <c r="AT423">
        <f>HYPERLINK("http://www.worldcat.org/oclc/36418956","WorldCat Record")</f>
        <v/>
      </c>
      <c r="AU423" t="inlineStr">
        <is>
          <t>799925537:eng</t>
        </is>
      </c>
      <c r="AV423" t="inlineStr">
        <is>
          <t>36418956</t>
        </is>
      </c>
      <c r="AW423" t="inlineStr">
        <is>
          <t>991002773559702656</t>
        </is>
      </c>
      <c r="AX423" t="inlineStr">
        <is>
          <t>991002773559702656</t>
        </is>
      </c>
      <c r="AY423" t="inlineStr">
        <is>
          <t>2257876670002656</t>
        </is>
      </c>
      <c r="AZ423" t="inlineStr">
        <is>
          <t>BOOK</t>
        </is>
      </c>
      <c r="BC423" t="inlineStr">
        <is>
          <t>32285002399169</t>
        </is>
      </c>
      <c r="BD423" t="inlineStr">
        <is>
          <t>893415632</t>
        </is>
      </c>
    </row>
    <row r="424">
      <c r="A424" t="inlineStr">
        <is>
          <t>No</t>
        </is>
      </c>
      <c r="B424" t="inlineStr">
        <is>
          <t>HM251 .A34 v...</t>
        </is>
      </c>
      <c r="C424" t="inlineStr">
        <is>
          <t>0                      HM 0251000A  34                                                      v...</t>
        </is>
      </c>
      <c r="D424" t="inlineStr">
        <is>
          <t>Advances in applied social psychology / edited by Robert F. Kidd, Michael J. Saks.</t>
        </is>
      </c>
      <c r="E424" t="inlineStr">
        <is>
          <t>V.1</t>
        </is>
      </c>
      <c r="F424" t="inlineStr">
        <is>
          <t>Yes</t>
        </is>
      </c>
      <c r="G424" t="inlineStr">
        <is>
          <t>1</t>
        </is>
      </c>
      <c r="H424" t="inlineStr">
        <is>
          <t>No</t>
        </is>
      </c>
      <c r="I424" t="inlineStr">
        <is>
          <t>No</t>
        </is>
      </c>
      <c r="J424" t="inlineStr">
        <is>
          <t>0</t>
        </is>
      </c>
      <c r="L424" t="inlineStr">
        <is>
          <t>Hillsdale, N.J. : L. Erlbaum Associates, 1980-</t>
        </is>
      </c>
      <c r="M424" t="inlineStr">
        <is>
          <t>1980</t>
        </is>
      </c>
      <c r="O424" t="inlineStr">
        <is>
          <t>eng</t>
        </is>
      </c>
      <c r="P424" t="inlineStr">
        <is>
          <t>nju</t>
        </is>
      </c>
      <c r="R424" t="inlineStr">
        <is>
          <t xml:space="preserve">HM </t>
        </is>
      </c>
      <c r="S424" t="n">
        <v>2</v>
      </c>
      <c r="T424" t="n">
        <v>4</v>
      </c>
      <c r="U424" t="inlineStr">
        <is>
          <t>1996-12-03</t>
        </is>
      </c>
      <c r="V424" t="inlineStr">
        <is>
          <t>1996-12-03</t>
        </is>
      </c>
      <c r="W424" t="inlineStr">
        <is>
          <t>1992-09-02</t>
        </is>
      </c>
      <c r="X424" t="inlineStr">
        <is>
          <t>1992-09-02</t>
        </is>
      </c>
      <c r="Y424" t="n">
        <v>214</v>
      </c>
      <c r="Z424" t="n">
        <v>176</v>
      </c>
      <c r="AA424" t="n">
        <v>176</v>
      </c>
      <c r="AB424" t="n">
        <v>1</v>
      </c>
      <c r="AC424" t="n">
        <v>1</v>
      </c>
      <c r="AD424" t="n">
        <v>7</v>
      </c>
      <c r="AE424" t="n">
        <v>7</v>
      </c>
      <c r="AF424" t="n">
        <v>2</v>
      </c>
      <c r="AG424" t="n">
        <v>2</v>
      </c>
      <c r="AH424" t="n">
        <v>1</v>
      </c>
      <c r="AI424" t="n">
        <v>1</v>
      </c>
      <c r="AJ424" t="n">
        <v>6</v>
      </c>
      <c r="AK424" t="n">
        <v>6</v>
      </c>
      <c r="AL424" t="n">
        <v>0</v>
      </c>
      <c r="AM424" t="n">
        <v>0</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HYPERLINK("https://creighton-primo.hosted.exlibrisgroup.com/primo-explore/search?tab=default_tab&amp;search_scope=EVERYTHING&amp;vid=01CRU&amp;lang=en_US&amp;offset=0&amp;query=any,contains,991004981519702656","Catalog Record")</f>
        <v/>
      </c>
      <c r="AT424">
        <f>HYPERLINK("http://www.worldcat.org/oclc/6422713","WorldCat Record")</f>
        <v/>
      </c>
      <c r="AU424" t="inlineStr">
        <is>
          <t>8910818112:eng</t>
        </is>
      </c>
      <c r="AV424" t="inlineStr">
        <is>
          <t>6422713</t>
        </is>
      </c>
      <c r="AW424" t="inlineStr">
        <is>
          <t>991004981519702656</t>
        </is>
      </c>
      <c r="AX424" t="inlineStr">
        <is>
          <t>991004981519702656</t>
        </is>
      </c>
      <c r="AY424" t="inlineStr">
        <is>
          <t>2268961290002656</t>
        </is>
      </c>
      <c r="AZ424" t="inlineStr">
        <is>
          <t>BOOK</t>
        </is>
      </c>
      <c r="BB424" t="inlineStr">
        <is>
          <t>9780898590272</t>
        </is>
      </c>
      <c r="BC424" t="inlineStr">
        <is>
          <t>32285001267193</t>
        </is>
      </c>
      <c r="BD424" t="inlineStr">
        <is>
          <t>893776650</t>
        </is>
      </c>
    </row>
    <row r="425">
      <c r="A425" t="inlineStr">
        <is>
          <t>No</t>
        </is>
      </c>
      <c r="B425" t="inlineStr">
        <is>
          <t>HM251 .A34 v...</t>
        </is>
      </c>
      <c r="C425" t="inlineStr">
        <is>
          <t>0                      HM 0251000A  34                                                      v...</t>
        </is>
      </c>
      <c r="D425" t="inlineStr">
        <is>
          <t>Advances in applied social psychology / edited by Robert F. Kidd, Michael J. Saks.</t>
        </is>
      </c>
      <c r="E425" t="inlineStr">
        <is>
          <t>V.3</t>
        </is>
      </c>
      <c r="F425" t="inlineStr">
        <is>
          <t>Yes</t>
        </is>
      </c>
      <c r="G425" t="inlineStr">
        <is>
          <t>1</t>
        </is>
      </c>
      <c r="H425" t="inlineStr">
        <is>
          <t>No</t>
        </is>
      </c>
      <c r="I425" t="inlineStr">
        <is>
          <t>No</t>
        </is>
      </c>
      <c r="J425" t="inlineStr">
        <is>
          <t>0</t>
        </is>
      </c>
      <c r="L425" t="inlineStr">
        <is>
          <t>Hillsdale, N.J. : L. Erlbaum Associates, 1980-</t>
        </is>
      </c>
      <c r="M425" t="inlineStr">
        <is>
          <t>1980</t>
        </is>
      </c>
      <c r="O425" t="inlineStr">
        <is>
          <t>eng</t>
        </is>
      </c>
      <c r="P425" t="inlineStr">
        <is>
          <t>nju</t>
        </is>
      </c>
      <c r="R425" t="inlineStr">
        <is>
          <t xml:space="preserve">HM </t>
        </is>
      </c>
      <c r="S425" t="n">
        <v>1</v>
      </c>
      <c r="T425" t="n">
        <v>4</v>
      </c>
      <c r="V425" t="inlineStr">
        <is>
          <t>1996-12-03</t>
        </is>
      </c>
      <c r="W425" t="inlineStr">
        <is>
          <t>1990-06-12</t>
        </is>
      </c>
      <c r="X425" t="inlineStr">
        <is>
          <t>1992-09-02</t>
        </is>
      </c>
      <c r="Y425" t="n">
        <v>214</v>
      </c>
      <c r="Z425" t="n">
        <v>176</v>
      </c>
      <c r="AA425" t="n">
        <v>176</v>
      </c>
      <c r="AB425" t="n">
        <v>1</v>
      </c>
      <c r="AC425" t="n">
        <v>1</v>
      </c>
      <c r="AD425" t="n">
        <v>7</v>
      </c>
      <c r="AE425" t="n">
        <v>7</v>
      </c>
      <c r="AF425" t="n">
        <v>2</v>
      </c>
      <c r="AG425" t="n">
        <v>2</v>
      </c>
      <c r="AH425" t="n">
        <v>1</v>
      </c>
      <c r="AI425" t="n">
        <v>1</v>
      </c>
      <c r="AJ425" t="n">
        <v>6</v>
      </c>
      <c r="AK425" t="n">
        <v>6</v>
      </c>
      <c r="AL425" t="n">
        <v>0</v>
      </c>
      <c r="AM425" t="n">
        <v>0</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HYPERLINK("https://creighton-primo.hosted.exlibrisgroup.com/primo-explore/search?tab=default_tab&amp;search_scope=EVERYTHING&amp;vid=01CRU&amp;lang=en_US&amp;offset=0&amp;query=any,contains,991004981519702656","Catalog Record")</f>
        <v/>
      </c>
      <c r="AT425">
        <f>HYPERLINK("http://www.worldcat.org/oclc/6422713","WorldCat Record")</f>
        <v/>
      </c>
      <c r="AU425" t="inlineStr">
        <is>
          <t>8910818112:eng</t>
        </is>
      </c>
      <c r="AV425" t="inlineStr">
        <is>
          <t>6422713</t>
        </is>
      </c>
      <c r="AW425" t="inlineStr">
        <is>
          <t>991004981519702656</t>
        </is>
      </c>
      <c r="AX425" t="inlineStr">
        <is>
          <t>991004981519702656</t>
        </is>
      </c>
      <c r="AY425" t="inlineStr">
        <is>
          <t>2268961290002656</t>
        </is>
      </c>
      <c r="AZ425" t="inlineStr">
        <is>
          <t>BOOK</t>
        </is>
      </c>
      <c r="BB425" t="inlineStr">
        <is>
          <t>9780898590272</t>
        </is>
      </c>
      <c r="BC425" t="inlineStr">
        <is>
          <t>32285000179704</t>
        </is>
      </c>
      <c r="BD425" t="inlineStr">
        <is>
          <t>893789285</t>
        </is>
      </c>
    </row>
    <row r="426">
      <c r="A426" t="inlineStr">
        <is>
          <t>No</t>
        </is>
      </c>
      <c r="B426" t="inlineStr">
        <is>
          <t>HM251 .A34 v...</t>
        </is>
      </c>
      <c r="C426" t="inlineStr">
        <is>
          <t>0                      HM 0251000A  34                                                      v...</t>
        </is>
      </c>
      <c r="D426" t="inlineStr">
        <is>
          <t>Advances in applied social psychology / edited by Robert F. Kidd, Michael J. Saks.</t>
        </is>
      </c>
      <c r="E426" t="inlineStr">
        <is>
          <t>V.2</t>
        </is>
      </c>
      <c r="F426" t="inlineStr">
        <is>
          <t>Yes</t>
        </is>
      </c>
      <c r="G426" t="inlineStr">
        <is>
          <t>1</t>
        </is>
      </c>
      <c r="H426" t="inlineStr">
        <is>
          <t>No</t>
        </is>
      </c>
      <c r="I426" t="inlineStr">
        <is>
          <t>No</t>
        </is>
      </c>
      <c r="J426" t="inlineStr">
        <is>
          <t>0</t>
        </is>
      </c>
      <c r="L426" t="inlineStr">
        <is>
          <t>Hillsdale, N.J. : L. Erlbaum Associates, 1980-</t>
        </is>
      </c>
      <c r="M426" t="inlineStr">
        <is>
          <t>1980</t>
        </is>
      </c>
      <c r="O426" t="inlineStr">
        <is>
          <t>eng</t>
        </is>
      </c>
      <c r="P426" t="inlineStr">
        <is>
          <t>nju</t>
        </is>
      </c>
      <c r="R426" t="inlineStr">
        <is>
          <t xml:space="preserve">HM </t>
        </is>
      </c>
      <c r="S426" t="n">
        <v>1</v>
      </c>
      <c r="T426" t="n">
        <v>4</v>
      </c>
      <c r="V426" t="inlineStr">
        <is>
          <t>1996-12-03</t>
        </is>
      </c>
      <c r="W426" t="inlineStr">
        <is>
          <t>1990-06-12</t>
        </is>
      </c>
      <c r="X426" t="inlineStr">
        <is>
          <t>1992-09-02</t>
        </is>
      </c>
      <c r="Y426" t="n">
        <v>214</v>
      </c>
      <c r="Z426" t="n">
        <v>176</v>
      </c>
      <c r="AA426" t="n">
        <v>176</v>
      </c>
      <c r="AB426" t="n">
        <v>1</v>
      </c>
      <c r="AC426" t="n">
        <v>1</v>
      </c>
      <c r="AD426" t="n">
        <v>7</v>
      </c>
      <c r="AE426" t="n">
        <v>7</v>
      </c>
      <c r="AF426" t="n">
        <v>2</v>
      </c>
      <c r="AG426" t="n">
        <v>2</v>
      </c>
      <c r="AH426" t="n">
        <v>1</v>
      </c>
      <c r="AI426" t="n">
        <v>1</v>
      </c>
      <c r="AJ426" t="n">
        <v>6</v>
      </c>
      <c r="AK426" t="n">
        <v>6</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HYPERLINK("https://creighton-primo.hosted.exlibrisgroup.com/primo-explore/search?tab=default_tab&amp;search_scope=EVERYTHING&amp;vid=01CRU&amp;lang=en_US&amp;offset=0&amp;query=any,contains,991004981519702656","Catalog Record")</f>
        <v/>
      </c>
      <c r="AT426">
        <f>HYPERLINK("http://www.worldcat.org/oclc/6422713","WorldCat Record")</f>
        <v/>
      </c>
      <c r="AU426" t="inlineStr">
        <is>
          <t>8910818112:eng</t>
        </is>
      </c>
      <c r="AV426" t="inlineStr">
        <is>
          <t>6422713</t>
        </is>
      </c>
      <c r="AW426" t="inlineStr">
        <is>
          <t>991004981519702656</t>
        </is>
      </c>
      <c r="AX426" t="inlineStr">
        <is>
          <t>991004981519702656</t>
        </is>
      </c>
      <c r="AY426" t="inlineStr">
        <is>
          <t>2268961290002656</t>
        </is>
      </c>
      <c r="AZ426" t="inlineStr">
        <is>
          <t>BOOK</t>
        </is>
      </c>
      <c r="BB426" t="inlineStr">
        <is>
          <t>9780898590272</t>
        </is>
      </c>
      <c r="BC426" t="inlineStr">
        <is>
          <t>32285000179696</t>
        </is>
      </c>
      <c r="BD426" t="inlineStr">
        <is>
          <t>893795466</t>
        </is>
      </c>
    </row>
    <row r="427">
      <c r="A427" t="inlineStr">
        <is>
          <t>No</t>
        </is>
      </c>
      <c r="B427" t="inlineStr">
        <is>
          <t>HM251 .A528</t>
        </is>
      </c>
      <c r="C427" t="inlineStr">
        <is>
          <t>0                      HM 0251000A  528</t>
        </is>
      </c>
      <c r="D427" t="inlineStr">
        <is>
          <t>Social behavior : facts and falsehoods about common sense, hypnotism, obedience, altruism, beauty, racism, and sexism / Bem P. Allen ; ill. by Matt Zumbo.</t>
        </is>
      </c>
      <c r="F427" t="inlineStr">
        <is>
          <t>No</t>
        </is>
      </c>
      <c r="G427" t="inlineStr">
        <is>
          <t>1</t>
        </is>
      </c>
      <c r="H427" t="inlineStr">
        <is>
          <t>No</t>
        </is>
      </c>
      <c r="I427" t="inlineStr">
        <is>
          <t>No</t>
        </is>
      </c>
      <c r="J427" t="inlineStr">
        <is>
          <t>0</t>
        </is>
      </c>
      <c r="K427" t="inlineStr">
        <is>
          <t>Allen, Bem P., 1940-</t>
        </is>
      </c>
      <c r="L427" t="inlineStr">
        <is>
          <t>Chicago : Nelson Hall, c1978.</t>
        </is>
      </c>
      <c r="M427" t="inlineStr">
        <is>
          <t>1978</t>
        </is>
      </c>
      <c r="O427" t="inlineStr">
        <is>
          <t>eng</t>
        </is>
      </c>
      <c r="P427" t="inlineStr">
        <is>
          <t>ilu</t>
        </is>
      </c>
      <c r="R427" t="inlineStr">
        <is>
          <t xml:space="preserve">HM </t>
        </is>
      </c>
      <c r="S427" t="n">
        <v>7</v>
      </c>
      <c r="T427" t="n">
        <v>7</v>
      </c>
      <c r="U427" t="inlineStr">
        <is>
          <t>2003-03-16</t>
        </is>
      </c>
      <c r="V427" t="inlineStr">
        <is>
          <t>2003-03-16</t>
        </is>
      </c>
      <c r="W427" t="inlineStr">
        <is>
          <t>1991-12-30</t>
        </is>
      </c>
      <c r="X427" t="inlineStr">
        <is>
          <t>1991-12-30</t>
        </is>
      </c>
      <c r="Y427" t="n">
        <v>371</v>
      </c>
      <c r="Z427" t="n">
        <v>334</v>
      </c>
      <c r="AA427" t="n">
        <v>336</v>
      </c>
      <c r="AB427" t="n">
        <v>3</v>
      </c>
      <c r="AC427" t="n">
        <v>3</v>
      </c>
      <c r="AD427" t="n">
        <v>14</v>
      </c>
      <c r="AE427" t="n">
        <v>14</v>
      </c>
      <c r="AF427" t="n">
        <v>7</v>
      </c>
      <c r="AG427" t="n">
        <v>7</v>
      </c>
      <c r="AH427" t="n">
        <v>2</v>
      </c>
      <c r="AI427" t="n">
        <v>2</v>
      </c>
      <c r="AJ427" t="n">
        <v>7</v>
      </c>
      <c r="AK427" t="n">
        <v>7</v>
      </c>
      <c r="AL427" t="n">
        <v>2</v>
      </c>
      <c r="AM427" t="n">
        <v>2</v>
      </c>
      <c r="AN427" t="n">
        <v>0</v>
      </c>
      <c r="AO427" t="n">
        <v>0</v>
      </c>
      <c r="AP427" t="inlineStr">
        <is>
          <t>No</t>
        </is>
      </c>
      <c r="AQ427" t="inlineStr">
        <is>
          <t>Yes</t>
        </is>
      </c>
      <c r="AR427">
        <f>HYPERLINK("http://catalog.hathitrust.org/Record/000130181","HathiTrust Record")</f>
        <v/>
      </c>
      <c r="AS427">
        <f>HYPERLINK("https://creighton-primo.hosted.exlibrisgroup.com/primo-explore/search?tab=default_tab&amp;search_scope=EVERYTHING&amp;vid=01CRU&amp;lang=en_US&amp;offset=0&amp;query=any,contains,991004475529702656","Catalog Record")</f>
        <v/>
      </c>
      <c r="AT427">
        <f>HYPERLINK("http://www.worldcat.org/oclc/3609057","WorldCat Record")</f>
        <v/>
      </c>
      <c r="AU427" t="inlineStr">
        <is>
          <t>309011936:eng</t>
        </is>
      </c>
      <c r="AV427" t="inlineStr">
        <is>
          <t>3609057</t>
        </is>
      </c>
      <c r="AW427" t="inlineStr">
        <is>
          <t>991004475529702656</t>
        </is>
      </c>
      <c r="AX427" t="inlineStr">
        <is>
          <t>991004475529702656</t>
        </is>
      </c>
      <c r="AY427" t="inlineStr">
        <is>
          <t>2269893230002656</t>
        </is>
      </c>
      <c r="AZ427" t="inlineStr">
        <is>
          <t>BOOK</t>
        </is>
      </c>
      <c r="BB427" t="inlineStr">
        <is>
          <t>9780882293936</t>
        </is>
      </c>
      <c r="BC427" t="inlineStr">
        <is>
          <t>32285000881515</t>
        </is>
      </c>
      <c r="BD427" t="inlineStr">
        <is>
          <t>893446233</t>
        </is>
      </c>
    </row>
    <row r="428">
      <c r="A428" t="inlineStr">
        <is>
          <t>No</t>
        </is>
      </c>
      <c r="B428" t="inlineStr">
        <is>
          <t>HM251 .B245 1995</t>
        </is>
      </c>
      <c r="C428" t="inlineStr">
        <is>
          <t>0                      HM 0251000B  245         1995</t>
        </is>
      </c>
      <c r="D428" t="inlineStr">
        <is>
          <t>Analyzing interaction : sequential analysis with SDIS &amp; GSEQ / Roger Bakeman and Vicenç Quera.</t>
        </is>
      </c>
      <c r="F428" t="inlineStr">
        <is>
          <t>No</t>
        </is>
      </c>
      <c r="G428" t="inlineStr">
        <is>
          <t>1</t>
        </is>
      </c>
      <c r="H428" t="inlineStr">
        <is>
          <t>No</t>
        </is>
      </c>
      <c r="I428" t="inlineStr">
        <is>
          <t>No</t>
        </is>
      </c>
      <c r="J428" t="inlineStr">
        <is>
          <t>0</t>
        </is>
      </c>
      <c r="K428" t="inlineStr">
        <is>
          <t>Bakeman, Roger.</t>
        </is>
      </c>
      <c r="L428" t="inlineStr">
        <is>
          <t>Cambridge ; New York : Cambridge University Press, 1995.</t>
        </is>
      </c>
      <c r="M428" t="inlineStr">
        <is>
          <t>1995</t>
        </is>
      </c>
      <c r="O428" t="inlineStr">
        <is>
          <t>eng</t>
        </is>
      </c>
      <c r="P428" t="inlineStr">
        <is>
          <t>enk</t>
        </is>
      </c>
      <c r="R428" t="inlineStr">
        <is>
          <t xml:space="preserve">HM </t>
        </is>
      </c>
      <c r="S428" t="n">
        <v>1</v>
      </c>
      <c r="T428" t="n">
        <v>1</v>
      </c>
      <c r="U428" t="inlineStr">
        <is>
          <t>2008-04-17</t>
        </is>
      </c>
      <c r="V428" t="inlineStr">
        <is>
          <t>2008-04-17</t>
        </is>
      </c>
      <c r="W428" t="inlineStr">
        <is>
          <t>1996-07-08</t>
        </is>
      </c>
      <c r="X428" t="inlineStr">
        <is>
          <t>1996-07-08</t>
        </is>
      </c>
      <c r="Y428" t="n">
        <v>143</v>
      </c>
      <c r="Z428" t="n">
        <v>92</v>
      </c>
      <c r="AA428" t="n">
        <v>93</v>
      </c>
      <c r="AB428" t="n">
        <v>2</v>
      </c>
      <c r="AC428" t="n">
        <v>2</v>
      </c>
      <c r="AD428" t="n">
        <v>4</v>
      </c>
      <c r="AE428" t="n">
        <v>4</v>
      </c>
      <c r="AF428" t="n">
        <v>0</v>
      </c>
      <c r="AG428" t="n">
        <v>0</v>
      </c>
      <c r="AH428" t="n">
        <v>1</v>
      </c>
      <c r="AI428" t="n">
        <v>1</v>
      </c>
      <c r="AJ428" t="n">
        <v>2</v>
      </c>
      <c r="AK428" t="n">
        <v>2</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HYPERLINK("https://creighton-primo.hosted.exlibrisgroup.com/primo-explore/search?tab=default_tab&amp;search_scope=EVERYTHING&amp;vid=01CRU&amp;lang=en_US&amp;offset=0&amp;query=any,contains,991004580229702656","Catalog Record")</f>
        <v/>
      </c>
      <c r="AT428">
        <f>HYPERLINK("http://www.worldcat.org/oclc/31753940","WorldCat Record")</f>
        <v/>
      </c>
      <c r="AU428" t="inlineStr">
        <is>
          <t>837005240:eng</t>
        </is>
      </c>
      <c r="AV428" t="inlineStr">
        <is>
          <t>31753940</t>
        </is>
      </c>
      <c r="AW428" t="inlineStr">
        <is>
          <t>991004580229702656</t>
        </is>
      </c>
      <c r="AX428" t="inlineStr">
        <is>
          <t>991004580229702656</t>
        </is>
      </c>
      <c r="AY428" t="inlineStr">
        <is>
          <t>2272284270002656</t>
        </is>
      </c>
      <c r="AZ428" t="inlineStr">
        <is>
          <t>BOOK</t>
        </is>
      </c>
      <c r="BB428" t="inlineStr">
        <is>
          <t>9780521444514</t>
        </is>
      </c>
      <c r="BC428" t="inlineStr">
        <is>
          <t>32285002195914</t>
        </is>
      </c>
      <c r="BD428" t="inlineStr">
        <is>
          <t>893807235</t>
        </is>
      </c>
    </row>
    <row r="429">
      <c r="A429" t="inlineStr">
        <is>
          <t>No</t>
        </is>
      </c>
      <c r="B429" t="inlineStr">
        <is>
          <t>HM251 .B46</t>
        </is>
      </c>
      <c r="C429" t="inlineStr">
        <is>
          <t>0                      HM 0251000B  46</t>
        </is>
      </c>
      <c r="D429" t="inlineStr">
        <is>
          <t>Social psychology.</t>
        </is>
      </c>
      <c r="F429" t="inlineStr">
        <is>
          <t>No</t>
        </is>
      </c>
      <c r="G429" t="inlineStr">
        <is>
          <t>1</t>
        </is>
      </c>
      <c r="H429" t="inlineStr">
        <is>
          <t>No</t>
        </is>
      </c>
      <c r="I429" t="inlineStr">
        <is>
          <t>No</t>
        </is>
      </c>
      <c r="J429" t="inlineStr">
        <is>
          <t>0</t>
        </is>
      </c>
      <c r="K429" t="inlineStr">
        <is>
          <t>Berkowitz, Leonard, 1926-</t>
        </is>
      </c>
      <c r="L429" t="inlineStr">
        <is>
          <t>Glenview, Ill. : Scott, Foresman, [1972]</t>
        </is>
      </c>
      <c r="M429" t="inlineStr">
        <is>
          <t>1972</t>
        </is>
      </c>
      <c r="O429" t="inlineStr">
        <is>
          <t>eng</t>
        </is>
      </c>
      <c r="P429" t="inlineStr">
        <is>
          <t>ilu</t>
        </is>
      </c>
      <c r="Q429" t="inlineStr">
        <is>
          <t>The Scott, Foresman basic psychological concepts series</t>
        </is>
      </c>
      <c r="R429" t="inlineStr">
        <is>
          <t xml:space="preserve">HM </t>
        </is>
      </c>
      <c r="S429" t="n">
        <v>4</v>
      </c>
      <c r="T429" t="n">
        <v>4</v>
      </c>
      <c r="U429" t="inlineStr">
        <is>
          <t>2007-02-28</t>
        </is>
      </c>
      <c r="V429" t="inlineStr">
        <is>
          <t>2007-02-28</t>
        </is>
      </c>
      <c r="W429" t="inlineStr">
        <is>
          <t>1993-12-22</t>
        </is>
      </c>
      <c r="X429" t="inlineStr">
        <is>
          <t>1993-12-22</t>
        </is>
      </c>
      <c r="Y429" t="n">
        <v>261</v>
      </c>
      <c r="Z429" t="n">
        <v>178</v>
      </c>
      <c r="AA429" t="n">
        <v>178</v>
      </c>
      <c r="AB429" t="n">
        <v>2</v>
      </c>
      <c r="AC429" t="n">
        <v>2</v>
      </c>
      <c r="AD429" t="n">
        <v>5</v>
      </c>
      <c r="AE429" t="n">
        <v>5</v>
      </c>
      <c r="AF429" t="n">
        <v>0</v>
      </c>
      <c r="AG429" t="n">
        <v>0</v>
      </c>
      <c r="AH429" t="n">
        <v>3</v>
      </c>
      <c r="AI429" t="n">
        <v>3</v>
      </c>
      <c r="AJ429" t="n">
        <v>4</v>
      </c>
      <c r="AK429" t="n">
        <v>4</v>
      </c>
      <c r="AL429" t="n">
        <v>1</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HYPERLINK("https://creighton-primo.hosted.exlibrisgroup.com/primo-explore/search?tab=default_tab&amp;search_scope=EVERYTHING&amp;vid=01CRU&amp;lang=en_US&amp;offset=0&amp;query=any,contains,991002344689702656","Catalog Record")</f>
        <v/>
      </c>
      <c r="AT429">
        <f>HYPERLINK("http://www.worldcat.org/oclc/324442","WorldCat Record")</f>
        <v/>
      </c>
      <c r="AU429" t="inlineStr">
        <is>
          <t>3943725289:eng</t>
        </is>
      </c>
      <c r="AV429" t="inlineStr">
        <is>
          <t>324442</t>
        </is>
      </c>
      <c r="AW429" t="inlineStr">
        <is>
          <t>991002344689702656</t>
        </is>
      </c>
      <c r="AX429" t="inlineStr">
        <is>
          <t>991002344689702656</t>
        </is>
      </c>
      <c r="AY429" t="inlineStr">
        <is>
          <t>2255120180002656</t>
        </is>
      </c>
      <c r="AZ429" t="inlineStr">
        <is>
          <t>BOOK</t>
        </is>
      </c>
      <c r="BC429" t="inlineStr">
        <is>
          <t>32285001827087</t>
        </is>
      </c>
      <c r="BD429" t="inlineStr">
        <is>
          <t>893341323</t>
        </is>
      </c>
    </row>
    <row r="430">
      <c r="A430" t="inlineStr">
        <is>
          <t>No</t>
        </is>
      </c>
      <c r="B430" t="inlineStr">
        <is>
          <t>HM251 .B47458 1987</t>
        </is>
      </c>
      <c r="C430" t="inlineStr">
        <is>
          <t>0                      HM 0251000B  47458       1987</t>
        </is>
      </c>
      <c r="D430" t="inlineStr">
        <is>
          <t>Arguing and thinking : a rhetorical approach to social psychology / Michael Billig.</t>
        </is>
      </c>
      <c r="F430" t="inlineStr">
        <is>
          <t>No</t>
        </is>
      </c>
      <c r="G430" t="inlineStr">
        <is>
          <t>1</t>
        </is>
      </c>
      <c r="H430" t="inlineStr">
        <is>
          <t>No</t>
        </is>
      </c>
      <c r="I430" t="inlineStr">
        <is>
          <t>No</t>
        </is>
      </c>
      <c r="J430" t="inlineStr">
        <is>
          <t>0</t>
        </is>
      </c>
      <c r="K430" t="inlineStr">
        <is>
          <t>Billig, Michael.</t>
        </is>
      </c>
      <c r="L430" t="inlineStr">
        <is>
          <t>Cambridge ; New York : Cambridge University Press ; Paris : Editions de la Maison des sciences de l'homme, 1987.</t>
        </is>
      </c>
      <c r="M430" t="inlineStr">
        <is>
          <t>1987</t>
        </is>
      </c>
      <c r="O430" t="inlineStr">
        <is>
          <t>eng</t>
        </is>
      </c>
      <c r="P430" t="inlineStr">
        <is>
          <t>enk</t>
        </is>
      </c>
      <c r="Q430" t="inlineStr">
        <is>
          <t>European monographs in social psychology</t>
        </is>
      </c>
      <c r="R430" t="inlineStr">
        <is>
          <t xml:space="preserve">HM </t>
        </is>
      </c>
      <c r="S430" t="n">
        <v>2</v>
      </c>
      <c r="T430" t="n">
        <v>2</v>
      </c>
      <c r="U430" t="inlineStr">
        <is>
          <t>2008-11-20</t>
        </is>
      </c>
      <c r="V430" t="inlineStr">
        <is>
          <t>2008-11-20</t>
        </is>
      </c>
      <c r="W430" t="inlineStr">
        <is>
          <t>1992-09-02</t>
        </is>
      </c>
      <c r="X430" t="inlineStr">
        <is>
          <t>1992-09-02</t>
        </is>
      </c>
      <c r="Y430" t="n">
        <v>419</v>
      </c>
      <c r="Z430" t="n">
        <v>297</v>
      </c>
      <c r="AA430" t="n">
        <v>420</v>
      </c>
      <c r="AB430" t="n">
        <v>2</v>
      </c>
      <c r="AC430" t="n">
        <v>3</v>
      </c>
      <c r="AD430" t="n">
        <v>19</v>
      </c>
      <c r="AE430" t="n">
        <v>23</v>
      </c>
      <c r="AF430" t="n">
        <v>5</v>
      </c>
      <c r="AG430" t="n">
        <v>7</v>
      </c>
      <c r="AH430" t="n">
        <v>5</v>
      </c>
      <c r="AI430" t="n">
        <v>6</v>
      </c>
      <c r="AJ430" t="n">
        <v>12</v>
      </c>
      <c r="AK430" t="n">
        <v>14</v>
      </c>
      <c r="AL430" t="n">
        <v>1</v>
      </c>
      <c r="AM430" t="n">
        <v>2</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HYPERLINK("https://creighton-primo.hosted.exlibrisgroup.com/primo-explore/search?tab=default_tab&amp;search_scope=EVERYTHING&amp;vid=01CRU&amp;lang=en_US&amp;offset=0&amp;query=any,contains,991000874099702656","Catalog Record")</f>
        <v/>
      </c>
      <c r="AT430">
        <f>HYPERLINK("http://www.worldcat.org/oclc/13795422","WorldCat Record")</f>
        <v/>
      </c>
      <c r="AU430" t="inlineStr">
        <is>
          <t>1091526445:eng</t>
        </is>
      </c>
      <c r="AV430" t="inlineStr">
        <is>
          <t>13795422</t>
        </is>
      </c>
      <c r="AW430" t="inlineStr">
        <is>
          <t>991000874099702656</t>
        </is>
      </c>
      <c r="AX430" t="inlineStr">
        <is>
          <t>991000874099702656</t>
        </is>
      </c>
      <c r="AY430" t="inlineStr">
        <is>
          <t>2269056230002656</t>
        </is>
      </c>
      <c r="AZ430" t="inlineStr">
        <is>
          <t>BOOK</t>
        </is>
      </c>
      <c r="BB430" t="inlineStr">
        <is>
          <t>9780521327893</t>
        </is>
      </c>
      <c r="BC430" t="inlineStr">
        <is>
          <t>32285001267391</t>
        </is>
      </c>
      <c r="BD430" t="inlineStr">
        <is>
          <t>893714972</t>
        </is>
      </c>
    </row>
    <row r="431">
      <c r="A431" t="inlineStr">
        <is>
          <t>No</t>
        </is>
      </c>
      <c r="B431" t="inlineStr">
        <is>
          <t>HM251 .C645</t>
        </is>
      </c>
      <c r="C431" t="inlineStr">
        <is>
          <t>0                      HM 0251000C  645</t>
        </is>
      </c>
      <c r="D431" t="inlineStr">
        <is>
          <t>Cognitive theories in social psychology : papers from Advances in experimental social psychology / edited by Leonard Berkowitz ; contributors, Norman H. Anderson ... [et al.].</t>
        </is>
      </c>
      <c r="F431" t="inlineStr">
        <is>
          <t>No</t>
        </is>
      </c>
      <c r="G431" t="inlineStr">
        <is>
          <t>1</t>
        </is>
      </c>
      <c r="H431" t="inlineStr">
        <is>
          <t>No</t>
        </is>
      </c>
      <c r="I431" t="inlineStr">
        <is>
          <t>No</t>
        </is>
      </c>
      <c r="J431" t="inlineStr">
        <is>
          <t>0</t>
        </is>
      </c>
      <c r="L431" t="inlineStr">
        <is>
          <t>New York : Academic Press, 1978.</t>
        </is>
      </c>
      <c r="M431" t="inlineStr">
        <is>
          <t>1978</t>
        </is>
      </c>
      <c r="O431" t="inlineStr">
        <is>
          <t>eng</t>
        </is>
      </c>
      <c r="P431" t="inlineStr">
        <is>
          <t>nyu</t>
        </is>
      </c>
      <c r="R431" t="inlineStr">
        <is>
          <t xml:space="preserve">HM </t>
        </is>
      </c>
      <c r="S431" t="n">
        <v>5</v>
      </c>
      <c r="T431" t="n">
        <v>5</v>
      </c>
      <c r="U431" t="inlineStr">
        <is>
          <t>2003-03-16</t>
        </is>
      </c>
      <c r="V431" t="inlineStr">
        <is>
          <t>2003-03-16</t>
        </is>
      </c>
      <c r="W431" t="inlineStr">
        <is>
          <t>1992-09-02</t>
        </is>
      </c>
      <c r="X431" t="inlineStr">
        <is>
          <t>1992-09-02</t>
        </is>
      </c>
      <c r="Y431" t="n">
        <v>372</v>
      </c>
      <c r="Z431" t="n">
        <v>256</v>
      </c>
      <c r="AA431" t="n">
        <v>268</v>
      </c>
      <c r="AB431" t="n">
        <v>2</v>
      </c>
      <c r="AC431" t="n">
        <v>2</v>
      </c>
      <c r="AD431" t="n">
        <v>11</v>
      </c>
      <c r="AE431" t="n">
        <v>11</v>
      </c>
      <c r="AF431" t="n">
        <v>2</v>
      </c>
      <c r="AG431" t="n">
        <v>2</v>
      </c>
      <c r="AH431" t="n">
        <v>3</v>
      </c>
      <c r="AI431" t="n">
        <v>3</v>
      </c>
      <c r="AJ431" t="n">
        <v>8</v>
      </c>
      <c r="AK431" t="n">
        <v>8</v>
      </c>
      <c r="AL431" t="n">
        <v>1</v>
      </c>
      <c r="AM431" t="n">
        <v>1</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HYPERLINK("https://creighton-primo.hosted.exlibrisgroup.com/primo-explore/search?tab=default_tab&amp;search_scope=EVERYTHING&amp;vid=01CRU&amp;lang=en_US&amp;offset=0&amp;query=any,contains,991004571879702656","Catalog Record")</f>
        <v/>
      </c>
      <c r="AT431">
        <f>HYPERLINK("http://www.worldcat.org/oclc/4036138","WorldCat Record")</f>
        <v/>
      </c>
      <c r="AU431" t="inlineStr">
        <is>
          <t>890215821:eng</t>
        </is>
      </c>
      <c r="AV431" t="inlineStr">
        <is>
          <t>4036138</t>
        </is>
      </c>
      <c r="AW431" t="inlineStr">
        <is>
          <t>991004571879702656</t>
        </is>
      </c>
      <c r="AX431" t="inlineStr">
        <is>
          <t>991004571879702656</t>
        </is>
      </c>
      <c r="AY431" t="inlineStr">
        <is>
          <t>2269671910002656</t>
        </is>
      </c>
      <c r="AZ431" t="inlineStr">
        <is>
          <t>BOOK</t>
        </is>
      </c>
      <c r="BB431" t="inlineStr">
        <is>
          <t>9780120918508</t>
        </is>
      </c>
      <c r="BC431" t="inlineStr">
        <is>
          <t>32285001267433</t>
        </is>
      </c>
      <c r="BD431" t="inlineStr">
        <is>
          <t>893801106</t>
        </is>
      </c>
    </row>
    <row r="432">
      <c r="A432" t="inlineStr">
        <is>
          <t>No</t>
        </is>
      </c>
      <c r="B432" t="inlineStr">
        <is>
          <t>HM251 .C98 1984</t>
        </is>
      </c>
      <c r="C432" t="inlineStr">
        <is>
          <t>0                      HM 0251000C  98          1984</t>
        </is>
      </c>
      <c r="D432" t="inlineStr">
        <is>
          <t>Social psychology : contemporary perspectives on people / George Cvetkovich, Steve R. Baumgardner, Joseph E. Trimble.</t>
        </is>
      </c>
      <c r="F432" t="inlineStr">
        <is>
          <t>No</t>
        </is>
      </c>
      <c r="G432" t="inlineStr">
        <is>
          <t>1</t>
        </is>
      </c>
      <c r="H432" t="inlineStr">
        <is>
          <t>No</t>
        </is>
      </c>
      <c r="I432" t="inlineStr">
        <is>
          <t>No</t>
        </is>
      </c>
      <c r="J432" t="inlineStr">
        <is>
          <t>0</t>
        </is>
      </c>
      <c r="K432" t="inlineStr">
        <is>
          <t>Cvetkovich, George.</t>
        </is>
      </c>
      <c r="L432" t="inlineStr">
        <is>
          <t>New York : Holt, Rinehart, and Winston, c1984.</t>
        </is>
      </c>
      <c r="M432" t="inlineStr">
        <is>
          <t>1984</t>
        </is>
      </c>
      <c r="O432" t="inlineStr">
        <is>
          <t>eng</t>
        </is>
      </c>
      <c r="P432" t="inlineStr">
        <is>
          <t>nyu</t>
        </is>
      </c>
      <c r="R432" t="inlineStr">
        <is>
          <t xml:space="preserve">HM </t>
        </is>
      </c>
      <c r="S432" t="n">
        <v>5</v>
      </c>
      <c r="T432" t="n">
        <v>5</v>
      </c>
      <c r="U432" t="inlineStr">
        <is>
          <t>2007-04-10</t>
        </is>
      </c>
      <c r="V432" t="inlineStr">
        <is>
          <t>2007-04-10</t>
        </is>
      </c>
      <c r="W432" t="inlineStr">
        <is>
          <t>1992-09-02</t>
        </is>
      </c>
      <c r="X432" t="inlineStr">
        <is>
          <t>1992-09-02</t>
        </is>
      </c>
      <c r="Y432" t="n">
        <v>93</v>
      </c>
      <c r="Z432" t="n">
        <v>45</v>
      </c>
      <c r="AA432" t="n">
        <v>46</v>
      </c>
      <c r="AB432" t="n">
        <v>1</v>
      </c>
      <c r="AC432" t="n">
        <v>1</v>
      </c>
      <c r="AD432" t="n">
        <v>2</v>
      </c>
      <c r="AE432" t="n">
        <v>2</v>
      </c>
      <c r="AF432" t="n">
        <v>0</v>
      </c>
      <c r="AG432" t="n">
        <v>0</v>
      </c>
      <c r="AH432" t="n">
        <v>1</v>
      </c>
      <c r="AI432" t="n">
        <v>1</v>
      </c>
      <c r="AJ432" t="n">
        <v>1</v>
      </c>
      <c r="AK432" t="n">
        <v>1</v>
      </c>
      <c r="AL432" t="n">
        <v>0</v>
      </c>
      <c r="AM432" t="n">
        <v>0</v>
      </c>
      <c r="AN432" t="n">
        <v>0</v>
      </c>
      <c r="AO432" t="n">
        <v>0</v>
      </c>
      <c r="AP432" t="inlineStr">
        <is>
          <t>No</t>
        </is>
      </c>
      <c r="AQ432" t="inlineStr">
        <is>
          <t>Yes</t>
        </is>
      </c>
      <c r="AR432">
        <f>HYPERLINK("http://catalog.hathitrust.org/Record/009805946","HathiTrust Record")</f>
        <v/>
      </c>
      <c r="AS432">
        <f>HYPERLINK("https://creighton-primo.hosted.exlibrisgroup.com/primo-explore/search?tab=default_tab&amp;search_scope=EVERYTHING&amp;vid=01CRU&amp;lang=en_US&amp;offset=0&amp;query=any,contains,991000235709702656","Catalog Record")</f>
        <v/>
      </c>
      <c r="AT432">
        <f>HYPERLINK("http://www.worldcat.org/oclc/9647058","WorldCat Record")</f>
        <v/>
      </c>
      <c r="AU432" t="inlineStr">
        <is>
          <t>836622732:eng</t>
        </is>
      </c>
      <c r="AV432" t="inlineStr">
        <is>
          <t>9647058</t>
        </is>
      </c>
      <c r="AW432" t="inlineStr">
        <is>
          <t>991000235709702656</t>
        </is>
      </c>
      <c r="AX432" t="inlineStr">
        <is>
          <t>991000235709702656</t>
        </is>
      </c>
      <c r="AY432" t="inlineStr">
        <is>
          <t>2270611900002656</t>
        </is>
      </c>
      <c r="AZ432" t="inlineStr">
        <is>
          <t>BOOK</t>
        </is>
      </c>
      <c r="BB432" t="inlineStr">
        <is>
          <t>9780030634116</t>
        </is>
      </c>
      <c r="BC432" t="inlineStr">
        <is>
          <t>32285001267466</t>
        </is>
      </c>
      <c r="BD432" t="inlineStr">
        <is>
          <t>893327156</t>
        </is>
      </c>
    </row>
    <row r="433">
      <c r="A433" t="inlineStr">
        <is>
          <t>No</t>
        </is>
      </c>
      <c r="B433" t="inlineStr">
        <is>
          <t>HM251 .D477</t>
        </is>
      </c>
      <c r="C433" t="inlineStr">
        <is>
          <t>0                      HM 0251000D  477</t>
        </is>
      </c>
      <c r="D433" t="inlineStr">
        <is>
          <t>The Development of social psychology / edited by Robin Gilmour and Steve Duck.</t>
        </is>
      </c>
      <c r="F433" t="inlineStr">
        <is>
          <t>No</t>
        </is>
      </c>
      <c r="G433" t="inlineStr">
        <is>
          <t>1</t>
        </is>
      </c>
      <c r="H433" t="inlineStr">
        <is>
          <t>No</t>
        </is>
      </c>
      <c r="I433" t="inlineStr">
        <is>
          <t>No</t>
        </is>
      </c>
      <c r="J433" t="inlineStr">
        <is>
          <t>0</t>
        </is>
      </c>
      <c r="L433" t="inlineStr">
        <is>
          <t>London ; New York : Academic Press, 1980.</t>
        </is>
      </c>
      <c r="M433" t="inlineStr">
        <is>
          <t>1980</t>
        </is>
      </c>
      <c r="O433" t="inlineStr">
        <is>
          <t>eng</t>
        </is>
      </c>
      <c r="P433" t="inlineStr">
        <is>
          <t>enk</t>
        </is>
      </c>
      <c r="R433" t="inlineStr">
        <is>
          <t xml:space="preserve">HM </t>
        </is>
      </c>
      <c r="S433" t="n">
        <v>3</v>
      </c>
      <c r="T433" t="n">
        <v>3</v>
      </c>
      <c r="U433" t="inlineStr">
        <is>
          <t>1999-11-29</t>
        </is>
      </c>
      <c r="V433" t="inlineStr">
        <is>
          <t>1999-11-29</t>
        </is>
      </c>
      <c r="W433" t="inlineStr">
        <is>
          <t>1992-09-02</t>
        </is>
      </c>
      <c r="X433" t="inlineStr">
        <is>
          <t>1992-09-02</t>
        </is>
      </c>
      <c r="Y433" t="n">
        <v>374</v>
      </c>
      <c r="Z433" t="n">
        <v>219</v>
      </c>
      <c r="AA433" t="n">
        <v>221</v>
      </c>
      <c r="AB433" t="n">
        <v>4</v>
      </c>
      <c r="AC433" t="n">
        <v>4</v>
      </c>
      <c r="AD433" t="n">
        <v>10</v>
      </c>
      <c r="AE433" t="n">
        <v>10</v>
      </c>
      <c r="AF433" t="n">
        <v>0</v>
      </c>
      <c r="AG433" t="n">
        <v>0</v>
      </c>
      <c r="AH433" t="n">
        <v>3</v>
      </c>
      <c r="AI433" t="n">
        <v>3</v>
      </c>
      <c r="AJ433" t="n">
        <v>6</v>
      </c>
      <c r="AK433" t="n">
        <v>6</v>
      </c>
      <c r="AL433" t="n">
        <v>3</v>
      </c>
      <c r="AM433" t="n">
        <v>3</v>
      </c>
      <c r="AN433" t="n">
        <v>0</v>
      </c>
      <c r="AO433" t="n">
        <v>0</v>
      </c>
      <c r="AP433" t="inlineStr">
        <is>
          <t>No</t>
        </is>
      </c>
      <c r="AQ433" t="inlineStr">
        <is>
          <t>Yes</t>
        </is>
      </c>
      <c r="AR433">
        <f>HYPERLINK("http://catalog.hathitrust.org/Record/000712987","HathiTrust Record")</f>
        <v/>
      </c>
      <c r="AS433">
        <f>HYPERLINK("https://creighton-primo.hosted.exlibrisgroup.com/primo-explore/search?tab=default_tab&amp;search_scope=EVERYTHING&amp;vid=01CRU&amp;lang=en_US&amp;offset=0&amp;query=any,contains,991005030049702656","Catalog Record")</f>
        <v/>
      </c>
      <c r="AT433">
        <f>HYPERLINK("http://www.worldcat.org/oclc/6709127","WorldCat Record")</f>
        <v/>
      </c>
      <c r="AU433" t="inlineStr">
        <is>
          <t>350591207:eng</t>
        </is>
      </c>
      <c r="AV433" t="inlineStr">
        <is>
          <t>6709127</t>
        </is>
      </c>
      <c r="AW433" t="inlineStr">
        <is>
          <t>991005030049702656</t>
        </is>
      </c>
      <c r="AX433" t="inlineStr">
        <is>
          <t>991005030049702656</t>
        </is>
      </c>
      <c r="AY433" t="inlineStr">
        <is>
          <t>2256521880002656</t>
        </is>
      </c>
      <c r="AZ433" t="inlineStr">
        <is>
          <t>BOOK</t>
        </is>
      </c>
      <c r="BB433" t="inlineStr">
        <is>
          <t>9780122840807</t>
        </is>
      </c>
      <c r="BC433" t="inlineStr">
        <is>
          <t>32285001267482</t>
        </is>
      </c>
      <c r="BD433" t="inlineStr">
        <is>
          <t>893326067</t>
        </is>
      </c>
    </row>
    <row r="434">
      <c r="A434" t="inlineStr">
        <is>
          <t>No</t>
        </is>
      </c>
      <c r="B434" t="inlineStr">
        <is>
          <t>HM251 .D48</t>
        </is>
      </c>
      <c r="C434" t="inlineStr">
        <is>
          <t>0                      HM 0251000D  48</t>
        </is>
      </c>
      <c r="D434" t="inlineStr">
        <is>
          <t>Developmental social psychology : theory and research / edited by Sharon S. Brehm, Saul M. Kassin, Frederick X. Gibbons.</t>
        </is>
      </c>
      <c r="F434" t="inlineStr">
        <is>
          <t>No</t>
        </is>
      </c>
      <c r="G434" t="inlineStr">
        <is>
          <t>1</t>
        </is>
      </c>
      <c r="H434" t="inlineStr">
        <is>
          <t>No</t>
        </is>
      </c>
      <c r="I434" t="inlineStr">
        <is>
          <t>No</t>
        </is>
      </c>
      <c r="J434" t="inlineStr">
        <is>
          <t>0</t>
        </is>
      </c>
      <c r="L434" t="inlineStr">
        <is>
          <t>New York : Oxford University Press, 1981.</t>
        </is>
      </c>
      <c r="M434" t="inlineStr">
        <is>
          <t>1981</t>
        </is>
      </c>
      <c r="O434" t="inlineStr">
        <is>
          <t>eng</t>
        </is>
      </c>
      <c r="P434" t="inlineStr">
        <is>
          <t>nyu</t>
        </is>
      </c>
      <c r="R434" t="inlineStr">
        <is>
          <t xml:space="preserve">HM </t>
        </is>
      </c>
      <c r="S434" t="n">
        <v>3</v>
      </c>
      <c r="T434" t="n">
        <v>3</v>
      </c>
      <c r="U434" t="inlineStr">
        <is>
          <t>1999-11-09</t>
        </is>
      </c>
      <c r="V434" t="inlineStr">
        <is>
          <t>1999-11-09</t>
        </is>
      </c>
      <c r="W434" t="inlineStr">
        <is>
          <t>1992-09-02</t>
        </is>
      </c>
      <c r="X434" t="inlineStr">
        <is>
          <t>1992-09-02</t>
        </is>
      </c>
      <c r="Y434" t="n">
        <v>482</v>
      </c>
      <c r="Z434" t="n">
        <v>368</v>
      </c>
      <c r="AA434" t="n">
        <v>375</v>
      </c>
      <c r="AB434" t="n">
        <v>3</v>
      </c>
      <c r="AC434" t="n">
        <v>3</v>
      </c>
      <c r="AD434" t="n">
        <v>21</v>
      </c>
      <c r="AE434" t="n">
        <v>21</v>
      </c>
      <c r="AF434" t="n">
        <v>8</v>
      </c>
      <c r="AG434" t="n">
        <v>8</v>
      </c>
      <c r="AH434" t="n">
        <v>6</v>
      </c>
      <c r="AI434" t="n">
        <v>6</v>
      </c>
      <c r="AJ434" t="n">
        <v>11</v>
      </c>
      <c r="AK434" t="n">
        <v>11</v>
      </c>
      <c r="AL434" t="n">
        <v>2</v>
      </c>
      <c r="AM434" t="n">
        <v>2</v>
      </c>
      <c r="AN434" t="n">
        <v>0</v>
      </c>
      <c r="AO434" t="n">
        <v>0</v>
      </c>
      <c r="AP434" t="inlineStr">
        <is>
          <t>No</t>
        </is>
      </c>
      <c r="AQ434" t="inlineStr">
        <is>
          <t>Yes</t>
        </is>
      </c>
      <c r="AR434">
        <f>HYPERLINK("http://catalog.hathitrust.org/Record/000098968","HathiTrust Record")</f>
        <v/>
      </c>
      <c r="AS434">
        <f>HYPERLINK("https://creighton-primo.hosted.exlibrisgroup.com/primo-explore/search?tab=default_tab&amp;search_scope=EVERYTHING&amp;vid=01CRU&amp;lang=en_US&amp;offset=0&amp;query=any,contains,991004991749702656","Catalog Record")</f>
        <v/>
      </c>
      <c r="AT434">
        <f>HYPERLINK("http://www.worldcat.org/oclc/6487520","WorldCat Record")</f>
        <v/>
      </c>
      <c r="AU434" t="inlineStr">
        <is>
          <t>889310691:eng</t>
        </is>
      </c>
      <c r="AV434" t="inlineStr">
        <is>
          <t>6487520</t>
        </is>
      </c>
      <c r="AW434" t="inlineStr">
        <is>
          <t>991004991749702656</t>
        </is>
      </c>
      <c r="AX434" t="inlineStr">
        <is>
          <t>991004991749702656</t>
        </is>
      </c>
      <c r="AY434" t="inlineStr">
        <is>
          <t>2271786360002656</t>
        </is>
      </c>
      <c r="AZ434" t="inlineStr">
        <is>
          <t>BOOK</t>
        </is>
      </c>
      <c r="BB434" t="inlineStr">
        <is>
          <t>9780195028409</t>
        </is>
      </c>
      <c r="BC434" t="inlineStr">
        <is>
          <t>32285001267490</t>
        </is>
      </c>
      <c r="BD434" t="inlineStr">
        <is>
          <t>893501172</t>
        </is>
      </c>
    </row>
    <row r="435">
      <c r="A435" t="inlineStr">
        <is>
          <t>No</t>
        </is>
      </c>
      <c r="B435" t="inlineStr">
        <is>
          <t>HM251 .F4 1963</t>
        </is>
      </c>
      <c r="C435" t="inlineStr">
        <is>
          <t>0                      HM 0251000F  4           1963</t>
        </is>
      </c>
      <c r="D435" t="inlineStr">
        <is>
          <t>Social pressures in informal groups : a study of human factors in housing / by Leon Festinger, Stanley Schachter and Kurt Back.</t>
        </is>
      </c>
      <c r="F435" t="inlineStr">
        <is>
          <t>No</t>
        </is>
      </c>
      <c r="G435" t="inlineStr">
        <is>
          <t>1</t>
        </is>
      </c>
      <c r="H435" t="inlineStr">
        <is>
          <t>No</t>
        </is>
      </c>
      <c r="I435" t="inlineStr">
        <is>
          <t>No</t>
        </is>
      </c>
      <c r="J435" t="inlineStr">
        <is>
          <t>0</t>
        </is>
      </c>
      <c r="K435" t="inlineStr">
        <is>
          <t>Festinger, Leon, 1919-1989.</t>
        </is>
      </c>
      <c r="L435" t="inlineStr">
        <is>
          <t>Stanford, Calif. : Stanford University Press, 1963, c1950.</t>
        </is>
      </c>
      <c r="M435" t="inlineStr">
        <is>
          <t>1963</t>
        </is>
      </c>
      <c r="O435" t="inlineStr">
        <is>
          <t>eng</t>
        </is>
      </c>
      <c r="P435" t="inlineStr">
        <is>
          <t>cau</t>
        </is>
      </c>
      <c r="R435" t="inlineStr">
        <is>
          <t xml:space="preserve">HM </t>
        </is>
      </c>
      <c r="S435" t="n">
        <v>3</v>
      </c>
      <c r="T435" t="n">
        <v>3</v>
      </c>
      <c r="U435" t="inlineStr">
        <is>
          <t>2007-04-10</t>
        </is>
      </c>
      <c r="V435" t="inlineStr">
        <is>
          <t>2007-04-10</t>
        </is>
      </c>
      <c r="W435" t="inlineStr">
        <is>
          <t>1997-07-31</t>
        </is>
      </c>
      <c r="X435" t="inlineStr">
        <is>
          <t>1997-07-31</t>
        </is>
      </c>
      <c r="Y435" t="n">
        <v>451</v>
      </c>
      <c r="Z435" t="n">
        <v>401</v>
      </c>
      <c r="AA435" t="n">
        <v>747</v>
      </c>
      <c r="AB435" t="n">
        <v>6</v>
      </c>
      <c r="AC435" t="n">
        <v>8</v>
      </c>
      <c r="AD435" t="n">
        <v>26</v>
      </c>
      <c r="AE435" t="n">
        <v>40</v>
      </c>
      <c r="AF435" t="n">
        <v>11</v>
      </c>
      <c r="AG435" t="n">
        <v>17</v>
      </c>
      <c r="AH435" t="n">
        <v>5</v>
      </c>
      <c r="AI435" t="n">
        <v>8</v>
      </c>
      <c r="AJ435" t="n">
        <v>7</v>
      </c>
      <c r="AK435" t="n">
        <v>15</v>
      </c>
      <c r="AL435" t="n">
        <v>5</v>
      </c>
      <c r="AM435" t="n">
        <v>7</v>
      </c>
      <c r="AN435" t="n">
        <v>1</v>
      </c>
      <c r="AO435" t="n">
        <v>1</v>
      </c>
      <c r="AP435" t="inlineStr">
        <is>
          <t>No</t>
        </is>
      </c>
      <c r="AQ435" t="inlineStr">
        <is>
          <t>Yes</t>
        </is>
      </c>
      <c r="AR435">
        <f>HYPERLINK("http://catalog.hathitrust.org/Record/001109386","HathiTrust Record")</f>
        <v/>
      </c>
      <c r="AS435">
        <f>HYPERLINK("https://creighton-primo.hosted.exlibrisgroup.com/primo-explore/search?tab=default_tab&amp;search_scope=EVERYTHING&amp;vid=01CRU&amp;lang=en_US&amp;offset=0&amp;query=any,contains,991001088859702656","Catalog Record")</f>
        <v/>
      </c>
      <c r="AT435">
        <f>HYPERLINK("http://www.worldcat.org/oclc/181184","WorldCat Record")</f>
        <v/>
      </c>
      <c r="AU435" t="inlineStr">
        <is>
          <t>119228123:eng</t>
        </is>
      </c>
      <c r="AV435" t="inlineStr">
        <is>
          <t>181184</t>
        </is>
      </c>
      <c r="AW435" t="inlineStr">
        <is>
          <t>991001088859702656</t>
        </is>
      </c>
      <c r="AX435" t="inlineStr">
        <is>
          <t>991001088859702656</t>
        </is>
      </c>
      <c r="AY435" t="inlineStr">
        <is>
          <t>2272560960002656</t>
        </is>
      </c>
      <c r="AZ435" t="inlineStr">
        <is>
          <t>BOOK</t>
        </is>
      </c>
      <c r="BC435" t="inlineStr">
        <is>
          <t>32285003017794</t>
        </is>
      </c>
      <c r="BD435" t="inlineStr">
        <is>
          <t>893321626</t>
        </is>
      </c>
    </row>
    <row r="436">
      <c r="A436" t="inlineStr">
        <is>
          <t>No</t>
        </is>
      </c>
      <c r="B436" t="inlineStr">
        <is>
          <t>HM251 .F49</t>
        </is>
      </c>
      <c r="C436" t="inlineStr">
        <is>
          <t>0                      HM 0251000F  49</t>
        </is>
      </c>
      <c r="D436" t="inlineStr">
        <is>
          <t>Field theory as human-science : contributions of Lewin's Berlin group / compiled with commentary by Joseph de Rivera.</t>
        </is>
      </c>
      <c r="F436" t="inlineStr">
        <is>
          <t>No</t>
        </is>
      </c>
      <c r="G436" t="inlineStr">
        <is>
          <t>1</t>
        </is>
      </c>
      <c r="H436" t="inlineStr">
        <is>
          <t>No</t>
        </is>
      </c>
      <c r="I436" t="inlineStr">
        <is>
          <t>No</t>
        </is>
      </c>
      <c r="J436" t="inlineStr">
        <is>
          <t>0</t>
        </is>
      </c>
      <c r="L436" t="inlineStr">
        <is>
          <t>New York : Gardner Press : distributed by Halsted Press, c1976.</t>
        </is>
      </c>
      <c r="M436" t="inlineStr">
        <is>
          <t>1976</t>
        </is>
      </c>
      <c r="O436" t="inlineStr">
        <is>
          <t>eng</t>
        </is>
      </c>
      <c r="P436" t="inlineStr">
        <is>
          <t>nyu</t>
        </is>
      </c>
      <c r="R436" t="inlineStr">
        <is>
          <t xml:space="preserve">HM </t>
        </is>
      </c>
      <c r="S436" t="n">
        <v>8</v>
      </c>
      <c r="T436" t="n">
        <v>8</v>
      </c>
      <c r="U436" t="inlineStr">
        <is>
          <t>2000-08-28</t>
        </is>
      </c>
      <c r="V436" t="inlineStr">
        <is>
          <t>2000-08-28</t>
        </is>
      </c>
      <c r="W436" t="inlineStr">
        <is>
          <t>1996-11-11</t>
        </is>
      </c>
      <c r="X436" t="inlineStr">
        <is>
          <t>1996-11-11</t>
        </is>
      </c>
      <c r="Y436" t="n">
        <v>361</v>
      </c>
      <c r="Z436" t="n">
        <v>281</v>
      </c>
      <c r="AA436" t="n">
        <v>283</v>
      </c>
      <c r="AB436" t="n">
        <v>4</v>
      </c>
      <c r="AC436" t="n">
        <v>4</v>
      </c>
      <c r="AD436" t="n">
        <v>12</v>
      </c>
      <c r="AE436" t="n">
        <v>12</v>
      </c>
      <c r="AF436" t="n">
        <v>2</v>
      </c>
      <c r="AG436" t="n">
        <v>2</v>
      </c>
      <c r="AH436" t="n">
        <v>2</v>
      </c>
      <c r="AI436" t="n">
        <v>2</v>
      </c>
      <c r="AJ436" t="n">
        <v>7</v>
      </c>
      <c r="AK436" t="n">
        <v>7</v>
      </c>
      <c r="AL436" t="n">
        <v>3</v>
      </c>
      <c r="AM436" t="n">
        <v>3</v>
      </c>
      <c r="AN436" t="n">
        <v>0</v>
      </c>
      <c r="AO436" t="n">
        <v>0</v>
      </c>
      <c r="AP436" t="inlineStr">
        <is>
          <t>No</t>
        </is>
      </c>
      <c r="AQ436" t="inlineStr">
        <is>
          <t>Yes</t>
        </is>
      </c>
      <c r="AR436">
        <f>HYPERLINK("http://catalog.hathitrust.org/Record/000687877","HathiTrust Record")</f>
        <v/>
      </c>
      <c r="AS436">
        <f>HYPERLINK("https://creighton-primo.hosted.exlibrisgroup.com/primo-explore/search?tab=default_tab&amp;search_scope=EVERYTHING&amp;vid=01CRU&amp;lang=en_US&amp;offset=0&amp;query=any,contains,991005365459702656","Catalog Record")</f>
        <v/>
      </c>
      <c r="AT436">
        <f>HYPERLINK("http://www.worldcat.org/oclc/1849096","WorldCat Record")</f>
        <v/>
      </c>
      <c r="AU436" t="inlineStr">
        <is>
          <t>836631882:eng</t>
        </is>
      </c>
      <c r="AV436" t="inlineStr">
        <is>
          <t>1849096</t>
        </is>
      </c>
      <c r="AW436" t="inlineStr">
        <is>
          <t>991005365459702656</t>
        </is>
      </c>
      <c r="AX436" t="inlineStr">
        <is>
          <t>991005365459702656</t>
        </is>
      </c>
      <c r="AY436" t="inlineStr">
        <is>
          <t>2257772830002656</t>
        </is>
      </c>
      <c r="AZ436" t="inlineStr">
        <is>
          <t>BOOK</t>
        </is>
      </c>
      <c r="BC436" t="inlineStr">
        <is>
          <t>32285002395159</t>
        </is>
      </c>
      <c r="BD436" t="inlineStr">
        <is>
          <t>893877415</t>
        </is>
      </c>
    </row>
    <row r="437">
      <c r="A437" t="inlineStr">
        <is>
          <t>No</t>
        </is>
      </c>
      <c r="B437" t="inlineStr">
        <is>
          <t>HM251 .G228</t>
        </is>
      </c>
      <c r="C437" t="inlineStr">
        <is>
          <t>0                      HM 0251000G  228</t>
        </is>
      </c>
      <c r="D437" t="inlineStr">
        <is>
          <t>Human behavior and the social environment : a perspective for social work practice / Grace Ganter and Margaret Yeakel.</t>
        </is>
      </c>
      <c r="F437" t="inlineStr">
        <is>
          <t>No</t>
        </is>
      </c>
      <c r="G437" t="inlineStr">
        <is>
          <t>1</t>
        </is>
      </c>
      <c r="H437" t="inlineStr">
        <is>
          <t>No</t>
        </is>
      </c>
      <c r="I437" t="inlineStr">
        <is>
          <t>No</t>
        </is>
      </c>
      <c r="J437" t="inlineStr">
        <is>
          <t>0</t>
        </is>
      </c>
      <c r="K437" t="inlineStr">
        <is>
          <t>Ganter, Grace.</t>
        </is>
      </c>
      <c r="L437" t="inlineStr">
        <is>
          <t>New York : Columbia University Press, 1980.</t>
        </is>
      </c>
      <c r="M437" t="inlineStr">
        <is>
          <t>1980</t>
        </is>
      </c>
      <c r="O437" t="inlineStr">
        <is>
          <t>eng</t>
        </is>
      </c>
      <c r="P437" t="inlineStr">
        <is>
          <t>nyu</t>
        </is>
      </c>
      <c r="R437" t="inlineStr">
        <is>
          <t xml:space="preserve">HM </t>
        </is>
      </c>
      <c r="S437" t="n">
        <v>2</v>
      </c>
      <c r="T437" t="n">
        <v>2</v>
      </c>
      <c r="U437" t="inlineStr">
        <is>
          <t>2004-02-25</t>
        </is>
      </c>
      <c r="V437" t="inlineStr">
        <is>
          <t>2004-02-25</t>
        </is>
      </c>
      <c r="W437" t="inlineStr">
        <is>
          <t>1992-09-02</t>
        </is>
      </c>
      <c r="X437" t="inlineStr">
        <is>
          <t>1992-09-02</t>
        </is>
      </c>
      <c r="Y437" t="n">
        <v>429</v>
      </c>
      <c r="Z437" t="n">
        <v>342</v>
      </c>
      <c r="AA437" t="n">
        <v>346</v>
      </c>
      <c r="AB437" t="n">
        <v>2</v>
      </c>
      <c r="AC437" t="n">
        <v>2</v>
      </c>
      <c r="AD437" t="n">
        <v>12</v>
      </c>
      <c r="AE437" t="n">
        <v>12</v>
      </c>
      <c r="AF437" t="n">
        <v>4</v>
      </c>
      <c r="AG437" t="n">
        <v>4</v>
      </c>
      <c r="AH437" t="n">
        <v>4</v>
      </c>
      <c r="AI437" t="n">
        <v>4</v>
      </c>
      <c r="AJ437" t="n">
        <v>6</v>
      </c>
      <c r="AK437" t="n">
        <v>6</v>
      </c>
      <c r="AL437" t="n">
        <v>1</v>
      </c>
      <c r="AM437" t="n">
        <v>1</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HYPERLINK("https://creighton-primo.hosted.exlibrisgroup.com/primo-explore/search?tab=default_tab&amp;search_scope=EVERYTHING&amp;vid=01CRU&amp;lang=en_US&amp;offset=0&amp;query=any,contains,991004905829702656","Catalog Record")</f>
        <v/>
      </c>
      <c r="AT437">
        <f>HYPERLINK("http://www.worldcat.org/oclc/5946640","WorldCat Record")</f>
        <v/>
      </c>
      <c r="AU437" t="inlineStr">
        <is>
          <t>420179:eng</t>
        </is>
      </c>
      <c r="AV437" t="inlineStr">
        <is>
          <t>5946640</t>
        </is>
      </c>
      <c r="AW437" t="inlineStr">
        <is>
          <t>991004905829702656</t>
        </is>
      </c>
      <c r="AX437" t="inlineStr">
        <is>
          <t>991004905829702656</t>
        </is>
      </c>
      <c r="AY437" t="inlineStr">
        <is>
          <t>2257641100002656</t>
        </is>
      </c>
      <c r="AZ437" t="inlineStr">
        <is>
          <t>BOOK</t>
        </is>
      </c>
      <c r="BB437" t="inlineStr">
        <is>
          <t>9780231046206</t>
        </is>
      </c>
      <c r="BC437" t="inlineStr">
        <is>
          <t>32285001267557</t>
        </is>
      </c>
      <c r="BD437" t="inlineStr">
        <is>
          <t>893694480</t>
        </is>
      </c>
    </row>
    <row r="438">
      <c r="A438" t="inlineStr">
        <is>
          <t>No</t>
        </is>
      </c>
      <c r="B438" t="inlineStr">
        <is>
          <t>HM251 .H634 1981</t>
        </is>
      </c>
      <c r="C438" t="inlineStr">
        <is>
          <t>0                      HM 0251000H  634         1981</t>
        </is>
      </c>
      <c r="D438" t="inlineStr">
        <is>
          <t>Principles and methods of social psychology / Edwin P. Hollander.</t>
        </is>
      </c>
      <c r="F438" t="inlineStr">
        <is>
          <t>No</t>
        </is>
      </c>
      <c r="G438" t="inlineStr">
        <is>
          <t>1</t>
        </is>
      </c>
      <c r="H438" t="inlineStr">
        <is>
          <t>No</t>
        </is>
      </c>
      <c r="I438" t="inlineStr">
        <is>
          <t>No</t>
        </is>
      </c>
      <c r="J438" t="inlineStr">
        <is>
          <t>0</t>
        </is>
      </c>
      <c r="K438" t="inlineStr">
        <is>
          <t>Hollander, Edwin Paul, 1927-</t>
        </is>
      </c>
      <c r="L438" t="inlineStr">
        <is>
          <t>New York : Oxford University Press, 1981.</t>
        </is>
      </c>
      <c r="M438" t="inlineStr">
        <is>
          <t>1981</t>
        </is>
      </c>
      <c r="N438" t="inlineStr">
        <is>
          <t>4th ed.</t>
        </is>
      </c>
      <c r="O438" t="inlineStr">
        <is>
          <t>eng</t>
        </is>
      </c>
      <c r="P438" t="inlineStr">
        <is>
          <t>nyu</t>
        </is>
      </c>
      <c r="R438" t="inlineStr">
        <is>
          <t xml:space="preserve">HM </t>
        </is>
      </c>
      <c r="S438" t="n">
        <v>8</v>
      </c>
      <c r="T438" t="n">
        <v>8</v>
      </c>
      <c r="U438" t="inlineStr">
        <is>
          <t>2007-04-10</t>
        </is>
      </c>
      <c r="V438" t="inlineStr">
        <is>
          <t>2007-04-10</t>
        </is>
      </c>
      <c r="W438" t="inlineStr">
        <is>
          <t>1991-08-08</t>
        </is>
      </c>
      <c r="X438" t="inlineStr">
        <is>
          <t>1991-08-08</t>
        </is>
      </c>
      <c r="Y438" t="n">
        <v>220</v>
      </c>
      <c r="Z438" t="n">
        <v>119</v>
      </c>
      <c r="AA438" t="n">
        <v>647</v>
      </c>
      <c r="AB438" t="n">
        <v>1</v>
      </c>
      <c r="AC438" t="n">
        <v>5</v>
      </c>
      <c r="AD438" t="n">
        <v>4</v>
      </c>
      <c r="AE438" t="n">
        <v>23</v>
      </c>
      <c r="AF438" t="n">
        <v>1</v>
      </c>
      <c r="AG438" t="n">
        <v>10</v>
      </c>
      <c r="AH438" t="n">
        <v>1</v>
      </c>
      <c r="AI438" t="n">
        <v>4</v>
      </c>
      <c r="AJ438" t="n">
        <v>2</v>
      </c>
      <c r="AK438" t="n">
        <v>10</v>
      </c>
      <c r="AL438" t="n">
        <v>0</v>
      </c>
      <c r="AM438" t="n">
        <v>3</v>
      </c>
      <c r="AN438" t="n">
        <v>0</v>
      </c>
      <c r="AO438" t="n">
        <v>0</v>
      </c>
      <c r="AP438" t="inlineStr">
        <is>
          <t>No</t>
        </is>
      </c>
      <c r="AQ438" t="inlineStr">
        <is>
          <t>Yes</t>
        </is>
      </c>
      <c r="AR438">
        <f>HYPERLINK("http://catalog.hathitrust.org/Record/000106702","HathiTrust Record")</f>
        <v/>
      </c>
      <c r="AS438">
        <f>HYPERLINK("https://creighton-primo.hosted.exlibrisgroup.com/primo-explore/search?tab=default_tab&amp;search_scope=EVERYTHING&amp;vid=01CRU&amp;lang=en_US&amp;offset=0&amp;query=any,contains,991005012039702656","Catalog Record")</f>
        <v/>
      </c>
      <c r="AT438">
        <f>HYPERLINK("http://www.worldcat.org/oclc/6603326","WorldCat Record")</f>
        <v/>
      </c>
      <c r="AU438" t="inlineStr">
        <is>
          <t>415142:eng</t>
        </is>
      </c>
      <c r="AV438" t="inlineStr">
        <is>
          <t>6603326</t>
        </is>
      </c>
      <c r="AW438" t="inlineStr">
        <is>
          <t>991005012039702656</t>
        </is>
      </c>
      <c r="AX438" t="inlineStr">
        <is>
          <t>991005012039702656</t>
        </is>
      </c>
      <c r="AY438" t="inlineStr">
        <is>
          <t>2254828700002656</t>
        </is>
      </c>
      <c r="AZ438" t="inlineStr">
        <is>
          <t>BOOK</t>
        </is>
      </c>
      <c r="BB438" t="inlineStr">
        <is>
          <t>9780195028225</t>
        </is>
      </c>
      <c r="BC438" t="inlineStr">
        <is>
          <t>32285000681345</t>
        </is>
      </c>
      <c r="BD438" t="inlineStr">
        <is>
          <t>893694625</t>
        </is>
      </c>
    </row>
    <row r="439">
      <c r="A439" t="inlineStr">
        <is>
          <t>No</t>
        </is>
      </c>
      <c r="B439" t="inlineStr">
        <is>
          <t>HM251 .I55 1988</t>
        </is>
      </c>
      <c r="C439" t="inlineStr">
        <is>
          <t>0                      HM 0251000I  55          1988</t>
        </is>
      </c>
      <c r="D439" t="inlineStr">
        <is>
          <t>Introduction to social psychology : a European perspective / edited by Miles Hewstone ... [et al.].</t>
        </is>
      </c>
      <c r="F439" t="inlineStr">
        <is>
          <t>No</t>
        </is>
      </c>
      <c r="G439" t="inlineStr">
        <is>
          <t>1</t>
        </is>
      </c>
      <c r="H439" t="inlineStr">
        <is>
          <t>No</t>
        </is>
      </c>
      <c r="I439" t="inlineStr">
        <is>
          <t>No</t>
        </is>
      </c>
      <c r="J439" t="inlineStr">
        <is>
          <t>0</t>
        </is>
      </c>
      <c r="L439" t="inlineStr">
        <is>
          <t>Oxford, UK ; New York, NY, USA : B. Blackwell, 1988.</t>
        </is>
      </c>
      <c r="M439" t="inlineStr">
        <is>
          <t>1988</t>
        </is>
      </c>
      <c r="O439" t="inlineStr">
        <is>
          <t>eng</t>
        </is>
      </c>
      <c r="P439" t="inlineStr">
        <is>
          <t>enk</t>
        </is>
      </c>
      <c r="R439" t="inlineStr">
        <is>
          <t xml:space="preserve">HM </t>
        </is>
      </c>
      <c r="S439" t="n">
        <v>8</v>
      </c>
      <c r="T439" t="n">
        <v>8</v>
      </c>
      <c r="U439" t="inlineStr">
        <is>
          <t>2005-01-03</t>
        </is>
      </c>
      <c r="V439" t="inlineStr">
        <is>
          <t>2005-01-03</t>
        </is>
      </c>
      <c r="W439" t="inlineStr">
        <is>
          <t>1991-07-17</t>
        </is>
      </c>
      <c r="X439" t="inlineStr">
        <is>
          <t>1991-07-17</t>
        </is>
      </c>
      <c r="Y439" t="n">
        <v>330</v>
      </c>
      <c r="Z439" t="n">
        <v>144</v>
      </c>
      <c r="AA439" t="n">
        <v>251</v>
      </c>
      <c r="AB439" t="n">
        <v>3</v>
      </c>
      <c r="AC439" t="n">
        <v>3</v>
      </c>
      <c r="AD439" t="n">
        <v>7</v>
      </c>
      <c r="AE439" t="n">
        <v>9</v>
      </c>
      <c r="AF439" t="n">
        <v>1</v>
      </c>
      <c r="AG439" t="n">
        <v>2</v>
      </c>
      <c r="AH439" t="n">
        <v>3</v>
      </c>
      <c r="AI439" t="n">
        <v>4</v>
      </c>
      <c r="AJ439" t="n">
        <v>3</v>
      </c>
      <c r="AK439" t="n">
        <v>4</v>
      </c>
      <c r="AL439" t="n">
        <v>2</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HYPERLINK("https://creighton-primo.hosted.exlibrisgroup.com/primo-explore/search?tab=default_tab&amp;search_scope=EVERYTHING&amp;vid=01CRU&amp;lang=en_US&amp;offset=0&amp;query=any,contains,991001193399702656","Catalog Record")</f>
        <v/>
      </c>
      <c r="AT439">
        <f>HYPERLINK("http://www.worldcat.org/oclc/17263128","WorldCat Record")</f>
        <v/>
      </c>
      <c r="AU439" t="inlineStr">
        <is>
          <t>811806098:eng</t>
        </is>
      </c>
      <c r="AV439" t="inlineStr">
        <is>
          <t>17263128</t>
        </is>
      </c>
      <c r="AW439" t="inlineStr">
        <is>
          <t>991001193399702656</t>
        </is>
      </c>
      <c r="AX439" t="inlineStr">
        <is>
          <t>991001193399702656</t>
        </is>
      </c>
      <c r="AY439" t="inlineStr">
        <is>
          <t>2266582340002656</t>
        </is>
      </c>
      <c r="AZ439" t="inlineStr">
        <is>
          <t>BOOK</t>
        </is>
      </c>
      <c r="BB439" t="inlineStr">
        <is>
          <t>9780631151647</t>
        </is>
      </c>
      <c r="BC439" t="inlineStr">
        <is>
          <t>32285000661131</t>
        </is>
      </c>
      <c r="BD439" t="inlineStr">
        <is>
          <t>893414039</t>
        </is>
      </c>
    </row>
    <row r="440">
      <c r="A440" t="inlineStr">
        <is>
          <t>No</t>
        </is>
      </c>
      <c r="B440" t="inlineStr">
        <is>
          <t>HM251 .K46 2000</t>
        </is>
      </c>
      <c r="C440" t="inlineStr">
        <is>
          <t>0                      HM 0251000K  46          2000</t>
        </is>
      </c>
      <c r="D440" t="inlineStr">
        <is>
          <t>Social psychology of gender, race, and ethnicity : readings and projects / Kelli A. Keough and Julio Garcia.</t>
        </is>
      </c>
      <c r="F440" t="inlineStr">
        <is>
          <t>No</t>
        </is>
      </c>
      <c r="G440" t="inlineStr">
        <is>
          <t>1</t>
        </is>
      </c>
      <c r="H440" t="inlineStr">
        <is>
          <t>No</t>
        </is>
      </c>
      <c r="I440" t="inlineStr">
        <is>
          <t>No</t>
        </is>
      </c>
      <c r="J440" t="inlineStr">
        <is>
          <t>0</t>
        </is>
      </c>
      <c r="K440" t="inlineStr">
        <is>
          <t>Keough, Kelli A.</t>
        </is>
      </c>
      <c r="L440" t="inlineStr">
        <is>
          <t>[New York?] : McGraw-Hill Higher Education, c2000.</t>
        </is>
      </c>
      <c r="M440" t="inlineStr">
        <is>
          <t>2000</t>
        </is>
      </c>
      <c r="O440" t="inlineStr">
        <is>
          <t>eng</t>
        </is>
      </c>
      <c r="P440" t="inlineStr">
        <is>
          <t>nyu</t>
        </is>
      </c>
      <c r="R440" t="inlineStr">
        <is>
          <t xml:space="preserve">HM </t>
        </is>
      </c>
      <c r="S440" t="n">
        <v>1</v>
      </c>
      <c r="T440" t="n">
        <v>1</v>
      </c>
      <c r="U440" t="inlineStr">
        <is>
          <t>2008-02-04</t>
        </is>
      </c>
      <c r="V440" t="inlineStr">
        <is>
          <t>2008-02-04</t>
        </is>
      </c>
      <c r="W440" t="inlineStr">
        <is>
          <t>2008-02-04</t>
        </is>
      </c>
      <c r="X440" t="inlineStr">
        <is>
          <t>2008-02-04</t>
        </is>
      </c>
      <c r="Y440" t="n">
        <v>111</v>
      </c>
      <c r="Z440" t="n">
        <v>72</v>
      </c>
      <c r="AA440" t="n">
        <v>73</v>
      </c>
      <c r="AB440" t="n">
        <v>1</v>
      </c>
      <c r="AC440" t="n">
        <v>1</v>
      </c>
      <c r="AD440" t="n">
        <v>2</v>
      </c>
      <c r="AE440" t="n">
        <v>2</v>
      </c>
      <c r="AF440" t="n">
        <v>2</v>
      </c>
      <c r="AG440" t="n">
        <v>2</v>
      </c>
      <c r="AH440" t="n">
        <v>0</v>
      </c>
      <c r="AI440" t="n">
        <v>0</v>
      </c>
      <c r="AJ440" t="n">
        <v>1</v>
      </c>
      <c r="AK440" t="n">
        <v>1</v>
      </c>
      <c r="AL440" t="n">
        <v>0</v>
      </c>
      <c r="AM440" t="n">
        <v>0</v>
      </c>
      <c r="AN440" t="n">
        <v>0</v>
      </c>
      <c r="AO440" t="n">
        <v>0</v>
      </c>
      <c r="AP440" t="inlineStr">
        <is>
          <t>No</t>
        </is>
      </c>
      <c r="AQ440" t="inlineStr">
        <is>
          <t>Yes</t>
        </is>
      </c>
      <c r="AR440">
        <f>HYPERLINK("http://catalog.hathitrust.org/Record/004268329","HathiTrust Record")</f>
        <v/>
      </c>
      <c r="AS440">
        <f>HYPERLINK("https://creighton-primo.hosted.exlibrisgroup.com/primo-explore/search?tab=default_tab&amp;search_scope=EVERYTHING&amp;vid=01CRU&amp;lang=en_US&amp;offset=0&amp;query=any,contains,991005179579702656","Catalog Record")</f>
        <v/>
      </c>
      <c r="AT440">
        <f>HYPERLINK("http://www.worldcat.org/oclc/43917576","WorldCat Record")</f>
        <v/>
      </c>
      <c r="AU440" t="inlineStr">
        <is>
          <t>311437656:eng</t>
        </is>
      </c>
      <c r="AV440" t="inlineStr">
        <is>
          <t>43917576</t>
        </is>
      </c>
      <c r="AW440" t="inlineStr">
        <is>
          <t>991005179579702656</t>
        </is>
      </c>
      <c r="AX440" t="inlineStr">
        <is>
          <t>991005179579702656</t>
        </is>
      </c>
      <c r="AY440" t="inlineStr">
        <is>
          <t>2259765430002656</t>
        </is>
      </c>
      <c r="AZ440" t="inlineStr">
        <is>
          <t>BOOK</t>
        </is>
      </c>
      <c r="BB440" t="inlineStr">
        <is>
          <t>9780073654843</t>
        </is>
      </c>
      <c r="BC440" t="inlineStr">
        <is>
          <t>32285005391916</t>
        </is>
      </c>
      <c r="BD440" t="inlineStr">
        <is>
          <t>893694876</t>
        </is>
      </c>
    </row>
    <row r="441">
      <c r="A441" t="inlineStr">
        <is>
          <t>No</t>
        </is>
      </c>
      <c r="B441" t="inlineStr">
        <is>
          <t>HM251 .M4533 1992</t>
        </is>
      </c>
      <c r="C441" t="inlineStr">
        <is>
          <t>0                      HM 0251000M  4533        1992</t>
        </is>
      </c>
      <c r="D441" t="inlineStr">
        <is>
          <t>Methodological issues in applied social psychology / edited by Fred B. Bryant ... [et al.].</t>
        </is>
      </c>
      <c r="F441" t="inlineStr">
        <is>
          <t>No</t>
        </is>
      </c>
      <c r="G441" t="inlineStr">
        <is>
          <t>1</t>
        </is>
      </c>
      <c r="H441" t="inlineStr">
        <is>
          <t>No</t>
        </is>
      </c>
      <c r="I441" t="inlineStr">
        <is>
          <t>No</t>
        </is>
      </c>
      <c r="J441" t="inlineStr">
        <is>
          <t>0</t>
        </is>
      </c>
      <c r="L441" t="inlineStr">
        <is>
          <t>New York : Plenum Press, c1992.</t>
        </is>
      </c>
      <c r="M441" t="inlineStr">
        <is>
          <t>1992</t>
        </is>
      </c>
      <c r="O441" t="inlineStr">
        <is>
          <t>eng</t>
        </is>
      </c>
      <c r="P441" t="inlineStr">
        <is>
          <t>nyu</t>
        </is>
      </c>
      <c r="Q441" t="inlineStr">
        <is>
          <t>Social psychological applications to social issues ; v. 2</t>
        </is>
      </c>
      <c r="R441" t="inlineStr">
        <is>
          <t xml:space="preserve">HM </t>
        </is>
      </c>
      <c r="S441" t="n">
        <v>4</v>
      </c>
      <c r="T441" t="n">
        <v>4</v>
      </c>
      <c r="U441" t="inlineStr">
        <is>
          <t>1997-12-05</t>
        </is>
      </c>
      <c r="V441" t="inlineStr">
        <is>
          <t>1997-12-05</t>
        </is>
      </c>
      <c r="W441" t="inlineStr">
        <is>
          <t>1992-10-27</t>
        </is>
      </c>
      <c r="X441" t="inlineStr">
        <is>
          <t>1992-10-27</t>
        </is>
      </c>
      <c r="Y441" t="n">
        <v>319</v>
      </c>
      <c r="Z441" t="n">
        <v>217</v>
      </c>
      <c r="AA441" t="n">
        <v>239</v>
      </c>
      <c r="AB441" t="n">
        <v>3</v>
      </c>
      <c r="AC441" t="n">
        <v>3</v>
      </c>
      <c r="AD441" t="n">
        <v>16</v>
      </c>
      <c r="AE441" t="n">
        <v>18</v>
      </c>
      <c r="AF441" t="n">
        <v>6</v>
      </c>
      <c r="AG441" t="n">
        <v>8</v>
      </c>
      <c r="AH441" t="n">
        <v>5</v>
      </c>
      <c r="AI441" t="n">
        <v>5</v>
      </c>
      <c r="AJ441" t="n">
        <v>10</v>
      </c>
      <c r="AK441" t="n">
        <v>11</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HYPERLINK("https://creighton-primo.hosted.exlibrisgroup.com/primo-explore/search?tab=default_tab&amp;search_scope=EVERYTHING&amp;vid=01CRU&amp;lang=en_US&amp;offset=0&amp;query=any,contains,991002037409702656","Catalog Record")</f>
        <v/>
      </c>
      <c r="AT441">
        <f>HYPERLINK("http://www.worldcat.org/oclc/25967117","WorldCat Record")</f>
        <v/>
      </c>
      <c r="AU441" t="inlineStr">
        <is>
          <t>476349999:eng</t>
        </is>
      </c>
      <c r="AV441" t="inlineStr">
        <is>
          <t>25967117</t>
        </is>
      </c>
      <c r="AW441" t="inlineStr">
        <is>
          <t>991002037409702656</t>
        </is>
      </c>
      <c r="AX441" t="inlineStr">
        <is>
          <t>991002037409702656</t>
        </is>
      </c>
      <c r="AY441" t="inlineStr">
        <is>
          <t>2266575050002656</t>
        </is>
      </c>
      <c r="AZ441" t="inlineStr">
        <is>
          <t>BOOK</t>
        </is>
      </c>
      <c r="BB441" t="inlineStr">
        <is>
          <t>9780306441738</t>
        </is>
      </c>
      <c r="BC441" t="inlineStr">
        <is>
          <t>32285001319390</t>
        </is>
      </c>
      <c r="BD441" t="inlineStr">
        <is>
          <t>893709790</t>
        </is>
      </c>
    </row>
    <row r="442">
      <c r="A442" t="inlineStr">
        <is>
          <t>No</t>
        </is>
      </c>
      <c r="B442" t="inlineStr">
        <is>
          <t>HM251 .M585 1993</t>
        </is>
      </c>
      <c r="C442" t="inlineStr">
        <is>
          <t>0                      HM 0251000M  585         1993</t>
        </is>
      </c>
      <c r="D442" t="inlineStr">
        <is>
          <t>Social psychology in cross-cultural perspective / Fathali M. Moghaddam, Donald M. Taylor and Stephen C. Wright.</t>
        </is>
      </c>
      <c r="F442" t="inlineStr">
        <is>
          <t>No</t>
        </is>
      </c>
      <c r="G442" t="inlineStr">
        <is>
          <t>1</t>
        </is>
      </c>
      <c r="H442" t="inlineStr">
        <is>
          <t>No</t>
        </is>
      </c>
      <c r="I442" t="inlineStr">
        <is>
          <t>No</t>
        </is>
      </c>
      <c r="J442" t="inlineStr">
        <is>
          <t>0</t>
        </is>
      </c>
      <c r="K442" t="inlineStr">
        <is>
          <t>Moghaddam, Fathali M.</t>
        </is>
      </c>
      <c r="L442" t="inlineStr">
        <is>
          <t>New York : W.H. Freeman, c1993.</t>
        </is>
      </c>
      <c r="M442" t="inlineStr">
        <is>
          <t>1993</t>
        </is>
      </c>
      <c r="O442" t="inlineStr">
        <is>
          <t>eng</t>
        </is>
      </c>
      <c r="P442" t="inlineStr">
        <is>
          <t>nyu</t>
        </is>
      </c>
      <c r="R442" t="inlineStr">
        <is>
          <t xml:space="preserve">HM </t>
        </is>
      </c>
      <c r="S442" t="n">
        <v>9</v>
      </c>
      <c r="T442" t="n">
        <v>9</v>
      </c>
      <c r="U442" t="inlineStr">
        <is>
          <t>2000-09-11</t>
        </is>
      </c>
      <c r="V442" t="inlineStr">
        <is>
          <t>2000-09-11</t>
        </is>
      </c>
      <c r="W442" t="inlineStr">
        <is>
          <t>1994-08-08</t>
        </is>
      </c>
      <c r="X442" t="inlineStr">
        <is>
          <t>1994-08-08</t>
        </is>
      </c>
      <c r="Y442" t="n">
        <v>368</v>
      </c>
      <c r="Z442" t="n">
        <v>206</v>
      </c>
      <c r="AA442" t="n">
        <v>211</v>
      </c>
      <c r="AB442" t="n">
        <v>3</v>
      </c>
      <c r="AC442" t="n">
        <v>3</v>
      </c>
      <c r="AD442" t="n">
        <v>13</v>
      </c>
      <c r="AE442" t="n">
        <v>13</v>
      </c>
      <c r="AF442" t="n">
        <v>5</v>
      </c>
      <c r="AG442" t="n">
        <v>5</v>
      </c>
      <c r="AH442" t="n">
        <v>2</v>
      </c>
      <c r="AI442" t="n">
        <v>2</v>
      </c>
      <c r="AJ442" t="n">
        <v>8</v>
      </c>
      <c r="AK442" t="n">
        <v>8</v>
      </c>
      <c r="AL442" t="n">
        <v>2</v>
      </c>
      <c r="AM442" t="n">
        <v>2</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HYPERLINK("https://creighton-primo.hosted.exlibrisgroup.com/primo-explore/search?tab=default_tab&amp;search_scope=EVERYTHING&amp;vid=01CRU&amp;lang=en_US&amp;offset=0&amp;query=any,contains,991002049789702656","Catalog Record")</f>
        <v/>
      </c>
      <c r="AT442">
        <f>HYPERLINK("http://www.worldcat.org/oclc/26159986","WorldCat Record")</f>
        <v/>
      </c>
      <c r="AU442" t="inlineStr">
        <is>
          <t>28731380:eng</t>
        </is>
      </c>
      <c r="AV442" t="inlineStr">
        <is>
          <t>26159986</t>
        </is>
      </c>
      <c r="AW442" t="inlineStr">
        <is>
          <t>991002049789702656</t>
        </is>
      </c>
      <c r="AX442" t="inlineStr">
        <is>
          <t>991002049789702656</t>
        </is>
      </c>
      <c r="AY442" t="inlineStr">
        <is>
          <t>2257382060002656</t>
        </is>
      </c>
      <c r="AZ442" t="inlineStr">
        <is>
          <t>BOOK</t>
        </is>
      </c>
      <c r="BB442" t="inlineStr">
        <is>
          <t>9780716723547</t>
        </is>
      </c>
      <c r="BC442" t="inlineStr">
        <is>
          <t>32285001941953</t>
        </is>
      </c>
      <c r="BD442" t="inlineStr">
        <is>
          <t>893709801</t>
        </is>
      </c>
    </row>
    <row r="443">
      <c r="A443" t="inlineStr">
        <is>
          <t>No</t>
        </is>
      </c>
      <c r="B443" t="inlineStr">
        <is>
          <t>HM251 .P4259</t>
        </is>
      </c>
      <c r="C443" t="inlineStr">
        <is>
          <t>0                      HM 0251000P  4259</t>
        </is>
      </c>
      <c r="D443" t="inlineStr">
        <is>
          <t>Perspectives on attribution research and theory : the Bielefeld symposium / edited by Dietmar Görlitz ; [translation from the German and technical editing by David Antal] ; with contributions by Martin Dobrick ... [et al.].</t>
        </is>
      </c>
      <c r="F443" t="inlineStr">
        <is>
          <t>No</t>
        </is>
      </c>
      <c r="G443" t="inlineStr">
        <is>
          <t>1</t>
        </is>
      </c>
      <c r="H443" t="inlineStr">
        <is>
          <t>No</t>
        </is>
      </c>
      <c r="I443" t="inlineStr">
        <is>
          <t>No</t>
        </is>
      </c>
      <c r="J443" t="inlineStr">
        <is>
          <t>0</t>
        </is>
      </c>
      <c r="L443" t="inlineStr">
        <is>
          <t>Cambridge, Mass. : Ballinger Pub. Co., c1980.</t>
        </is>
      </c>
      <c r="M443" t="inlineStr">
        <is>
          <t>1980</t>
        </is>
      </c>
      <c r="O443" t="inlineStr">
        <is>
          <t>eng</t>
        </is>
      </c>
      <c r="P443" t="inlineStr">
        <is>
          <t>mau</t>
        </is>
      </c>
      <c r="R443" t="inlineStr">
        <is>
          <t xml:space="preserve">HM </t>
        </is>
      </c>
      <c r="S443" t="n">
        <v>2</v>
      </c>
      <c r="T443" t="n">
        <v>2</v>
      </c>
      <c r="U443" t="inlineStr">
        <is>
          <t>2000-10-25</t>
        </is>
      </c>
      <c r="V443" t="inlineStr">
        <is>
          <t>2000-10-25</t>
        </is>
      </c>
      <c r="W443" t="inlineStr">
        <is>
          <t>1992-09-03</t>
        </is>
      </c>
      <c r="X443" t="inlineStr">
        <is>
          <t>1992-09-03</t>
        </is>
      </c>
      <c r="Y443" t="n">
        <v>268</v>
      </c>
      <c r="Z443" t="n">
        <v>220</v>
      </c>
      <c r="AA443" t="n">
        <v>222</v>
      </c>
      <c r="AB443" t="n">
        <v>2</v>
      </c>
      <c r="AC443" t="n">
        <v>2</v>
      </c>
      <c r="AD443" t="n">
        <v>7</v>
      </c>
      <c r="AE443" t="n">
        <v>7</v>
      </c>
      <c r="AF443" t="n">
        <v>1</v>
      </c>
      <c r="AG443" t="n">
        <v>1</v>
      </c>
      <c r="AH443" t="n">
        <v>1</v>
      </c>
      <c r="AI443" t="n">
        <v>1</v>
      </c>
      <c r="AJ443" t="n">
        <v>6</v>
      </c>
      <c r="AK443" t="n">
        <v>6</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HYPERLINK("https://creighton-primo.hosted.exlibrisgroup.com/primo-explore/search?tab=default_tab&amp;search_scope=EVERYTHING&amp;vid=01CRU&amp;lang=en_US&amp;offset=0&amp;query=any,contains,991005029939702656","Catalog Record")</f>
        <v/>
      </c>
      <c r="AT443">
        <f>HYPERLINK("http://www.worldcat.org/oclc/6709074","WorldCat Record")</f>
        <v/>
      </c>
      <c r="AU443" t="inlineStr">
        <is>
          <t>544420:eng</t>
        </is>
      </c>
      <c r="AV443" t="inlineStr">
        <is>
          <t>6709074</t>
        </is>
      </c>
      <c r="AW443" t="inlineStr">
        <is>
          <t>991005029939702656</t>
        </is>
      </c>
      <c r="AX443" t="inlineStr">
        <is>
          <t>991005029939702656</t>
        </is>
      </c>
      <c r="AY443" t="inlineStr">
        <is>
          <t>2256532000002656</t>
        </is>
      </c>
      <c r="AZ443" t="inlineStr">
        <is>
          <t>BOOK</t>
        </is>
      </c>
      <c r="BB443" t="inlineStr">
        <is>
          <t>9780884103752</t>
        </is>
      </c>
      <c r="BC443" t="inlineStr">
        <is>
          <t>32285001267672</t>
        </is>
      </c>
      <c r="BD443" t="inlineStr">
        <is>
          <t>893536316</t>
        </is>
      </c>
    </row>
    <row r="444">
      <c r="A444" t="inlineStr">
        <is>
          <t>No</t>
        </is>
      </c>
      <c r="B444" t="inlineStr">
        <is>
          <t>HM251 .P54 1993</t>
        </is>
      </c>
      <c r="C444" t="inlineStr">
        <is>
          <t>0                      HM 0251000P  54          1993</t>
        </is>
      </c>
      <c r="D444" t="inlineStr">
        <is>
          <t>Experiencing social psychology : readings and projects / Ayala Pines, Christina Maslach.</t>
        </is>
      </c>
      <c r="F444" t="inlineStr">
        <is>
          <t>No</t>
        </is>
      </c>
      <c r="G444" t="inlineStr">
        <is>
          <t>1</t>
        </is>
      </c>
      <c r="H444" t="inlineStr">
        <is>
          <t>No</t>
        </is>
      </c>
      <c r="I444" t="inlineStr">
        <is>
          <t>No</t>
        </is>
      </c>
      <c r="J444" t="inlineStr">
        <is>
          <t>0</t>
        </is>
      </c>
      <c r="K444" t="inlineStr">
        <is>
          <t>Malakh-Pines, Ayala.</t>
        </is>
      </c>
      <c r="L444" t="inlineStr">
        <is>
          <t>New York : McGraw-Hill, c1993.</t>
        </is>
      </c>
      <c r="M444" t="inlineStr">
        <is>
          <t>1993</t>
        </is>
      </c>
      <c r="N444" t="inlineStr">
        <is>
          <t>3rd ed.</t>
        </is>
      </c>
      <c r="O444" t="inlineStr">
        <is>
          <t>eng</t>
        </is>
      </c>
      <c r="P444" t="inlineStr">
        <is>
          <t>nyu</t>
        </is>
      </c>
      <c r="Q444" t="inlineStr">
        <is>
          <t>McGraw-Hill series in social psychology</t>
        </is>
      </c>
      <c r="R444" t="inlineStr">
        <is>
          <t xml:space="preserve">HM </t>
        </is>
      </c>
      <c r="S444" t="n">
        <v>6</v>
      </c>
      <c r="T444" t="n">
        <v>6</v>
      </c>
      <c r="U444" t="inlineStr">
        <is>
          <t>2001-11-06</t>
        </is>
      </c>
      <c r="V444" t="inlineStr">
        <is>
          <t>2001-11-06</t>
        </is>
      </c>
      <c r="W444" t="inlineStr">
        <is>
          <t>1994-07-06</t>
        </is>
      </c>
      <c r="X444" t="inlineStr">
        <is>
          <t>1994-07-06</t>
        </is>
      </c>
      <c r="Y444" t="n">
        <v>93</v>
      </c>
      <c r="Z444" t="n">
        <v>36</v>
      </c>
      <c r="AA444" t="n">
        <v>145</v>
      </c>
      <c r="AB444" t="n">
        <v>1</v>
      </c>
      <c r="AC444" t="n">
        <v>1</v>
      </c>
      <c r="AD444" t="n">
        <v>3</v>
      </c>
      <c r="AE444" t="n">
        <v>5</v>
      </c>
      <c r="AF444" t="n">
        <v>1</v>
      </c>
      <c r="AG444" t="n">
        <v>2</v>
      </c>
      <c r="AH444" t="n">
        <v>0</v>
      </c>
      <c r="AI444" t="n">
        <v>1</v>
      </c>
      <c r="AJ444" t="n">
        <v>3</v>
      </c>
      <c r="AK444" t="n">
        <v>4</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HYPERLINK("https://creighton-primo.hosted.exlibrisgroup.com/primo-explore/search?tab=default_tab&amp;search_scope=EVERYTHING&amp;vid=01CRU&amp;lang=en_US&amp;offset=0&amp;query=any,contains,991002014729702656","Catalog Record")</f>
        <v/>
      </c>
      <c r="AT444">
        <f>HYPERLINK("http://www.worldcat.org/oclc/25630749","WorldCat Record")</f>
        <v/>
      </c>
      <c r="AU444" t="inlineStr">
        <is>
          <t>796350518:eng</t>
        </is>
      </c>
      <c r="AV444" t="inlineStr">
        <is>
          <t>25630749</t>
        </is>
      </c>
      <c r="AW444" t="inlineStr">
        <is>
          <t>991002014729702656</t>
        </is>
      </c>
      <c r="AX444" t="inlineStr">
        <is>
          <t>991002014729702656</t>
        </is>
      </c>
      <c r="AY444" t="inlineStr">
        <is>
          <t>2266802070002656</t>
        </is>
      </c>
      <c r="AZ444" t="inlineStr">
        <is>
          <t>BOOK</t>
        </is>
      </c>
      <c r="BB444" t="inlineStr">
        <is>
          <t>9780070407732</t>
        </is>
      </c>
      <c r="BC444" t="inlineStr">
        <is>
          <t>32285001930972</t>
        </is>
      </c>
      <c r="BD444" t="inlineStr">
        <is>
          <t>893497632</t>
        </is>
      </c>
    </row>
    <row r="445">
      <c r="A445" t="inlineStr">
        <is>
          <t>No</t>
        </is>
      </c>
      <c r="B445" t="inlineStr">
        <is>
          <t>HM251 .R775 1982</t>
        </is>
      </c>
      <c r="C445" t="inlineStr">
        <is>
          <t>0                      HM 0251000R  775         1982</t>
        </is>
      </c>
      <c r="D445" t="inlineStr">
        <is>
          <t>Outbreaks, the sociology of collective behavior / Jerry D. Rose.</t>
        </is>
      </c>
      <c r="F445" t="inlineStr">
        <is>
          <t>No</t>
        </is>
      </c>
      <c r="G445" t="inlineStr">
        <is>
          <t>1</t>
        </is>
      </c>
      <c r="H445" t="inlineStr">
        <is>
          <t>No</t>
        </is>
      </c>
      <c r="I445" t="inlineStr">
        <is>
          <t>No</t>
        </is>
      </c>
      <c r="J445" t="inlineStr">
        <is>
          <t>0</t>
        </is>
      </c>
      <c r="K445" t="inlineStr">
        <is>
          <t>Rose, Jerry D., 1933-</t>
        </is>
      </c>
      <c r="L445" t="inlineStr">
        <is>
          <t>New York : Free Press, c1982.</t>
        </is>
      </c>
      <c r="M445" t="inlineStr">
        <is>
          <t>1982</t>
        </is>
      </c>
      <c r="O445" t="inlineStr">
        <is>
          <t>eng</t>
        </is>
      </c>
      <c r="P445" t="inlineStr">
        <is>
          <t>nyu</t>
        </is>
      </c>
      <c r="R445" t="inlineStr">
        <is>
          <t xml:space="preserve">HM </t>
        </is>
      </c>
      <c r="S445" t="n">
        <v>3</v>
      </c>
      <c r="T445" t="n">
        <v>3</v>
      </c>
      <c r="U445" t="inlineStr">
        <is>
          <t>1993-11-09</t>
        </is>
      </c>
      <c r="V445" t="inlineStr">
        <is>
          <t>1993-11-09</t>
        </is>
      </c>
      <c r="W445" t="inlineStr">
        <is>
          <t>1992-09-03</t>
        </is>
      </c>
      <c r="X445" t="inlineStr">
        <is>
          <t>1992-09-03</t>
        </is>
      </c>
      <c r="Y445" t="n">
        <v>502</v>
      </c>
      <c r="Z445" t="n">
        <v>415</v>
      </c>
      <c r="AA445" t="n">
        <v>416</v>
      </c>
      <c r="AB445" t="n">
        <v>5</v>
      </c>
      <c r="AC445" t="n">
        <v>5</v>
      </c>
      <c r="AD445" t="n">
        <v>18</v>
      </c>
      <c r="AE445" t="n">
        <v>18</v>
      </c>
      <c r="AF445" t="n">
        <v>7</v>
      </c>
      <c r="AG445" t="n">
        <v>7</v>
      </c>
      <c r="AH445" t="n">
        <v>2</v>
      </c>
      <c r="AI445" t="n">
        <v>2</v>
      </c>
      <c r="AJ445" t="n">
        <v>9</v>
      </c>
      <c r="AK445" t="n">
        <v>9</v>
      </c>
      <c r="AL445" t="n">
        <v>4</v>
      </c>
      <c r="AM445" t="n">
        <v>4</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HYPERLINK("https://creighton-primo.hosted.exlibrisgroup.com/primo-explore/search?tab=default_tab&amp;search_scope=EVERYTHING&amp;vid=01CRU&amp;lang=en_US&amp;offset=0&amp;query=any,contains,991005156819702656","Catalog Record")</f>
        <v/>
      </c>
      <c r="AT445">
        <f>HYPERLINK("http://www.worldcat.org/oclc/7740858","WorldCat Record")</f>
        <v/>
      </c>
      <c r="AU445" t="inlineStr">
        <is>
          <t>400763:eng</t>
        </is>
      </c>
      <c r="AV445" t="inlineStr">
        <is>
          <t>7740858</t>
        </is>
      </c>
      <c r="AW445" t="inlineStr">
        <is>
          <t>991005156819702656</t>
        </is>
      </c>
      <c r="AX445" t="inlineStr">
        <is>
          <t>991005156819702656</t>
        </is>
      </c>
      <c r="AY445" t="inlineStr">
        <is>
          <t>2264223290002656</t>
        </is>
      </c>
      <c r="AZ445" t="inlineStr">
        <is>
          <t>BOOK</t>
        </is>
      </c>
      <c r="BB445" t="inlineStr">
        <is>
          <t>9780029267905</t>
        </is>
      </c>
      <c r="BC445" t="inlineStr">
        <is>
          <t>32285001267714</t>
        </is>
      </c>
      <c r="BD445" t="inlineStr">
        <is>
          <t>893320124</t>
        </is>
      </c>
    </row>
    <row r="446">
      <c r="A446" t="inlineStr">
        <is>
          <t>No</t>
        </is>
      </c>
      <c r="B446" t="inlineStr">
        <is>
          <t>HM251 .S624</t>
        </is>
      </c>
      <c r="C446" t="inlineStr">
        <is>
          <t>0                      HM 0251000S  624</t>
        </is>
      </c>
      <c r="D446" t="inlineStr">
        <is>
          <t>Sociology's models of man : the relationships of models of man to sociological explanation in three sociological theories / William L. Skidmore.</t>
        </is>
      </c>
      <c r="F446" t="inlineStr">
        <is>
          <t>No</t>
        </is>
      </c>
      <c r="G446" t="inlineStr">
        <is>
          <t>1</t>
        </is>
      </c>
      <c r="H446" t="inlineStr">
        <is>
          <t>No</t>
        </is>
      </c>
      <c r="I446" t="inlineStr">
        <is>
          <t>No</t>
        </is>
      </c>
      <c r="J446" t="inlineStr">
        <is>
          <t>0</t>
        </is>
      </c>
      <c r="K446" t="inlineStr">
        <is>
          <t>Skidmore, William.</t>
        </is>
      </c>
      <c r="L446" t="inlineStr">
        <is>
          <t>New York : Gordon and Breach, c1975.</t>
        </is>
      </c>
      <c r="M446" t="inlineStr">
        <is>
          <t>1975</t>
        </is>
      </c>
      <c r="O446" t="inlineStr">
        <is>
          <t>eng</t>
        </is>
      </c>
      <c r="P446" t="inlineStr">
        <is>
          <t>nyu</t>
        </is>
      </c>
      <c r="R446" t="inlineStr">
        <is>
          <t xml:space="preserve">HM </t>
        </is>
      </c>
      <c r="S446" t="n">
        <v>1</v>
      </c>
      <c r="T446" t="n">
        <v>1</v>
      </c>
      <c r="U446" t="inlineStr">
        <is>
          <t>2007-11-21</t>
        </is>
      </c>
      <c r="V446" t="inlineStr">
        <is>
          <t>2007-11-21</t>
        </is>
      </c>
      <c r="W446" t="inlineStr">
        <is>
          <t>1997-07-31</t>
        </is>
      </c>
      <c r="X446" t="inlineStr">
        <is>
          <t>1997-07-31</t>
        </is>
      </c>
      <c r="Y446" t="n">
        <v>380</v>
      </c>
      <c r="Z446" t="n">
        <v>267</v>
      </c>
      <c r="AA446" t="n">
        <v>272</v>
      </c>
      <c r="AB446" t="n">
        <v>4</v>
      </c>
      <c r="AC446" t="n">
        <v>4</v>
      </c>
      <c r="AD446" t="n">
        <v>16</v>
      </c>
      <c r="AE446" t="n">
        <v>16</v>
      </c>
      <c r="AF446" t="n">
        <v>7</v>
      </c>
      <c r="AG446" t="n">
        <v>7</v>
      </c>
      <c r="AH446" t="n">
        <v>2</v>
      </c>
      <c r="AI446" t="n">
        <v>2</v>
      </c>
      <c r="AJ446" t="n">
        <v>8</v>
      </c>
      <c r="AK446" t="n">
        <v>8</v>
      </c>
      <c r="AL446" t="n">
        <v>3</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HYPERLINK("https://creighton-primo.hosted.exlibrisgroup.com/primo-explore/search?tab=default_tab&amp;search_scope=EVERYTHING&amp;vid=01CRU&amp;lang=en_US&amp;offset=0&amp;query=any,contains,991004050769702656","Catalog Record")</f>
        <v/>
      </c>
      <c r="AT446">
        <f>HYPERLINK("http://www.worldcat.org/oclc/2212781","WorldCat Record")</f>
        <v/>
      </c>
      <c r="AU446" t="inlineStr">
        <is>
          <t>347731433:eng</t>
        </is>
      </c>
      <c r="AV446" t="inlineStr">
        <is>
          <t>2212781</t>
        </is>
      </c>
      <c r="AW446" t="inlineStr">
        <is>
          <t>991004050769702656</t>
        </is>
      </c>
      <c r="AX446" t="inlineStr">
        <is>
          <t>991004050769702656</t>
        </is>
      </c>
      <c r="AY446" t="inlineStr">
        <is>
          <t>2255581440002656</t>
        </is>
      </c>
      <c r="AZ446" t="inlineStr">
        <is>
          <t>BOOK</t>
        </is>
      </c>
      <c r="BB446" t="inlineStr">
        <is>
          <t>9780677047805</t>
        </is>
      </c>
      <c r="BC446" t="inlineStr">
        <is>
          <t>32285003017968</t>
        </is>
      </c>
      <c r="BD446" t="inlineStr">
        <is>
          <t>893435832</t>
        </is>
      </c>
    </row>
    <row r="447">
      <c r="A447" t="inlineStr">
        <is>
          <t>No</t>
        </is>
      </c>
      <c r="B447" t="inlineStr">
        <is>
          <t>HM251 .S6255</t>
        </is>
      </c>
      <c r="C447" t="inlineStr">
        <is>
          <t>0                      HM 0251000S  6255</t>
        </is>
      </c>
      <c r="D447" t="inlineStr">
        <is>
          <t>Social psychological theories : a comparative handbook for students / Carl J. Slawski.</t>
        </is>
      </c>
      <c r="F447" t="inlineStr">
        <is>
          <t>No</t>
        </is>
      </c>
      <c r="G447" t="inlineStr">
        <is>
          <t>1</t>
        </is>
      </c>
      <c r="H447" t="inlineStr">
        <is>
          <t>No</t>
        </is>
      </c>
      <c r="I447" t="inlineStr">
        <is>
          <t>No</t>
        </is>
      </c>
      <c r="J447" t="inlineStr">
        <is>
          <t>0</t>
        </is>
      </c>
      <c r="K447" t="inlineStr">
        <is>
          <t>Slawski, Carl J., 1938-</t>
        </is>
      </c>
      <c r="L447" t="inlineStr">
        <is>
          <t>Glenview, Ill. : Scott, Foresman, 1981.</t>
        </is>
      </c>
      <c r="M447" t="inlineStr">
        <is>
          <t>1980</t>
        </is>
      </c>
      <c r="O447" t="inlineStr">
        <is>
          <t>eng</t>
        </is>
      </c>
      <c r="P447" t="inlineStr">
        <is>
          <t>ilu</t>
        </is>
      </c>
      <c r="R447" t="inlineStr">
        <is>
          <t xml:space="preserve">HM </t>
        </is>
      </c>
      <c r="S447" t="n">
        <v>2</v>
      </c>
      <c r="T447" t="n">
        <v>2</v>
      </c>
      <c r="U447" t="inlineStr">
        <is>
          <t>2001-04-17</t>
        </is>
      </c>
      <c r="V447" t="inlineStr">
        <is>
          <t>2001-04-17</t>
        </is>
      </c>
      <c r="W447" t="inlineStr">
        <is>
          <t>1992-09-03</t>
        </is>
      </c>
      <c r="X447" t="inlineStr">
        <is>
          <t>1992-09-03</t>
        </is>
      </c>
      <c r="Y447" t="n">
        <v>169</v>
      </c>
      <c r="Z447" t="n">
        <v>136</v>
      </c>
      <c r="AA447" t="n">
        <v>147</v>
      </c>
      <c r="AB447" t="n">
        <v>2</v>
      </c>
      <c r="AC447" t="n">
        <v>2</v>
      </c>
      <c r="AD447" t="n">
        <v>6</v>
      </c>
      <c r="AE447" t="n">
        <v>7</v>
      </c>
      <c r="AF447" t="n">
        <v>3</v>
      </c>
      <c r="AG447" t="n">
        <v>4</v>
      </c>
      <c r="AH447" t="n">
        <v>2</v>
      </c>
      <c r="AI447" t="n">
        <v>2</v>
      </c>
      <c r="AJ447" t="n">
        <v>3</v>
      </c>
      <c r="AK447" t="n">
        <v>4</v>
      </c>
      <c r="AL447" t="n">
        <v>1</v>
      </c>
      <c r="AM447" t="n">
        <v>1</v>
      </c>
      <c r="AN447" t="n">
        <v>0</v>
      </c>
      <c r="AO447" t="n">
        <v>0</v>
      </c>
      <c r="AP447" t="inlineStr">
        <is>
          <t>No</t>
        </is>
      </c>
      <c r="AQ447" t="inlineStr">
        <is>
          <t>Yes</t>
        </is>
      </c>
      <c r="AR447">
        <f>HYPERLINK("http://catalog.hathitrust.org/Record/007571035","HathiTrust Record")</f>
        <v/>
      </c>
      <c r="AS447">
        <f>HYPERLINK("https://creighton-primo.hosted.exlibrisgroup.com/primo-explore/search?tab=default_tab&amp;search_scope=EVERYTHING&amp;vid=01CRU&amp;lang=en_US&amp;offset=0&amp;query=any,contains,991005020989702656","Catalog Record")</f>
        <v/>
      </c>
      <c r="AT447">
        <f>HYPERLINK("http://www.worldcat.org/oclc/6649645","WorldCat Record")</f>
        <v/>
      </c>
      <c r="AU447" t="inlineStr">
        <is>
          <t>196988385:eng</t>
        </is>
      </c>
      <c r="AV447" t="inlineStr">
        <is>
          <t>6649645</t>
        </is>
      </c>
      <c r="AW447" t="inlineStr">
        <is>
          <t>991005020989702656</t>
        </is>
      </c>
      <c r="AX447" t="inlineStr">
        <is>
          <t>991005020989702656</t>
        </is>
      </c>
      <c r="AY447" t="inlineStr">
        <is>
          <t>2265953170002656</t>
        </is>
      </c>
      <c r="AZ447" t="inlineStr">
        <is>
          <t>BOOK</t>
        </is>
      </c>
      <c r="BB447" t="inlineStr">
        <is>
          <t>9780673153333</t>
        </is>
      </c>
      <c r="BC447" t="inlineStr">
        <is>
          <t>32285001267748</t>
        </is>
      </c>
      <c r="BD447" t="inlineStr">
        <is>
          <t>893795505</t>
        </is>
      </c>
    </row>
    <row r="448">
      <c r="A448" t="inlineStr">
        <is>
          <t>No</t>
        </is>
      </c>
      <c r="B448" t="inlineStr">
        <is>
          <t>HM251 .S663 1994</t>
        </is>
      </c>
      <c r="C448" t="inlineStr">
        <is>
          <t>0                      HM 0251000S  663         1994</t>
        </is>
      </c>
      <c r="D448" t="inlineStr">
        <is>
          <t>Social psychology across cultures : analysis and perspectives / Peter B. Smith, Michael Harris Bond.</t>
        </is>
      </c>
      <c r="F448" t="inlineStr">
        <is>
          <t>No</t>
        </is>
      </c>
      <c r="G448" t="inlineStr">
        <is>
          <t>1</t>
        </is>
      </c>
      <c r="H448" t="inlineStr">
        <is>
          <t>No</t>
        </is>
      </c>
      <c r="I448" t="inlineStr">
        <is>
          <t>No</t>
        </is>
      </c>
      <c r="J448" t="inlineStr">
        <is>
          <t>0</t>
        </is>
      </c>
      <c r="K448" t="inlineStr">
        <is>
          <t>Smith, Peter Bevington.</t>
        </is>
      </c>
      <c r="L448" t="inlineStr">
        <is>
          <t>Needham Heights, Mass. : Allyn and Bacon, 1994, c1993.</t>
        </is>
      </c>
      <c r="M448" t="inlineStr">
        <is>
          <t>1994</t>
        </is>
      </c>
      <c r="O448" t="inlineStr">
        <is>
          <t>eng</t>
        </is>
      </c>
      <c r="P448" t="inlineStr">
        <is>
          <t>mau</t>
        </is>
      </c>
      <c r="R448" t="inlineStr">
        <is>
          <t xml:space="preserve">HM </t>
        </is>
      </c>
      <c r="S448" t="n">
        <v>6</v>
      </c>
      <c r="T448" t="n">
        <v>6</v>
      </c>
      <c r="U448" t="inlineStr">
        <is>
          <t>2001-09-23</t>
        </is>
      </c>
      <c r="V448" t="inlineStr">
        <is>
          <t>2001-09-23</t>
        </is>
      </c>
      <c r="W448" t="inlineStr">
        <is>
          <t>1994-08-03</t>
        </is>
      </c>
      <c r="X448" t="inlineStr">
        <is>
          <t>1994-08-03</t>
        </is>
      </c>
      <c r="Y448" t="n">
        <v>200</v>
      </c>
      <c r="Z448" t="n">
        <v>168</v>
      </c>
      <c r="AA448" t="n">
        <v>327</v>
      </c>
      <c r="AB448" t="n">
        <v>2</v>
      </c>
      <c r="AC448" t="n">
        <v>3</v>
      </c>
      <c r="AD448" t="n">
        <v>12</v>
      </c>
      <c r="AE448" t="n">
        <v>17</v>
      </c>
      <c r="AF448" t="n">
        <v>5</v>
      </c>
      <c r="AG448" t="n">
        <v>6</v>
      </c>
      <c r="AH448" t="n">
        <v>2</v>
      </c>
      <c r="AI448" t="n">
        <v>3</v>
      </c>
      <c r="AJ448" t="n">
        <v>10</v>
      </c>
      <c r="AK448" t="n">
        <v>13</v>
      </c>
      <c r="AL448" t="n">
        <v>1</v>
      </c>
      <c r="AM448" t="n">
        <v>2</v>
      </c>
      <c r="AN448" t="n">
        <v>0</v>
      </c>
      <c r="AO448" t="n">
        <v>0</v>
      </c>
      <c r="AP448" t="inlineStr">
        <is>
          <t>No</t>
        </is>
      </c>
      <c r="AQ448" t="inlineStr">
        <is>
          <t>Yes</t>
        </is>
      </c>
      <c r="AR448">
        <f>HYPERLINK("http://catalog.hathitrust.org/Record/002884639","HathiTrust Record")</f>
        <v/>
      </c>
      <c r="AS448">
        <f>HYPERLINK("https://creighton-primo.hosted.exlibrisgroup.com/primo-explore/search?tab=default_tab&amp;search_scope=EVERYTHING&amp;vid=01CRU&amp;lang=en_US&amp;offset=0&amp;query=any,contains,991002278899702656","Catalog Record")</f>
        <v/>
      </c>
      <c r="AT448">
        <f>HYPERLINK("http://www.worldcat.org/oclc/29553983","WorldCat Record")</f>
        <v/>
      </c>
      <c r="AU448" t="inlineStr">
        <is>
          <t>18899714:eng</t>
        </is>
      </c>
      <c r="AV448" t="inlineStr">
        <is>
          <t>29553983</t>
        </is>
      </c>
      <c r="AW448" t="inlineStr">
        <is>
          <t>991002278899702656</t>
        </is>
      </c>
      <c r="AX448" t="inlineStr">
        <is>
          <t>991002278899702656</t>
        </is>
      </c>
      <c r="AY448" t="inlineStr">
        <is>
          <t>2257733830002656</t>
        </is>
      </c>
      <c r="AZ448" t="inlineStr">
        <is>
          <t>BOOK</t>
        </is>
      </c>
      <c r="BB448" t="inlineStr">
        <is>
          <t>9780205153268</t>
        </is>
      </c>
      <c r="BC448" t="inlineStr">
        <is>
          <t>32285001941193</t>
        </is>
      </c>
      <c r="BD448" t="inlineStr">
        <is>
          <t>893232772</t>
        </is>
      </c>
    </row>
    <row r="449">
      <c r="A449" t="inlineStr">
        <is>
          <t>No</t>
        </is>
      </c>
      <c r="B449" t="inlineStr">
        <is>
          <t>HM251 .S671149 1994</t>
        </is>
      </c>
      <c r="C449" t="inlineStr">
        <is>
          <t>0                      HM 0251000S  671149      1994</t>
        </is>
      </c>
      <c r="D449" t="inlineStr">
        <is>
          <t>Social cognition : impact on social psychology / edited by Patricia G. Devine, David L. Hamilton, Thomas M. Ostrom.</t>
        </is>
      </c>
      <c r="F449" t="inlineStr">
        <is>
          <t>No</t>
        </is>
      </c>
      <c r="G449" t="inlineStr">
        <is>
          <t>1</t>
        </is>
      </c>
      <c r="H449" t="inlineStr">
        <is>
          <t>No</t>
        </is>
      </c>
      <c r="I449" t="inlineStr">
        <is>
          <t>No</t>
        </is>
      </c>
      <c r="J449" t="inlineStr">
        <is>
          <t>0</t>
        </is>
      </c>
      <c r="L449" t="inlineStr">
        <is>
          <t>San Diego : Academic Press, c1994.</t>
        </is>
      </c>
      <c r="M449" t="inlineStr">
        <is>
          <t>1994</t>
        </is>
      </c>
      <c r="O449" t="inlineStr">
        <is>
          <t>eng</t>
        </is>
      </c>
      <c r="P449" t="inlineStr">
        <is>
          <t>cau</t>
        </is>
      </c>
      <c r="R449" t="inlineStr">
        <is>
          <t xml:space="preserve">HM </t>
        </is>
      </c>
      <c r="S449" t="n">
        <v>16</v>
      </c>
      <c r="T449" t="n">
        <v>16</v>
      </c>
      <c r="U449" t="inlineStr">
        <is>
          <t>2007-03-11</t>
        </is>
      </c>
      <c r="V449" t="inlineStr">
        <is>
          <t>2007-03-11</t>
        </is>
      </c>
      <c r="W449" t="inlineStr">
        <is>
          <t>1996-03-14</t>
        </is>
      </c>
      <c r="X449" t="inlineStr">
        <is>
          <t>1996-03-14</t>
        </is>
      </c>
      <c r="Y449" t="n">
        <v>385</v>
      </c>
      <c r="Z449" t="n">
        <v>253</v>
      </c>
      <c r="AA449" t="n">
        <v>253</v>
      </c>
      <c r="AB449" t="n">
        <v>3</v>
      </c>
      <c r="AC449" t="n">
        <v>3</v>
      </c>
      <c r="AD449" t="n">
        <v>15</v>
      </c>
      <c r="AE449" t="n">
        <v>15</v>
      </c>
      <c r="AF449" t="n">
        <v>5</v>
      </c>
      <c r="AG449" t="n">
        <v>5</v>
      </c>
      <c r="AH449" t="n">
        <v>4</v>
      </c>
      <c r="AI449" t="n">
        <v>4</v>
      </c>
      <c r="AJ449" t="n">
        <v>9</v>
      </c>
      <c r="AK449" t="n">
        <v>9</v>
      </c>
      <c r="AL449" t="n">
        <v>2</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HYPERLINK("https://creighton-primo.hosted.exlibrisgroup.com/primo-explore/search?tab=default_tab&amp;search_scope=EVERYTHING&amp;vid=01CRU&amp;lang=en_US&amp;offset=0&amp;query=any,contains,991002282039702656","Catalog Record")</f>
        <v/>
      </c>
      <c r="AT449">
        <f>HYPERLINK("http://www.worldcat.org/oclc/29594625","WorldCat Record")</f>
        <v/>
      </c>
      <c r="AU449" t="inlineStr">
        <is>
          <t>807809821:eng</t>
        </is>
      </c>
      <c r="AV449" t="inlineStr">
        <is>
          <t>29594625</t>
        </is>
      </c>
      <c r="AW449" t="inlineStr">
        <is>
          <t>991002282039702656</t>
        </is>
      </c>
      <c r="AX449" t="inlineStr">
        <is>
          <t>991002282039702656</t>
        </is>
      </c>
      <c r="AY449" t="inlineStr">
        <is>
          <t>2260646300002656</t>
        </is>
      </c>
      <c r="AZ449" t="inlineStr">
        <is>
          <t>BOOK</t>
        </is>
      </c>
      <c r="BB449" t="inlineStr">
        <is>
          <t>9780122136306</t>
        </is>
      </c>
      <c r="BC449" t="inlineStr">
        <is>
          <t>32285002142254</t>
        </is>
      </c>
      <c r="BD449" t="inlineStr">
        <is>
          <t>893615933</t>
        </is>
      </c>
    </row>
    <row r="450">
      <c r="A450" t="inlineStr">
        <is>
          <t>No</t>
        </is>
      </c>
      <c r="B450" t="inlineStr">
        <is>
          <t>HM251 .S68715 1995</t>
        </is>
      </c>
      <c r="C450" t="inlineStr">
        <is>
          <t>0                      HM 0251000S  68715       1995</t>
        </is>
      </c>
      <c r="D450" t="inlineStr">
        <is>
          <t>Sociocultural psychology : theory and practice of doing and knowing / edited by Laura M.W. Martin, Katherine Nelson, Ethel Tobach.</t>
        </is>
      </c>
      <c r="F450" t="inlineStr">
        <is>
          <t>No</t>
        </is>
      </c>
      <c r="G450" t="inlineStr">
        <is>
          <t>1</t>
        </is>
      </c>
      <c r="H450" t="inlineStr">
        <is>
          <t>No</t>
        </is>
      </c>
      <c r="I450" t="inlineStr">
        <is>
          <t>No</t>
        </is>
      </c>
      <c r="J450" t="inlineStr">
        <is>
          <t>0</t>
        </is>
      </c>
      <c r="L450" t="inlineStr">
        <is>
          <t>Cambridge [England] ; New York, NY, USA : Cambridge University Press, 1995.</t>
        </is>
      </c>
      <c r="M450" t="inlineStr">
        <is>
          <t>1995</t>
        </is>
      </c>
      <c r="O450" t="inlineStr">
        <is>
          <t>eng</t>
        </is>
      </c>
      <c r="P450" t="inlineStr">
        <is>
          <t>enk</t>
        </is>
      </c>
      <c r="Q450" t="inlineStr">
        <is>
          <t>Learning in doing</t>
        </is>
      </c>
      <c r="R450" t="inlineStr">
        <is>
          <t xml:space="preserve">HM </t>
        </is>
      </c>
      <c r="S450" t="n">
        <v>4</v>
      </c>
      <c r="T450" t="n">
        <v>4</v>
      </c>
      <c r="U450" t="inlineStr">
        <is>
          <t>2003-11-05</t>
        </is>
      </c>
      <c r="V450" t="inlineStr">
        <is>
          <t>2003-11-05</t>
        </is>
      </c>
      <c r="W450" t="inlineStr">
        <is>
          <t>1996-01-10</t>
        </is>
      </c>
      <c r="X450" t="inlineStr">
        <is>
          <t>1996-01-10</t>
        </is>
      </c>
      <c r="Y450" t="n">
        <v>331</v>
      </c>
      <c r="Z450" t="n">
        <v>240</v>
      </c>
      <c r="AA450" t="n">
        <v>261</v>
      </c>
      <c r="AB450" t="n">
        <v>2</v>
      </c>
      <c r="AC450" t="n">
        <v>2</v>
      </c>
      <c r="AD450" t="n">
        <v>16</v>
      </c>
      <c r="AE450" t="n">
        <v>16</v>
      </c>
      <c r="AF450" t="n">
        <v>5</v>
      </c>
      <c r="AG450" t="n">
        <v>5</v>
      </c>
      <c r="AH450" t="n">
        <v>3</v>
      </c>
      <c r="AI450" t="n">
        <v>3</v>
      </c>
      <c r="AJ450" t="n">
        <v>13</v>
      </c>
      <c r="AK450" t="n">
        <v>13</v>
      </c>
      <c r="AL450" t="n">
        <v>1</v>
      </c>
      <c r="AM450" t="n">
        <v>1</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HYPERLINK("https://creighton-primo.hosted.exlibrisgroup.com/primo-explore/search?tab=default_tab&amp;search_scope=EVERYTHING&amp;vid=01CRU&amp;lang=en_US&amp;offset=0&amp;query=any,contains,991002495449702656","Catalog Record")</f>
        <v/>
      </c>
      <c r="AT450">
        <f>HYPERLINK("http://www.worldcat.org/oclc/32467447","WorldCat Record")</f>
        <v/>
      </c>
      <c r="AU450" t="inlineStr">
        <is>
          <t>806516700:eng</t>
        </is>
      </c>
      <c r="AV450" t="inlineStr">
        <is>
          <t>32467447</t>
        </is>
      </c>
      <c r="AW450" t="inlineStr">
        <is>
          <t>991002495449702656</t>
        </is>
      </c>
      <c r="AX450" t="inlineStr">
        <is>
          <t>991002495449702656</t>
        </is>
      </c>
      <c r="AY450" t="inlineStr">
        <is>
          <t>2263020290002656</t>
        </is>
      </c>
      <c r="AZ450" t="inlineStr">
        <is>
          <t>BOOK</t>
        </is>
      </c>
      <c r="BB450" t="inlineStr">
        <is>
          <t>9780521462785</t>
        </is>
      </c>
      <c r="BC450" t="inlineStr">
        <is>
          <t>32285002115797</t>
        </is>
      </c>
      <c r="BD450" t="inlineStr">
        <is>
          <t>893226915</t>
        </is>
      </c>
    </row>
    <row r="451">
      <c r="A451" t="inlineStr">
        <is>
          <t>No</t>
        </is>
      </c>
      <c r="B451" t="inlineStr">
        <is>
          <t>HM251 .S755</t>
        </is>
      </c>
      <c r="C451" t="inlineStr">
        <is>
          <t>0                      HM 0251000S  755</t>
        </is>
      </c>
      <c r="D451" t="inlineStr">
        <is>
          <t>Positive social behavior and morality / Ervin Staub.</t>
        </is>
      </c>
      <c r="E451" t="inlineStr">
        <is>
          <t>V.1</t>
        </is>
      </c>
      <c r="F451" t="inlineStr">
        <is>
          <t>Yes</t>
        </is>
      </c>
      <c r="G451" t="inlineStr">
        <is>
          <t>1</t>
        </is>
      </c>
      <c r="H451" t="inlineStr">
        <is>
          <t>No</t>
        </is>
      </c>
      <c r="I451" t="inlineStr">
        <is>
          <t>No</t>
        </is>
      </c>
      <c r="J451" t="inlineStr">
        <is>
          <t>0</t>
        </is>
      </c>
      <c r="K451" t="inlineStr">
        <is>
          <t>Staub, Ervin.</t>
        </is>
      </c>
      <c r="L451" t="inlineStr">
        <is>
          <t>New York : Academic Press, 1978-79.</t>
        </is>
      </c>
      <c r="M451" t="inlineStr">
        <is>
          <t>1978</t>
        </is>
      </c>
      <c r="O451" t="inlineStr">
        <is>
          <t>eng</t>
        </is>
      </c>
      <c r="P451" t="inlineStr">
        <is>
          <t>nyu</t>
        </is>
      </c>
      <c r="R451" t="inlineStr">
        <is>
          <t xml:space="preserve">HM </t>
        </is>
      </c>
      <c r="S451" t="n">
        <v>10</v>
      </c>
      <c r="T451" t="n">
        <v>16</v>
      </c>
      <c r="U451" t="inlineStr">
        <is>
          <t>1997-03-07</t>
        </is>
      </c>
      <c r="V451" t="inlineStr">
        <is>
          <t>1998-03-25</t>
        </is>
      </c>
      <c r="W451" t="inlineStr">
        <is>
          <t>1992-09-03</t>
        </is>
      </c>
      <c r="X451" t="inlineStr">
        <is>
          <t>1992-09-03</t>
        </is>
      </c>
      <c r="Y451" t="n">
        <v>582</v>
      </c>
      <c r="Z451" t="n">
        <v>483</v>
      </c>
      <c r="AA451" t="n">
        <v>525</v>
      </c>
      <c r="AB451" t="n">
        <v>4</v>
      </c>
      <c r="AC451" t="n">
        <v>4</v>
      </c>
      <c r="AD451" t="n">
        <v>23</v>
      </c>
      <c r="AE451" t="n">
        <v>25</v>
      </c>
      <c r="AF451" t="n">
        <v>5</v>
      </c>
      <c r="AG451" t="n">
        <v>7</v>
      </c>
      <c r="AH451" t="n">
        <v>8</v>
      </c>
      <c r="AI451" t="n">
        <v>9</v>
      </c>
      <c r="AJ451" t="n">
        <v>15</v>
      </c>
      <c r="AK451" t="n">
        <v>15</v>
      </c>
      <c r="AL451" t="n">
        <v>2</v>
      </c>
      <c r="AM451" t="n">
        <v>2</v>
      </c>
      <c r="AN451" t="n">
        <v>0</v>
      </c>
      <c r="AO451" t="n">
        <v>0</v>
      </c>
      <c r="AP451" t="inlineStr">
        <is>
          <t>No</t>
        </is>
      </c>
      <c r="AQ451" t="inlineStr">
        <is>
          <t>Yes</t>
        </is>
      </c>
      <c r="AR451">
        <f>HYPERLINK("http://catalog.hathitrust.org/Record/007115260","HathiTrust Record")</f>
        <v/>
      </c>
      <c r="AS451">
        <f>HYPERLINK("https://creighton-primo.hosted.exlibrisgroup.com/primo-explore/search?tab=default_tab&amp;search_scope=EVERYTHING&amp;vid=01CRU&amp;lang=en_US&amp;offset=0&amp;query=any,contains,991004584539702656","Catalog Record")</f>
        <v/>
      </c>
      <c r="AT451">
        <f>HYPERLINK("http://www.worldcat.org/oclc/4077166","WorldCat Record")</f>
        <v/>
      </c>
      <c r="AU451" t="inlineStr">
        <is>
          <t>409829:eng</t>
        </is>
      </c>
      <c r="AV451" t="inlineStr">
        <is>
          <t>4077166</t>
        </is>
      </c>
      <c r="AW451" t="inlineStr">
        <is>
          <t>991004584539702656</t>
        </is>
      </c>
      <c r="AX451" t="inlineStr">
        <is>
          <t>991004584539702656</t>
        </is>
      </c>
      <c r="AY451" t="inlineStr">
        <is>
          <t>2262810130002656</t>
        </is>
      </c>
      <c r="AZ451" t="inlineStr">
        <is>
          <t>BOOK</t>
        </is>
      </c>
      <c r="BB451" t="inlineStr">
        <is>
          <t>9780126631012</t>
        </is>
      </c>
      <c r="BC451" t="inlineStr">
        <is>
          <t>32285001267755</t>
        </is>
      </c>
      <c r="BD451" t="inlineStr">
        <is>
          <t>893876276</t>
        </is>
      </c>
    </row>
    <row r="452">
      <c r="A452" t="inlineStr">
        <is>
          <t>No</t>
        </is>
      </c>
      <c r="B452" t="inlineStr">
        <is>
          <t>HM251 .S755</t>
        </is>
      </c>
      <c r="C452" t="inlineStr">
        <is>
          <t>0                      HM 0251000S  755</t>
        </is>
      </c>
      <c r="D452" t="inlineStr">
        <is>
          <t>Positive social behavior and morality / Ervin Staub.</t>
        </is>
      </c>
      <c r="E452" t="inlineStr">
        <is>
          <t>V.2</t>
        </is>
      </c>
      <c r="F452" t="inlineStr">
        <is>
          <t>Yes</t>
        </is>
      </c>
      <c r="G452" t="inlineStr">
        <is>
          <t>1</t>
        </is>
      </c>
      <c r="H452" t="inlineStr">
        <is>
          <t>No</t>
        </is>
      </c>
      <c r="I452" t="inlineStr">
        <is>
          <t>No</t>
        </is>
      </c>
      <c r="J452" t="inlineStr">
        <is>
          <t>0</t>
        </is>
      </c>
      <c r="K452" t="inlineStr">
        <is>
          <t>Staub, Ervin.</t>
        </is>
      </c>
      <c r="L452" t="inlineStr">
        <is>
          <t>New York : Academic Press, 1978-79.</t>
        </is>
      </c>
      <c r="M452" t="inlineStr">
        <is>
          <t>1978</t>
        </is>
      </c>
      <c r="O452" t="inlineStr">
        <is>
          <t>eng</t>
        </is>
      </c>
      <c r="P452" t="inlineStr">
        <is>
          <t>nyu</t>
        </is>
      </c>
      <c r="R452" t="inlineStr">
        <is>
          <t xml:space="preserve">HM </t>
        </is>
      </c>
      <c r="S452" t="n">
        <v>6</v>
      </c>
      <c r="T452" t="n">
        <v>16</v>
      </c>
      <c r="U452" t="inlineStr">
        <is>
          <t>1998-03-25</t>
        </is>
      </c>
      <c r="V452" t="inlineStr">
        <is>
          <t>1998-03-25</t>
        </is>
      </c>
      <c r="W452" t="inlineStr">
        <is>
          <t>1992-09-03</t>
        </is>
      </c>
      <c r="X452" t="inlineStr">
        <is>
          <t>1992-09-03</t>
        </is>
      </c>
      <c r="Y452" t="n">
        <v>582</v>
      </c>
      <c r="Z452" t="n">
        <v>483</v>
      </c>
      <c r="AA452" t="n">
        <v>525</v>
      </c>
      <c r="AB452" t="n">
        <v>4</v>
      </c>
      <c r="AC452" t="n">
        <v>4</v>
      </c>
      <c r="AD452" t="n">
        <v>23</v>
      </c>
      <c r="AE452" t="n">
        <v>25</v>
      </c>
      <c r="AF452" t="n">
        <v>5</v>
      </c>
      <c r="AG452" t="n">
        <v>7</v>
      </c>
      <c r="AH452" t="n">
        <v>8</v>
      </c>
      <c r="AI452" t="n">
        <v>9</v>
      </c>
      <c r="AJ452" t="n">
        <v>15</v>
      </c>
      <c r="AK452" t="n">
        <v>15</v>
      </c>
      <c r="AL452" t="n">
        <v>2</v>
      </c>
      <c r="AM452" t="n">
        <v>2</v>
      </c>
      <c r="AN452" t="n">
        <v>0</v>
      </c>
      <c r="AO452" t="n">
        <v>0</v>
      </c>
      <c r="AP452" t="inlineStr">
        <is>
          <t>No</t>
        </is>
      </c>
      <c r="AQ452" t="inlineStr">
        <is>
          <t>Yes</t>
        </is>
      </c>
      <c r="AR452">
        <f>HYPERLINK("http://catalog.hathitrust.org/Record/007115260","HathiTrust Record")</f>
        <v/>
      </c>
      <c r="AS452">
        <f>HYPERLINK("https://creighton-primo.hosted.exlibrisgroup.com/primo-explore/search?tab=default_tab&amp;search_scope=EVERYTHING&amp;vid=01CRU&amp;lang=en_US&amp;offset=0&amp;query=any,contains,991004584539702656","Catalog Record")</f>
        <v/>
      </c>
      <c r="AT452">
        <f>HYPERLINK("http://www.worldcat.org/oclc/4077166","WorldCat Record")</f>
        <v/>
      </c>
      <c r="AU452" t="inlineStr">
        <is>
          <t>409829:eng</t>
        </is>
      </c>
      <c r="AV452" t="inlineStr">
        <is>
          <t>4077166</t>
        </is>
      </c>
      <c r="AW452" t="inlineStr">
        <is>
          <t>991004584539702656</t>
        </is>
      </c>
      <c r="AX452" t="inlineStr">
        <is>
          <t>991004584539702656</t>
        </is>
      </c>
      <c r="AY452" t="inlineStr">
        <is>
          <t>2262810130002656</t>
        </is>
      </c>
      <c r="AZ452" t="inlineStr">
        <is>
          <t>BOOK</t>
        </is>
      </c>
      <c r="BB452" t="inlineStr">
        <is>
          <t>9780126631012</t>
        </is>
      </c>
      <c r="BC452" t="inlineStr">
        <is>
          <t>32285001267763</t>
        </is>
      </c>
      <c r="BD452" t="inlineStr">
        <is>
          <t>893869885</t>
        </is>
      </c>
    </row>
    <row r="453">
      <c r="A453" t="inlineStr">
        <is>
          <t>No</t>
        </is>
      </c>
      <c r="B453" t="inlineStr">
        <is>
          <t>HM251 .S818 1981</t>
        </is>
      </c>
      <c r="C453" t="inlineStr">
        <is>
          <t>0                      HM 0251000S  818         1981</t>
        </is>
      </c>
      <c r="D453" t="inlineStr">
        <is>
          <t>Social psychology through symbolic interaction / [compiled by] Gregory P. Stone, Harvey A. Farberman.</t>
        </is>
      </c>
      <c r="F453" t="inlineStr">
        <is>
          <t>No</t>
        </is>
      </c>
      <c r="G453" t="inlineStr">
        <is>
          <t>1</t>
        </is>
      </c>
      <c r="H453" t="inlineStr">
        <is>
          <t>No</t>
        </is>
      </c>
      <c r="I453" t="inlineStr">
        <is>
          <t>No</t>
        </is>
      </c>
      <c r="J453" t="inlineStr">
        <is>
          <t>0</t>
        </is>
      </c>
      <c r="K453" t="inlineStr">
        <is>
          <t>Stone, Gregory P. (Gregory Prentice), 1921-1981, compiler.</t>
        </is>
      </c>
      <c r="L453" t="inlineStr">
        <is>
          <t>New York : Wiley, c1981.</t>
        </is>
      </c>
      <c r="M453" t="inlineStr">
        <is>
          <t>1981</t>
        </is>
      </c>
      <c r="N453" t="inlineStr">
        <is>
          <t>2d ed.</t>
        </is>
      </c>
      <c r="O453" t="inlineStr">
        <is>
          <t>eng</t>
        </is>
      </c>
      <c r="P453" t="inlineStr">
        <is>
          <t>nyu</t>
        </is>
      </c>
      <c r="R453" t="inlineStr">
        <is>
          <t xml:space="preserve">HM </t>
        </is>
      </c>
      <c r="S453" t="n">
        <v>3</v>
      </c>
      <c r="T453" t="n">
        <v>3</v>
      </c>
      <c r="U453" t="inlineStr">
        <is>
          <t>1998-09-28</t>
        </is>
      </c>
      <c r="V453" t="inlineStr">
        <is>
          <t>1998-09-28</t>
        </is>
      </c>
      <c r="W453" t="inlineStr">
        <is>
          <t>1992-09-03</t>
        </is>
      </c>
      <c r="X453" t="inlineStr">
        <is>
          <t>1992-09-03</t>
        </is>
      </c>
      <c r="Y453" t="n">
        <v>180</v>
      </c>
      <c r="Z453" t="n">
        <v>134</v>
      </c>
      <c r="AA453" t="n">
        <v>422</v>
      </c>
      <c r="AB453" t="n">
        <v>3</v>
      </c>
      <c r="AC453" t="n">
        <v>4</v>
      </c>
      <c r="AD453" t="n">
        <v>6</v>
      </c>
      <c r="AE453" t="n">
        <v>15</v>
      </c>
      <c r="AF453" t="n">
        <v>0</v>
      </c>
      <c r="AG453" t="n">
        <v>4</v>
      </c>
      <c r="AH453" t="n">
        <v>2</v>
      </c>
      <c r="AI453" t="n">
        <v>5</v>
      </c>
      <c r="AJ453" t="n">
        <v>2</v>
      </c>
      <c r="AK453" t="n">
        <v>8</v>
      </c>
      <c r="AL453" t="n">
        <v>2</v>
      </c>
      <c r="AM453" t="n">
        <v>3</v>
      </c>
      <c r="AN453" t="n">
        <v>0</v>
      </c>
      <c r="AO453" t="n">
        <v>0</v>
      </c>
      <c r="AP453" t="inlineStr">
        <is>
          <t>No</t>
        </is>
      </c>
      <c r="AQ453" t="inlineStr">
        <is>
          <t>Yes</t>
        </is>
      </c>
      <c r="AR453">
        <f>HYPERLINK("http://catalog.hathitrust.org/Record/000855708","HathiTrust Record")</f>
        <v/>
      </c>
      <c r="AS453">
        <f>HYPERLINK("https://creighton-primo.hosted.exlibrisgroup.com/primo-explore/search?tab=default_tab&amp;search_scope=EVERYTHING&amp;vid=01CRU&amp;lang=en_US&amp;offset=0&amp;query=any,contains,991005010619702656","Catalog Record")</f>
        <v/>
      </c>
      <c r="AT453">
        <f>HYPERLINK("http://www.worldcat.org/oclc/6602693","WorldCat Record")</f>
        <v/>
      </c>
      <c r="AU453" t="inlineStr">
        <is>
          <t>398807:eng</t>
        </is>
      </c>
      <c r="AV453" t="inlineStr">
        <is>
          <t>6602693</t>
        </is>
      </c>
      <c r="AW453" t="inlineStr">
        <is>
          <t>991005010619702656</t>
        </is>
      </c>
      <c r="AX453" t="inlineStr">
        <is>
          <t>991005010619702656</t>
        </is>
      </c>
      <c r="AY453" t="inlineStr">
        <is>
          <t>2255618950002656</t>
        </is>
      </c>
      <c r="AZ453" t="inlineStr">
        <is>
          <t>BOOK</t>
        </is>
      </c>
      <c r="BC453" t="inlineStr">
        <is>
          <t>32285001267771</t>
        </is>
      </c>
      <c r="BD453" t="inlineStr">
        <is>
          <t>893713314</t>
        </is>
      </c>
    </row>
    <row r="454">
      <c r="A454" t="inlineStr">
        <is>
          <t>No</t>
        </is>
      </c>
      <c r="B454" t="inlineStr">
        <is>
          <t>HM251 .S8369 1992</t>
        </is>
      </c>
      <c r="C454" t="inlineStr">
        <is>
          <t>0                      HM 0251000S  8369        1992</t>
        </is>
      </c>
      <c r="D454" t="inlineStr">
        <is>
          <t>Investigating subjectivity : research on lived experience / Carolyn Ellis, Michael G. Flaherty, editors.</t>
        </is>
      </c>
      <c r="F454" t="inlineStr">
        <is>
          <t>No</t>
        </is>
      </c>
      <c r="G454" t="inlineStr">
        <is>
          <t>1</t>
        </is>
      </c>
      <c r="H454" t="inlineStr">
        <is>
          <t>No</t>
        </is>
      </c>
      <c r="I454" t="inlineStr">
        <is>
          <t>No</t>
        </is>
      </c>
      <c r="J454" t="inlineStr">
        <is>
          <t>0</t>
        </is>
      </c>
      <c r="L454" t="inlineStr">
        <is>
          <t>Newbury Park : Sage Publications, c1992.</t>
        </is>
      </c>
      <c r="M454" t="inlineStr">
        <is>
          <t>1992</t>
        </is>
      </c>
      <c r="O454" t="inlineStr">
        <is>
          <t>eng</t>
        </is>
      </c>
      <c r="P454" t="inlineStr">
        <is>
          <t>cau</t>
        </is>
      </c>
      <c r="Q454" t="inlineStr">
        <is>
          <t>Sage focus editions ; 139</t>
        </is>
      </c>
      <c r="R454" t="inlineStr">
        <is>
          <t xml:space="preserve">HM </t>
        </is>
      </c>
      <c r="S454" t="n">
        <v>7</v>
      </c>
      <c r="T454" t="n">
        <v>7</v>
      </c>
      <c r="U454" t="inlineStr">
        <is>
          <t>2009-11-11</t>
        </is>
      </c>
      <c r="V454" t="inlineStr">
        <is>
          <t>2009-11-11</t>
        </is>
      </c>
      <c r="W454" t="inlineStr">
        <is>
          <t>1992-11-09</t>
        </is>
      </c>
      <c r="X454" t="inlineStr">
        <is>
          <t>1992-11-09</t>
        </is>
      </c>
      <c r="Y454" t="n">
        <v>492</v>
      </c>
      <c r="Z454" t="n">
        <v>306</v>
      </c>
      <c r="AA454" t="n">
        <v>313</v>
      </c>
      <c r="AB454" t="n">
        <v>3</v>
      </c>
      <c r="AC454" t="n">
        <v>3</v>
      </c>
      <c r="AD454" t="n">
        <v>21</v>
      </c>
      <c r="AE454" t="n">
        <v>21</v>
      </c>
      <c r="AF454" t="n">
        <v>8</v>
      </c>
      <c r="AG454" t="n">
        <v>8</v>
      </c>
      <c r="AH454" t="n">
        <v>4</v>
      </c>
      <c r="AI454" t="n">
        <v>4</v>
      </c>
      <c r="AJ454" t="n">
        <v>12</v>
      </c>
      <c r="AK454" t="n">
        <v>12</v>
      </c>
      <c r="AL454" t="n">
        <v>2</v>
      </c>
      <c r="AM454" t="n">
        <v>2</v>
      </c>
      <c r="AN454" t="n">
        <v>0</v>
      </c>
      <c r="AO454" t="n">
        <v>0</v>
      </c>
      <c r="AP454" t="inlineStr">
        <is>
          <t>No</t>
        </is>
      </c>
      <c r="AQ454" t="inlineStr">
        <is>
          <t>Yes</t>
        </is>
      </c>
      <c r="AR454">
        <f>HYPERLINK("http://catalog.hathitrust.org/Record/002553184","HathiTrust Record")</f>
        <v/>
      </c>
      <c r="AS454">
        <f>HYPERLINK("https://creighton-primo.hosted.exlibrisgroup.com/primo-explore/search?tab=default_tab&amp;search_scope=EVERYTHING&amp;vid=01CRU&amp;lang=en_US&amp;offset=0&amp;query=any,contains,991001973809702656","Catalog Record")</f>
        <v/>
      </c>
      <c r="AT454">
        <f>HYPERLINK("http://www.worldcat.org/oclc/25026321","WorldCat Record")</f>
        <v/>
      </c>
      <c r="AU454" t="inlineStr">
        <is>
          <t>836856011:eng</t>
        </is>
      </c>
      <c r="AV454" t="inlineStr">
        <is>
          <t>25026321</t>
        </is>
      </c>
      <c r="AW454" t="inlineStr">
        <is>
          <t>991001973809702656</t>
        </is>
      </c>
      <c r="AX454" t="inlineStr">
        <is>
          <t>991001973809702656</t>
        </is>
      </c>
      <c r="AY454" t="inlineStr">
        <is>
          <t>2262185940002656</t>
        </is>
      </c>
      <c r="AZ454" t="inlineStr">
        <is>
          <t>BOOK</t>
        </is>
      </c>
      <c r="BB454" t="inlineStr">
        <is>
          <t>9780803944961</t>
        </is>
      </c>
      <c r="BC454" t="inlineStr">
        <is>
          <t>32285001361582</t>
        </is>
      </c>
      <c r="BD454" t="inlineStr">
        <is>
          <t>893256720</t>
        </is>
      </c>
    </row>
    <row r="455">
      <c r="A455" t="inlineStr">
        <is>
          <t>No</t>
        </is>
      </c>
      <c r="B455" t="inlineStr">
        <is>
          <t>HM251 .T677 1994</t>
        </is>
      </c>
      <c r="C455" t="inlineStr">
        <is>
          <t>0                      HM 0251000T  677         1994</t>
        </is>
      </c>
      <c r="D455" t="inlineStr">
        <is>
          <t>Culture and social behavior / Harry C. Triandis.</t>
        </is>
      </c>
      <c r="F455" t="inlineStr">
        <is>
          <t>No</t>
        </is>
      </c>
      <c r="G455" t="inlineStr">
        <is>
          <t>1</t>
        </is>
      </c>
      <c r="H455" t="inlineStr">
        <is>
          <t>No</t>
        </is>
      </c>
      <c r="I455" t="inlineStr">
        <is>
          <t>No</t>
        </is>
      </c>
      <c r="J455" t="inlineStr">
        <is>
          <t>0</t>
        </is>
      </c>
      <c r="K455" t="inlineStr">
        <is>
          <t>Triandis, Harry Charalambos, 1926-</t>
        </is>
      </c>
      <c r="L455" t="inlineStr">
        <is>
          <t>New York : McGraw-Hill, c1994.</t>
        </is>
      </c>
      <c r="M455" t="inlineStr">
        <is>
          <t>1994</t>
        </is>
      </c>
      <c r="O455" t="inlineStr">
        <is>
          <t>eng</t>
        </is>
      </c>
      <c r="P455" t="inlineStr">
        <is>
          <t>nyu</t>
        </is>
      </c>
      <c r="Q455" t="inlineStr">
        <is>
          <t>McGraw-Hill series in social psychology</t>
        </is>
      </c>
      <c r="R455" t="inlineStr">
        <is>
          <t xml:space="preserve">HM </t>
        </is>
      </c>
      <c r="S455" t="n">
        <v>29</v>
      </c>
      <c r="T455" t="n">
        <v>29</v>
      </c>
      <c r="U455" t="inlineStr">
        <is>
          <t>2008-12-05</t>
        </is>
      </c>
      <c r="V455" t="inlineStr">
        <is>
          <t>2008-12-05</t>
        </is>
      </c>
      <c r="W455" t="inlineStr">
        <is>
          <t>1994-06-07</t>
        </is>
      </c>
      <c r="X455" t="inlineStr">
        <is>
          <t>1994-06-07</t>
        </is>
      </c>
      <c r="Y455" t="n">
        <v>368</v>
      </c>
      <c r="Z455" t="n">
        <v>218</v>
      </c>
      <c r="AA455" t="n">
        <v>224</v>
      </c>
      <c r="AB455" t="n">
        <v>1</v>
      </c>
      <c r="AC455" t="n">
        <v>1</v>
      </c>
      <c r="AD455" t="n">
        <v>6</v>
      </c>
      <c r="AE455" t="n">
        <v>6</v>
      </c>
      <c r="AF455" t="n">
        <v>0</v>
      </c>
      <c r="AG455" t="n">
        <v>0</v>
      </c>
      <c r="AH455" t="n">
        <v>1</v>
      </c>
      <c r="AI455" t="n">
        <v>1</v>
      </c>
      <c r="AJ455" t="n">
        <v>5</v>
      </c>
      <c r="AK455" t="n">
        <v>5</v>
      </c>
      <c r="AL455" t="n">
        <v>0</v>
      </c>
      <c r="AM455" t="n">
        <v>0</v>
      </c>
      <c r="AN455" t="n">
        <v>0</v>
      </c>
      <c r="AO455" t="n">
        <v>0</v>
      </c>
      <c r="AP455" t="inlineStr">
        <is>
          <t>No</t>
        </is>
      </c>
      <c r="AQ455" t="inlineStr">
        <is>
          <t>Yes</t>
        </is>
      </c>
      <c r="AR455">
        <f>HYPERLINK("http://catalog.hathitrust.org/Record/007129439","HathiTrust Record")</f>
        <v/>
      </c>
      <c r="AS455">
        <f>HYPERLINK("https://creighton-primo.hosted.exlibrisgroup.com/primo-explore/search?tab=default_tab&amp;search_scope=EVERYTHING&amp;vid=01CRU&amp;lang=en_US&amp;offset=0&amp;query=any,contains,991002242929702656","Catalog Record")</f>
        <v/>
      </c>
      <c r="AT455">
        <f>HYPERLINK("http://www.worldcat.org/oclc/28928070","WorldCat Record")</f>
        <v/>
      </c>
      <c r="AU455" t="inlineStr">
        <is>
          <t>31313973:eng</t>
        </is>
      </c>
      <c r="AV455" t="inlineStr">
        <is>
          <t>28928070</t>
        </is>
      </c>
      <c r="AW455" t="inlineStr">
        <is>
          <t>991002242929702656</t>
        </is>
      </c>
      <c r="AX455" t="inlineStr">
        <is>
          <t>991002242929702656</t>
        </is>
      </c>
      <c r="AY455" t="inlineStr">
        <is>
          <t>2267600930002656</t>
        </is>
      </c>
      <c r="AZ455" t="inlineStr">
        <is>
          <t>BOOK</t>
        </is>
      </c>
      <c r="BB455" t="inlineStr">
        <is>
          <t>9780070651104</t>
        </is>
      </c>
      <c r="BC455" t="inlineStr">
        <is>
          <t>32285001921807</t>
        </is>
      </c>
      <c r="BD455" t="inlineStr">
        <is>
          <t>893510490</t>
        </is>
      </c>
    </row>
    <row r="456">
      <c r="A456" t="inlineStr">
        <is>
          <t>No</t>
        </is>
      </c>
      <c r="B456" t="inlineStr">
        <is>
          <t>HM251 .V7 1960</t>
        </is>
      </c>
      <c r="C456" t="inlineStr">
        <is>
          <t>0                      HM 0251000V  7           1960</t>
        </is>
      </c>
      <c r="D456" t="inlineStr">
        <is>
          <t>Some personality determinants of the effects of participation.</t>
        </is>
      </c>
      <c r="F456" t="inlineStr">
        <is>
          <t>No</t>
        </is>
      </c>
      <c r="G456" t="inlineStr">
        <is>
          <t>1</t>
        </is>
      </c>
      <c r="H456" t="inlineStr">
        <is>
          <t>No</t>
        </is>
      </c>
      <c r="I456" t="inlineStr">
        <is>
          <t>No</t>
        </is>
      </c>
      <c r="J456" t="inlineStr">
        <is>
          <t>0</t>
        </is>
      </c>
      <c r="K456" t="inlineStr">
        <is>
          <t>Vroom, Victor H. (Victor Harold), 1932-</t>
        </is>
      </c>
      <c r="L456" t="inlineStr">
        <is>
          <t>Englewood Cliffs, N.J. : Prentice-Hall, 1960.</t>
        </is>
      </c>
      <c r="M456" t="inlineStr">
        <is>
          <t>1960</t>
        </is>
      </c>
      <c r="O456" t="inlineStr">
        <is>
          <t>eng</t>
        </is>
      </c>
      <c r="P456" t="inlineStr">
        <is>
          <t>nju</t>
        </is>
      </c>
      <c r="Q456" t="inlineStr">
        <is>
          <t>Ford Foundation doctoral dissertation series</t>
        </is>
      </c>
      <c r="R456" t="inlineStr">
        <is>
          <t xml:space="preserve">HM </t>
        </is>
      </c>
      <c r="S456" t="n">
        <v>2</v>
      </c>
      <c r="T456" t="n">
        <v>2</v>
      </c>
      <c r="U456" t="inlineStr">
        <is>
          <t>1995-04-20</t>
        </is>
      </c>
      <c r="V456" t="inlineStr">
        <is>
          <t>1995-04-20</t>
        </is>
      </c>
      <c r="W456" t="inlineStr">
        <is>
          <t>1994-04-25</t>
        </is>
      </c>
      <c r="X456" t="inlineStr">
        <is>
          <t>1994-04-25</t>
        </is>
      </c>
      <c r="Y456" t="n">
        <v>348</v>
      </c>
      <c r="Z456" t="n">
        <v>317</v>
      </c>
      <c r="AA456" t="n">
        <v>400</v>
      </c>
      <c r="AB456" t="n">
        <v>3</v>
      </c>
      <c r="AC456" t="n">
        <v>4</v>
      </c>
      <c r="AD456" t="n">
        <v>24</v>
      </c>
      <c r="AE456" t="n">
        <v>28</v>
      </c>
      <c r="AF456" t="n">
        <v>7</v>
      </c>
      <c r="AG456" t="n">
        <v>8</v>
      </c>
      <c r="AH456" t="n">
        <v>5</v>
      </c>
      <c r="AI456" t="n">
        <v>7</v>
      </c>
      <c r="AJ456" t="n">
        <v>18</v>
      </c>
      <c r="AK456" t="n">
        <v>18</v>
      </c>
      <c r="AL456" t="n">
        <v>2</v>
      </c>
      <c r="AM456" t="n">
        <v>3</v>
      </c>
      <c r="AN456" t="n">
        <v>0</v>
      </c>
      <c r="AO456" t="n">
        <v>0</v>
      </c>
      <c r="AP456" t="inlineStr">
        <is>
          <t>No</t>
        </is>
      </c>
      <c r="AQ456" t="inlineStr">
        <is>
          <t>Yes</t>
        </is>
      </c>
      <c r="AR456">
        <f>HYPERLINK("http://catalog.hathitrust.org/Record/000965250","HathiTrust Record")</f>
        <v/>
      </c>
      <c r="AS456">
        <f>HYPERLINK("https://creighton-primo.hosted.exlibrisgroup.com/primo-explore/search?tab=default_tab&amp;search_scope=EVERYTHING&amp;vid=01CRU&amp;lang=en_US&amp;offset=0&amp;query=any,contains,991001990099702656","Catalog Record")</f>
        <v/>
      </c>
      <c r="AT456">
        <f>HYPERLINK("http://www.worldcat.org/oclc/255162","WorldCat Record")</f>
        <v/>
      </c>
      <c r="AU456" t="inlineStr">
        <is>
          <t>1351426:eng</t>
        </is>
      </c>
      <c r="AV456" t="inlineStr">
        <is>
          <t>255162</t>
        </is>
      </c>
      <c r="AW456" t="inlineStr">
        <is>
          <t>991001990099702656</t>
        </is>
      </c>
      <c r="AX456" t="inlineStr">
        <is>
          <t>991001990099702656</t>
        </is>
      </c>
      <c r="AY456" t="inlineStr">
        <is>
          <t>2270903780002656</t>
        </is>
      </c>
      <c r="AZ456" t="inlineStr">
        <is>
          <t>BOOK</t>
        </is>
      </c>
      <c r="BC456" t="inlineStr">
        <is>
          <t>32285001890960</t>
        </is>
      </c>
      <c r="BD456" t="inlineStr">
        <is>
          <t>893427084</t>
        </is>
      </c>
    </row>
    <row r="457">
      <c r="A457" t="inlineStr">
        <is>
          <t>No</t>
        </is>
      </c>
      <c r="B457" t="inlineStr">
        <is>
          <t>HM251 .W78 1977</t>
        </is>
      </c>
      <c r="C457" t="inlineStr">
        <is>
          <t>0                      HM 0251000W  78          1977</t>
        </is>
      </c>
      <c r="D457" t="inlineStr">
        <is>
          <t>Social psychology / Lawrence S. Wrightsman, in collaboration with Stuart Oskamp ... [et al.].</t>
        </is>
      </c>
      <c r="F457" t="inlineStr">
        <is>
          <t>No</t>
        </is>
      </c>
      <c r="G457" t="inlineStr">
        <is>
          <t>1</t>
        </is>
      </c>
      <c r="H457" t="inlineStr">
        <is>
          <t>No</t>
        </is>
      </c>
      <c r="I457" t="inlineStr">
        <is>
          <t>No</t>
        </is>
      </c>
      <c r="J457" t="inlineStr">
        <is>
          <t>0</t>
        </is>
      </c>
      <c r="K457" t="inlineStr">
        <is>
          <t>Wrightsman, Lawrence S.</t>
        </is>
      </c>
      <c r="L457" t="inlineStr">
        <is>
          <t>Monterey, Calif. : Brooks/Cole Pub. Co., c1977.</t>
        </is>
      </c>
      <c r="M457" t="inlineStr">
        <is>
          <t>1977</t>
        </is>
      </c>
      <c r="N457" t="inlineStr">
        <is>
          <t>2d ed.</t>
        </is>
      </c>
      <c r="O457" t="inlineStr">
        <is>
          <t>eng</t>
        </is>
      </c>
      <c r="P457" t="inlineStr">
        <is>
          <t>cau</t>
        </is>
      </c>
      <c r="R457" t="inlineStr">
        <is>
          <t xml:space="preserve">HM </t>
        </is>
      </c>
      <c r="S457" t="n">
        <v>2</v>
      </c>
      <c r="T457" t="n">
        <v>2</v>
      </c>
      <c r="U457" t="inlineStr">
        <is>
          <t>2001-10-22</t>
        </is>
      </c>
      <c r="V457" t="inlineStr">
        <is>
          <t>2001-10-22</t>
        </is>
      </c>
      <c r="W457" t="inlineStr">
        <is>
          <t>1997-07-31</t>
        </is>
      </c>
      <c r="X457" t="inlineStr">
        <is>
          <t>1997-07-31</t>
        </is>
      </c>
      <c r="Y457" t="n">
        <v>210</v>
      </c>
      <c r="Z457" t="n">
        <v>128</v>
      </c>
      <c r="AA457" t="n">
        <v>149</v>
      </c>
      <c r="AB457" t="n">
        <v>1</v>
      </c>
      <c r="AC457" t="n">
        <v>1</v>
      </c>
      <c r="AD457" t="n">
        <v>3</v>
      </c>
      <c r="AE457" t="n">
        <v>3</v>
      </c>
      <c r="AF457" t="n">
        <v>1</v>
      </c>
      <c r="AG457" t="n">
        <v>1</v>
      </c>
      <c r="AH457" t="n">
        <v>1</v>
      </c>
      <c r="AI457" t="n">
        <v>1</v>
      </c>
      <c r="AJ457" t="n">
        <v>3</v>
      </c>
      <c r="AK457" t="n">
        <v>3</v>
      </c>
      <c r="AL457" t="n">
        <v>0</v>
      </c>
      <c r="AM457" t="n">
        <v>0</v>
      </c>
      <c r="AN457" t="n">
        <v>0</v>
      </c>
      <c r="AO457" t="n">
        <v>0</v>
      </c>
      <c r="AP457" t="inlineStr">
        <is>
          <t>No</t>
        </is>
      </c>
      <c r="AQ457" t="inlineStr">
        <is>
          <t>Yes</t>
        </is>
      </c>
      <c r="AR457">
        <f>HYPERLINK("http://catalog.hathitrust.org/Record/000172203","HathiTrust Record")</f>
        <v/>
      </c>
      <c r="AS457">
        <f>HYPERLINK("https://creighton-primo.hosted.exlibrisgroup.com/primo-explore/search?tab=default_tab&amp;search_scope=EVERYTHING&amp;vid=01CRU&amp;lang=en_US&amp;offset=0&amp;query=any,contains,991004233299702656","Catalog Record")</f>
        <v/>
      </c>
      <c r="AT457">
        <f>HYPERLINK("http://www.worldcat.org/oclc/2756010","WorldCat Record")</f>
        <v/>
      </c>
      <c r="AU457" t="inlineStr">
        <is>
          <t>3373006484:eng</t>
        </is>
      </c>
      <c r="AV457" t="inlineStr">
        <is>
          <t>2756010</t>
        </is>
      </c>
      <c r="AW457" t="inlineStr">
        <is>
          <t>991004233299702656</t>
        </is>
      </c>
      <c r="AX457" t="inlineStr">
        <is>
          <t>991004233299702656</t>
        </is>
      </c>
      <c r="AY457" t="inlineStr">
        <is>
          <t>2260689740002656</t>
        </is>
      </c>
      <c r="AZ457" t="inlineStr">
        <is>
          <t>BOOK</t>
        </is>
      </c>
      <c r="BB457" t="inlineStr">
        <is>
          <t>9780818501906</t>
        </is>
      </c>
      <c r="BC457" t="inlineStr">
        <is>
          <t>32285003018016</t>
        </is>
      </c>
      <c r="BD457" t="inlineStr">
        <is>
          <t>893331345</t>
        </is>
      </c>
    </row>
    <row r="458">
      <c r="A458" t="inlineStr">
        <is>
          <t>No</t>
        </is>
      </c>
      <c r="B458" t="inlineStr">
        <is>
          <t>HM251 .Z29</t>
        </is>
      </c>
      <c r="C458" t="inlineStr">
        <is>
          <t>0                      HM 0251000Z  29</t>
        </is>
      </c>
      <c r="D458" t="inlineStr">
        <is>
          <t>Social psychology : an experimental approach / [by] Robert B. Zajonc.</t>
        </is>
      </c>
      <c r="F458" t="inlineStr">
        <is>
          <t>No</t>
        </is>
      </c>
      <c r="G458" t="inlineStr">
        <is>
          <t>1</t>
        </is>
      </c>
      <c r="H458" t="inlineStr">
        <is>
          <t>No</t>
        </is>
      </c>
      <c r="I458" t="inlineStr">
        <is>
          <t>No</t>
        </is>
      </c>
      <c r="J458" t="inlineStr">
        <is>
          <t>0</t>
        </is>
      </c>
      <c r="K458" t="inlineStr">
        <is>
          <t>Zajonc, Robert B. (Robert Boleslaw), 1923-2008.</t>
        </is>
      </c>
      <c r="L458" t="inlineStr">
        <is>
          <t>Belmont, Calif. : Wadsworth Pub. Co., [1966]</t>
        </is>
      </c>
      <c r="M458" t="inlineStr">
        <is>
          <t>1966</t>
        </is>
      </c>
      <c r="O458" t="inlineStr">
        <is>
          <t>eng</t>
        </is>
      </c>
      <c r="P458" t="inlineStr">
        <is>
          <t>cau</t>
        </is>
      </c>
      <c r="Q458" t="inlineStr">
        <is>
          <t>Basic concepts in psychology series</t>
        </is>
      </c>
      <c r="R458" t="inlineStr">
        <is>
          <t xml:space="preserve">HM </t>
        </is>
      </c>
      <c r="S458" t="n">
        <v>2</v>
      </c>
      <c r="T458" t="n">
        <v>2</v>
      </c>
      <c r="U458" t="inlineStr">
        <is>
          <t>2005-09-19</t>
        </is>
      </c>
      <c r="V458" t="inlineStr">
        <is>
          <t>2005-09-19</t>
        </is>
      </c>
      <c r="W458" t="inlineStr">
        <is>
          <t>1993-11-09</t>
        </is>
      </c>
      <c r="X458" t="inlineStr">
        <is>
          <t>1993-11-09</t>
        </is>
      </c>
      <c r="Y458" t="n">
        <v>444</v>
      </c>
      <c r="Z458" t="n">
        <v>334</v>
      </c>
      <c r="AA458" t="n">
        <v>365</v>
      </c>
      <c r="AB458" t="n">
        <v>2</v>
      </c>
      <c r="AC458" t="n">
        <v>2</v>
      </c>
      <c r="AD458" t="n">
        <v>14</v>
      </c>
      <c r="AE458" t="n">
        <v>14</v>
      </c>
      <c r="AF458" t="n">
        <v>6</v>
      </c>
      <c r="AG458" t="n">
        <v>6</v>
      </c>
      <c r="AH458" t="n">
        <v>2</v>
      </c>
      <c r="AI458" t="n">
        <v>2</v>
      </c>
      <c r="AJ458" t="n">
        <v>9</v>
      </c>
      <c r="AK458" t="n">
        <v>9</v>
      </c>
      <c r="AL458" t="n">
        <v>1</v>
      </c>
      <c r="AM458" t="n">
        <v>1</v>
      </c>
      <c r="AN458" t="n">
        <v>0</v>
      </c>
      <c r="AO458" t="n">
        <v>0</v>
      </c>
      <c r="AP458" t="inlineStr">
        <is>
          <t>No</t>
        </is>
      </c>
      <c r="AQ458" t="inlineStr">
        <is>
          <t>Yes</t>
        </is>
      </c>
      <c r="AR458">
        <f>HYPERLINK("http://catalog.hathitrust.org/Record/000973801","HathiTrust Record")</f>
        <v/>
      </c>
      <c r="AS458">
        <f>HYPERLINK("https://creighton-primo.hosted.exlibrisgroup.com/primo-explore/search?tab=default_tab&amp;search_scope=EVERYTHING&amp;vid=01CRU&amp;lang=en_US&amp;offset=0&amp;query=any,contains,991001161149702656","Catalog Record")</f>
        <v/>
      </c>
      <c r="AT458">
        <f>HYPERLINK("http://www.worldcat.org/oclc/186392","WorldCat Record")</f>
        <v/>
      </c>
      <c r="AU458" t="inlineStr">
        <is>
          <t>197890441:eng</t>
        </is>
      </c>
      <c r="AV458" t="inlineStr">
        <is>
          <t>186392</t>
        </is>
      </c>
      <c r="AW458" t="inlineStr">
        <is>
          <t>991001161149702656</t>
        </is>
      </c>
      <c r="AX458" t="inlineStr">
        <is>
          <t>991001161149702656</t>
        </is>
      </c>
      <c r="AY458" t="inlineStr">
        <is>
          <t>2269450220002656</t>
        </is>
      </c>
      <c r="AZ458" t="inlineStr">
        <is>
          <t>BOOK</t>
        </is>
      </c>
      <c r="BC458" t="inlineStr">
        <is>
          <t>32285001797702</t>
        </is>
      </c>
      <c r="BD458" t="inlineStr">
        <is>
          <t>893414006</t>
        </is>
      </c>
    </row>
    <row r="459">
      <c r="A459" t="inlineStr">
        <is>
          <t>No</t>
        </is>
      </c>
      <c r="B459" t="inlineStr">
        <is>
          <t>HM258 .B67</t>
        </is>
      </c>
      <c r="C459" t="inlineStr">
        <is>
          <t>0                      HM 0258000B  67</t>
        </is>
      </c>
      <c r="D459" t="inlineStr">
        <is>
          <t>The rhetoric of nonverbal communication : readings / [compiled by] Haig A. Bosmajian.</t>
        </is>
      </c>
      <c r="F459" t="inlineStr">
        <is>
          <t>No</t>
        </is>
      </c>
      <c r="G459" t="inlineStr">
        <is>
          <t>1</t>
        </is>
      </c>
      <c r="H459" t="inlineStr">
        <is>
          <t>No</t>
        </is>
      </c>
      <c r="I459" t="inlineStr">
        <is>
          <t>No</t>
        </is>
      </c>
      <c r="J459" t="inlineStr">
        <is>
          <t>0</t>
        </is>
      </c>
      <c r="K459" t="inlineStr">
        <is>
          <t>Bosmajian, Haig A. compiler.</t>
        </is>
      </c>
      <c r="L459" t="inlineStr">
        <is>
          <t>Glenview, Ill. : Scott, Foresman, [1971]</t>
        </is>
      </c>
      <c r="M459" t="inlineStr">
        <is>
          <t>1971</t>
        </is>
      </c>
      <c r="O459" t="inlineStr">
        <is>
          <t>eng</t>
        </is>
      </c>
      <c r="P459" t="inlineStr">
        <is>
          <t>ilu</t>
        </is>
      </c>
      <c r="Q459" t="inlineStr">
        <is>
          <t>Scott, Foresman's college speech series</t>
        </is>
      </c>
      <c r="R459" t="inlineStr">
        <is>
          <t xml:space="preserve">HM </t>
        </is>
      </c>
      <c r="S459" t="n">
        <v>25</v>
      </c>
      <c r="T459" t="n">
        <v>25</v>
      </c>
      <c r="U459" t="inlineStr">
        <is>
          <t>2004-04-30</t>
        </is>
      </c>
      <c r="V459" t="inlineStr">
        <is>
          <t>2004-04-30</t>
        </is>
      </c>
      <c r="W459" t="inlineStr">
        <is>
          <t>1992-11-16</t>
        </is>
      </c>
      <c r="X459" t="inlineStr">
        <is>
          <t>1992-11-16</t>
        </is>
      </c>
      <c r="Y459" t="n">
        <v>469</v>
      </c>
      <c r="Z459" t="n">
        <v>404</v>
      </c>
      <c r="AA459" t="n">
        <v>407</v>
      </c>
      <c r="AB459" t="n">
        <v>5</v>
      </c>
      <c r="AC459" t="n">
        <v>5</v>
      </c>
      <c r="AD459" t="n">
        <v>23</v>
      </c>
      <c r="AE459" t="n">
        <v>23</v>
      </c>
      <c r="AF459" t="n">
        <v>10</v>
      </c>
      <c r="AG459" t="n">
        <v>10</v>
      </c>
      <c r="AH459" t="n">
        <v>3</v>
      </c>
      <c r="AI459" t="n">
        <v>3</v>
      </c>
      <c r="AJ459" t="n">
        <v>10</v>
      </c>
      <c r="AK459" t="n">
        <v>10</v>
      </c>
      <c r="AL459" t="n">
        <v>4</v>
      </c>
      <c r="AM459" t="n">
        <v>4</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HYPERLINK("https://creighton-primo.hosted.exlibrisgroup.com/primo-explore/search?tab=default_tab&amp;search_scope=EVERYTHING&amp;vid=01CRU&amp;lang=en_US&amp;offset=0&amp;query=any,contains,991000722979702656","Catalog Record")</f>
        <v/>
      </c>
      <c r="AT459">
        <f>HYPERLINK("http://www.worldcat.org/oclc/127038","WorldCat Record")</f>
        <v/>
      </c>
      <c r="AU459" t="inlineStr">
        <is>
          <t>191827628:eng</t>
        </is>
      </c>
      <c r="AV459" t="inlineStr">
        <is>
          <t>127038</t>
        </is>
      </c>
      <c r="AW459" t="inlineStr">
        <is>
          <t>991000722979702656</t>
        </is>
      </c>
      <c r="AX459" t="inlineStr">
        <is>
          <t>991000722979702656</t>
        </is>
      </c>
      <c r="AY459" t="inlineStr">
        <is>
          <t>2261030460002656</t>
        </is>
      </c>
      <c r="AZ459" t="inlineStr">
        <is>
          <t>BOOK</t>
        </is>
      </c>
      <c r="BC459" t="inlineStr">
        <is>
          <t>32285001364396</t>
        </is>
      </c>
      <c r="BD459" t="inlineStr">
        <is>
          <t>893438534</t>
        </is>
      </c>
    </row>
    <row r="460">
      <c r="A460" t="inlineStr">
        <is>
          <t>No</t>
        </is>
      </c>
      <c r="B460" t="inlineStr">
        <is>
          <t>HM258 .C678 1996</t>
        </is>
      </c>
      <c r="C460" t="inlineStr">
        <is>
          <t>0                      HM 0258000C  678         1996</t>
        </is>
      </c>
      <c r="D460" t="inlineStr">
        <is>
          <t>Information technologies and social orders / Carl J. Couch ; edited with an introduction by David R. Maines and Shing-Ling Chen.</t>
        </is>
      </c>
      <c r="F460" t="inlineStr">
        <is>
          <t>No</t>
        </is>
      </c>
      <c r="G460" t="inlineStr">
        <is>
          <t>1</t>
        </is>
      </c>
      <c r="H460" t="inlineStr">
        <is>
          <t>No</t>
        </is>
      </c>
      <c r="I460" t="inlineStr">
        <is>
          <t>No</t>
        </is>
      </c>
      <c r="J460" t="inlineStr">
        <is>
          <t>0</t>
        </is>
      </c>
      <c r="K460" t="inlineStr">
        <is>
          <t>Couch, Carl J.</t>
        </is>
      </c>
      <c r="L460" t="inlineStr">
        <is>
          <t>New York : Aldine de Gruyter, c1996.</t>
        </is>
      </c>
      <c r="M460" t="inlineStr">
        <is>
          <t>1996</t>
        </is>
      </c>
      <c r="O460" t="inlineStr">
        <is>
          <t>eng</t>
        </is>
      </c>
      <c r="P460" t="inlineStr">
        <is>
          <t>nyu</t>
        </is>
      </c>
      <c r="Q460" t="inlineStr">
        <is>
          <t>Communication and social order</t>
        </is>
      </c>
      <c r="R460" t="inlineStr">
        <is>
          <t xml:space="preserve">HM </t>
        </is>
      </c>
      <c r="S460" t="n">
        <v>4</v>
      </c>
      <c r="T460" t="n">
        <v>4</v>
      </c>
      <c r="U460" t="inlineStr">
        <is>
          <t>1999-12-03</t>
        </is>
      </c>
      <c r="V460" t="inlineStr">
        <is>
          <t>1999-12-03</t>
        </is>
      </c>
      <c r="W460" t="inlineStr">
        <is>
          <t>1997-04-15</t>
        </is>
      </c>
      <c r="X460" t="inlineStr">
        <is>
          <t>1997-04-15</t>
        </is>
      </c>
      <c r="Y460" t="n">
        <v>460</v>
      </c>
      <c r="Z460" t="n">
        <v>354</v>
      </c>
      <c r="AA460" t="n">
        <v>418</v>
      </c>
      <c r="AB460" t="n">
        <v>4</v>
      </c>
      <c r="AC460" t="n">
        <v>4</v>
      </c>
      <c r="AD460" t="n">
        <v>22</v>
      </c>
      <c r="AE460" t="n">
        <v>22</v>
      </c>
      <c r="AF460" t="n">
        <v>8</v>
      </c>
      <c r="AG460" t="n">
        <v>8</v>
      </c>
      <c r="AH460" t="n">
        <v>3</v>
      </c>
      <c r="AI460" t="n">
        <v>3</v>
      </c>
      <c r="AJ460" t="n">
        <v>12</v>
      </c>
      <c r="AK460" t="n">
        <v>12</v>
      </c>
      <c r="AL460" t="n">
        <v>3</v>
      </c>
      <c r="AM460" t="n">
        <v>3</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HYPERLINK("https://creighton-primo.hosted.exlibrisgroup.com/primo-explore/search?tab=default_tab&amp;search_scope=EVERYTHING&amp;vid=01CRU&amp;lang=en_US&amp;offset=0&amp;query=any,contains,991002632039702656","Catalog Record")</f>
        <v/>
      </c>
      <c r="AT460">
        <f>HYPERLINK("http://www.worldcat.org/oclc/34513237","WorldCat Record")</f>
        <v/>
      </c>
      <c r="AU460" t="inlineStr">
        <is>
          <t>39460559:eng</t>
        </is>
      </c>
      <c r="AV460" t="inlineStr">
        <is>
          <t>34513237</t>
        </is>
      </c>
      <c r="AW460" t="inlineStr">
        <is>
          <t>991002632039702656</t>
        </is>
      </c>
      <c r="AX460" t="inlineStr">
        <is>
          <t>991002632039702656</t>
        </is>
      </c>
      <c r="AY460" t="inlineStr">
        <is>
          <t>2255485030002656</t>
        </is>
      </c>
      <c r="AZ460" t="inlineStr">
        <is>
          <t>BOOK</t>
        </is>
      </c>
      <c r="BB460" t="inlineStr">
        <is>
          <t>9780202305158</t>
        </is>
      </c>
      <c r="BC460" t="inlineStr">
        <is>
          <t>32285002497153</t>
        </is>
      </c>
      <c r="BD460" t="inlineStr">
        <is>
          <t>893323164</t>
        </is>
      </c>
    </row>
    <row r="461">
      <c r="A461" t="inlineStr">
        <is>
          <t>No</t>
        </is>
      </c>
      <c r="B461" t="inlineStr">
        <is>
          <t>HM258 .C76 1988</t>
        </is>
      </c>
      <c r="C461" t="inlineStr">
        <is>
          <t>0                      HM 0258000C  76          1988</t>
        </is>
      </c>
      <c r="D461" t="inlineStr">
        <is>
          <t>Cross-cultural adaptation : current approaches / edited by Young Yun Kim, William B. Gudykunst.</t>
        </is>
      </c>
      <c r="F461" t="inlineStr">
        <is>
          <t>No</t>
        </is>
      </c>
      <c r="G461" t="inlineStr">
        <is>
          <t>1</t>
        </is>
      </c>
      <c r="H461" t="inlineStr">
        <is>
          <t>No</t>
        </is>
      </c>
      <c r="I461" t="inlineStr">
        <is>
          <t>No</t>
        </is>
      </c>
      <c r="J461" t="inlineStr">
        <is>
          <t>0</t>
        </is>
      </c>
      <c r="L461" t="inlineStr">
        <is>
          <t>Newbury Park, Calif. : Sage Publications ; [New York] : Published in cooperation with the Speech Communication Association, Commission on International and Intercultural Communication, c1988.</t>
        </is>
      </c>
      <c r="M461" t="inlineStr">
        <is>
          <t>1988</t>
        </is>
      </c>
      <c r="O461" t="inlineStr">
        <is>
          <t>eng</t>
        </is>
      </c>
      <c r="P461" t="inlineStr">
        <is>
          <t>cau</t>
        </is>
      </c>
      <c r="Q461" t="inlineStr">
        <is>
          <t>International and intercultural communication annual ; v. 11</t>
        </is>
      </c>
      <c r="R461" t="inlineStr">
        <is>
          <t xml:space="preserve">HM </t>
        </is>
      </c>
      <c r="S461" t="n">
        <v>14</v>
      </c>
      <c r="T461" t="n">
        <v>14</v>
      </c>
      <c r="U461" t="inlineStr">
        <is>
          <t>2002-03-08</t>
        </is>
      </c>
      <c r="V461" t="inlineStr">
        <is>
          <t>2002-03-08</t>
        </is>
      </c>
      <c r="W461" t="inlineStr">
        <is>
          <t>1992-04-27</t>
        </is>
      </c>
      <c r="X461" t="inlineStr">
        <is>
          <t>1992-04-27</t>
        </is>
      </c>
      <c r="Y461" t="n">
        <v>383</v>
      </c>
      <c r="Z461" t="n">
        <v>255</v>
      </c>
      <c r="AA461" t="n">
        <v>258</v>
      </c>
      <c r="AB461" t="n">
        <v>3</v>
      </c>
      <c r="AC461" t="n">
        <v>3</v>
      </c>
      <c r="AD461" t="n">
        <v>14</v>
      </c>
      <c r="AE461" t="n">
        <v>14</v>
      </c>
      <c r="AF461" t="n">
        <v>3</v>
      </c>
      <c r="AG461" t="n">
        <v>3</v>
      </c>
      <c r="AH461" t="n">
        <v>3</v>
      </c>
      <c r="AI461" t="n">
        <v>3</v>
      </c>
      <c r="AJ461" t="n">
        <v>10</v>
      </c>
      <c r="AK461" t="n">
        <v>10</v>
      </c>
      <c r="AL461" t="n">
        <v>2</v>
      </c>
      <c r="AM461" t="n">
        <v>2</v>
      </c>
      <c r="AN461" t="n">
        <v>0</v>
      </c>
      <c r="AO461" t="n">
        <v>0</v>
      </c>
      <c r="AP461" t="inlineStr">
        <is>
          <t>No</t>
        </is>
      </c>
      <c r="AQ461" t="inlineStr">
        <is>
          <t>Yes</t>
        </is>
      </c>
      <c r="AR461">
        <f>HYPERLINK("http://catalog.hathitrust.org/Record/000943257","HathiTrust Record")</f>
        <v/>
      </c>
      <c r="AS461">
        <f>HYPERLINK("https://creighton-primo.hosted.exlibrisgroup.com/primo-explore/search?tab=default_tab&amp;search_scope=EVERYTHING&amp;vid=01CRU&amp;lang=en_US&amp;offset=0&amp;query=any,contains,991001287459702656","Catalog Record")</f>
        <v/>
      </c>
      <c r="AT461">
        <f>HYPERLINK("http://www.worldcat.org/oclc/17971450","WorldCat Record")</f>
        <v/>
      </c>
      <c r="AU461" t="inlineStr">
        <is>
          <t>890136665:eng</t>
        </is>
      </c>
      <c r="AV461" t="inlineStr">
        <is>
          <t>17971450</t>
        </is>
      </c>
      <c r="AW461" t="inlineStr">
        <is>
          <t>991001287459702656</t>
        </is>
      </c>
      <c r="AX461" t="inlineStr">
        <is>
          <t>991001287459702656</t>
        </is>
      </c>
      <c r="AY461" t="inlineStr">
        <is>
          <t>2258541040002656</t>
        </is>
      </c>
      <c r="AZ461" t="inlineStr">
        <is>
          <t>BOOK</t>
        </is>
      </c>
      <c r="BB461" t="inlineStr">
        <is>
          <t>9780803930384</t>
        </is>
      </c>
      <c r="BC461" t="inlineStr">
        <is>
          <t>32285001071785</t>
        </is>
      </c>
      <c r="BD461" t="inlineStr">
        <is>
          <t>893346392</t>
        </is>
      </c>
    </row>
    <row r="462">
      <c r="A462" t="inlineStr">
        <is>
          <t>No</t>
        </is>
      </c>
      <c r="B462" t="inlineStr">
        <is>
          <t>HM258 .F47 1988</t>
        </is>
      </c>
      <c r="C462" t="inlineStr">
        <is>
          <t>0                      HM 0258000F  47          1988</t>
        </is>
      </c>
      <c r="D462" t="inlineStr">
        <is>
          <t>The end of conversation : the impact of mass media on modern society / Franco Ferrarotti.</t>
        </is>
      </c>
      <c r="F462" t="inlineStr">
        <is>
          <t>No</t>
        </is>
      </c>
      <c r="G462" t="inlineStr">
        <is>
          <t>1</t>
        </is>
      </c>
      <c r="H462" t="inlineStr">
        <is>
          <t>No</t>
        </is>
      </c>
      <c r="I462" t="inlineStr">
        <is>
          <t>No</t>
        </is>
      </c>
      <c r="J462" t="inlineStr">
        <is>
          <t>0</t>
        </is>
      </c>
      <c r="K462" t="inlineStr">
        <is>
          <t>Ferrarotti, Franco.</t>
        </is>
      </c>
      <c r="L462" t="inlineStr">
        <is>
          <t>New York : Greenwood Press, c1988.</t>
        </is>
      </c>
      <c r="M462" t="inlineStr">
        <is>
          <t>1988</t>
        </is>
      </c>
      <c r="O462" t="inlineStr">
        <is>
          <t>eng</t>
        </is>
      </c>
      <c r="P462" t="inlineStr">
        <is>
          <t>nyu</t>
        </is>
      </c>
      <c r="Q462" t="inlineStr">
        <is>
          <t>Contributions in sociology, 0084-9278 ; no. 71</t>
        </is>
      </c>
      <c r="R462" t="inlineStr">
        <is>
          <t xml:space="preserve">HM </t>
        </is>
      </c>
      <c r="S462" t="n">
        <v>8</v>
      </c>
      <c r="T462" t="n">
        <v>8</v>
      </c>
      <c r="U462" t="inlineStr">
        <is>
          <t>1996-03-10</t>
        </is>
      </c>
      <c r="V462" t="inlineStr">
        <is>
          <t>1996-03-10</t>
        </is>
      </c>
      <c r="W462" t="inlineStr">
        <is>
          <t>1992-09-03</t>
        </is>
      </c>
      <c r="X462" t="inlineStr">
        <is>
          <t>1992-09-03</t>
        </is>
      </c>
      <c r="Y462" t="n">
        <v>433</v>
      </c>
      <c r="Z462" t="n">
        <v>357</v>
      </c>
      <c r="AA462" t="n">
        <v>363</v>
      </c>
      <c r="AB462" t="n">
        <v>5</v>
      </c>
      <c r="AC462" t="n">
        <v>5</v>
      </c>
      <c r="AD462" t="n">
        <v>19</v>
      </c>
      <c r="AE462" t="n">
        <v>19</v>
      </c>
      <c r="AF462" t="n">
        <v>5</v>
      </c>
      <c r="AG462" t="n">
        <v>5</v>
      </c>
      <c r="AH462" t="n">
        <v>3</v>
      </c>
      <c r="AI462" t="n">
        <v>3</v>
      </c>
      <c r="AJ462" t="n">
        <v>8</v>
      </c>
      <c r="AK462" t="n">
        <v>8</v>
      </c>
      <c r="AL462" t="n">
        <v>4</v>
      </c>
      <c r="AM462" t="n">
        <v>4</v>
      </c>
      <c r="AN462" t="n">
        <v>1</v>
      </c>
      <c r="AO462" t="n">
        <v>1</v>
      </c>
      <c r="AP462" t="inlineStr">
        <is>
          <t>No</t>
        </is>
      </c>
      <c r="AQ462" t="inlineStr">
        <is>
          <t>No</t>
        </is>
      </c>
      <c r="AS462">
        <f>HYPERLINK("https://creighton-primo.hosted.exlibrisgroup.com/primo-explore/search?tab=default_tab&amp;search_scope=EVERYTHING&amp;vid=01CRU&amp;lang=en_US&amp;offset=0&amp;query=any,contains,991001144479702656","Catalog Record")</f>
        <v/>
      </c>
      <c r="AT462">
        <f>HYPERLINK("http://www.worldcat.org/oclc/16756873","WorldCat Record")</f>
        <v/>
      </c>
      <c r="AU462" t="inlineStr">
        <is>
          <t>13214821:eng</t>
        </is>
      </c>
      <c r="AV462" t="inlineStr">
        <is>
          <t>16756873</t>
        </is>
      </c>
      <c r="AW462" t="inlineStr">
        <is>
          <t>991001144479702656</t>
        </is>
      </c>
      <c r="AX462" t="inlineStr">
        <is>
          <t>991001144479702656</t>
        </is>
      </c>
      <c r="AY462" t="inlineStr">
        <is>
          <t>2262338110002656</t>
        </is>
      </c>
      <c r="AZ462" t="inlineStr">
        <is>
          <t>BOOK</t>
        </is>
      </c>
      <c r="BB462" t="inlineStr">
        <is>
          <t>9780313260872</t>
        </is>
      </c>
      <c r="BC462" t="inlineStr">
        <is>
          <t>32285001268100</t>
        </is>
      </c>
      <c r="BD462" t="inlineStr">
        <is>
          <t>893346287</t>
        </is>
      </c>
    </row>
    <row r="463">
      <c r="A463" t="inlineStr">
        <is>
          <t>No</t>
        </is>
      </c>
      <c r="B463" t="inlineStr">
        <is>
          <t>HM258 .H29</t>
        </is>
      </c>
      <c r="C463" t="inlineStr">
        <is>
          <t>0                      HM 0258000H  29</t>
        </is>
      </c>
      <c r="D463" t="inlineStr">
        <is>
          <t>Beyond culture / Edward T. Hall.</t>
        </is>
      </c>
      <c r="F463" t="inlineStr">
        <is>
          <t>No</t>
        </is>
      </c>
      <c r="G463" t="inlineStr">
        <is>
          <t>1</t>
        </is>
      </c>
      <c r="H463" t="inlineStr">
        <is>
          <t>No</t>
        </is>
      </c>
      <c r="I463" t="inlineStr">
        <is>
          <t>No</t>
        </is>
      </c>
      <c r="J463" t="inlineStr">
        <is>
          <t>0</t>
        </is>
      </c>
      <c r="K463" t="inlineStr">
        <is>
          <t>Hall, Edward T. (Edward Twitchell), 1914-2009.</t>
        </is>
      </c>
      <c r="L463" t="inlineStr">
        <is>
          <t>Garden City, N.Y. : Anchor Press, 1976.</t>
        </is>
      </c>
      <c r="M463" t="inlineStr">
        <is>
          <t>1976</t>
        </is>
      </c>
      <c r="N463" t="inlineStr">
        <is>
          <t>1st ed.</t>
        </is>
      </c>
      <c r="O463" t="inlineStr">
        <is>
          <t>eng</t>
        </is>
      </c>
      <c r="P463" t="inlineStr">
        <is>
          <t>nyu</t>
        </is>
      </c>
      <c r="R463" t="inlineStr">
        <is>
          <t xml:space="preserve">HM </t>
        </is>
      </c>
      <c r="S463" t="n">
        <v>21</v>
      </c>
      <c r="T463" t="n">
        <v>21</v>
      </c>
      <c r="U463" t="inlineStr">
        <is>
          <t>2010-09-08</t>
        </is>
      </c>
      <c r="V463" t="inlineStr">
        <is>
          <t>2010-09-08</t>
        </is>
      </c>
      <c r="W463" t="inlineStr">
        <is>
          <t>1992-09-30</t>
        </is>
      </c>
      <c r="X463" t="inlineStr">
        <is>
          <t>1992-09-30</t>
        </is>
      </c>
      <c r="Y463" t="n">
        <v>1066</v>
      </c>
      <c r="Z463" t="n">
        <v>959</v>
      </c>
      <c r="AA463" t="n">
        <v>1626</v>
      </c>
      <c r="AB463" t="n">
        <v>8</v>
      </c>
      <c r="AC463" t="n">
        <v>14</v>
      </c>
      <c r="AD463" t="n">
        <v>33</v>
      </c>
      <c r="AE463" t="n">
        <v>53</v>
      </c>
      <c r="AF463" t="n">
        <v>13</v>
      </c>
      <c r="AG463" t="n">
        <v>21</v>
      </c>
      <c r="AH463" t="n">
        <v>9</v>
      </c>
      <c r="AI463" t="n">
        <v>10</v>
      </c>
      <c r="AJ463" t="n">
        <v>14</v>
      </c>
      <c r="AK463" t="n">
        <v>23</v>
      </c>
      <c r="AL463" t="n">
        <v>4</v>
      </c>
      <c r="AM463" t="n">
        <v>9</v>
      </c>
      <c r="AN463" t="n">
        <v>0</v>
      </c>
      <c r="AO463" t="n">
        <v>1</v>
      </c>
      <c r="AP463" t="inlineStr">
        <is>
          <t>No</t>
        </is>
      </c>
      <c r="AQ463" t="inlineStr">
        <is>
          <t>Yes</t>
        </is>
      </c>
      <c r="AR463">
        <f>HYPERLINK("http://catalog.hathitrust.org/Record/000702850","HathiTrust Record")</f>
        <v/>
      </c>
      <c r="AS463">
        <f>HYPERLINK("https://creighton-primo.hosted.exlibrisgroup.com/primo-explore/search?tab=default_tab&amp;search_scope=EVERYTHING&amp;vid=01CRU&amp;lang=en_US&amp;offset=0&amp;query=any,contains,991003898399702656","Catalog Record")</f>
        <v/>
      </c>
      <c r="AT463">
        <f>HYPERLINK("http://www.worldcat.org/oclc/1818029","WorldCat Record")</f>
        <v/>
      </c>
      <c r="AU463" t="inlineStr">
        <is>
          <t>316519908:eng</t>
        </is>
      </c>
      <c r="AV463" t="inlineStr">
        <is>
          <t>1818029</t>
        </is>
      </c>
      <c r="AW463" t="inlineStr">
        <is>
          <t>991003898399702656</t>
        </is>
      </c>
      <c r="AX463" t="inlineStr">
        <is>
          <t>991003898399702656</t>
        </is>
      </c>
      <c r="AY463" t="inlineStr">
        <is>
          <t>2267558250002656</t>
        </is>
      </c>
      <c r="AZ463" t="inlineStr">
        <is>
          <t>BOOK</t>
        </is>
      </c>
      <c r="BB463" t="inlineStr">
        <is>
          <t>9780385087476</t>
        </is>
      </c>
      <c r="BC463" t="inlineStr">
        <is>
          <t>32285001323251</t>
        </is>
      </c>
      <c r="BD463" t="inlineStr">
        <is>
          <t>893800348</t>
        </is>
      </c>
    </row>
    <row r="464">
      <c r="A464" t="inlineStr">
        <is>
          <t>No</t>
        </is>
      </c>
      <c r="B464" t="inlineStr">
        <is>
          <t>HM258 .H354</t>
        </is>
      </c>
      <c r="C464" t="inlineStr">
        <is>
          <t>0                      HM 0258000H  354</t>
        </is>
      </c>
      <c r="D464" t="inlineStr">
        <is>
          <t>Handbook of intercultural communication / editors, Molefi Kete Asante, Eileen Newmark, Cecil A. Blake.</t>
        </is>
      </c>
      <c r="F464" t="inlineStr">
        <is>
          <t>No</t>
        </is>
      </c>
      <c r="G464" t="inlineStr">
        <is>
          <t>1</t>
        </is>
      </c>
      <c r="H464" t="inlineStr">
        <is>
          <t>No</t>
        </is>
      </c>
      <c r="I464" t="inlineStr">
        <is>
          <t>Yes</t>
        </is>
      </c>
      <c r="J464" t="inlineStr">
        <is>
          <t>0</t>
        </is>
      </c>
      <c r="L464" t="inlineStr">
        <is>
          <t>Beverly Hills : Sage Publications, c1979.</t>
        </is>
      </c>
      <c r="M464" t="inlineStr">
        <is>
          <t>1979</t>
        </is>
      </c>
      <c r="O464" t="inlineStr">
        <is>
          <t>eng</t>
        </is>
      </c>
      <c r="P464" t="inlineStr">
        <is>
          <t>cau</t>
        </is>
      </c>
      <c r="R464" t="inlineStr">
        <is>
          <t xml:space="preserve">HM </t>
        </is>
      </c>
      <c r="S464" t="n">
        <v>15</v>
      </c>
      <c r="T464" t="n">
        <v>15</v>
      </c>
      <c r="U464" t="inlineStr">
        <is>
          <t>2008-12-03</t>
        </is>
      </c>
      <c r="V464" t="inlineStr">
        <is>
          <t>2008-12-03</t>
        </is>
      </c>
      <c r="W464" t="inlineStr">
        <is>
          <t>1992-09-03</t>
        </is>
      </c>
      <c r="X464" t="inlineStr">
        <is>
          <t>1992-09-03</t>
        </is>
      </c>
      <c r="Y464" t="n">
        <v>636</v>
      </c>
      <c r="Z464" t="n">
        <v>473</v>
      </c>
      <c r="AA464" t="n">
        <v>893</v>
      </c>
      <c r="AB464" t="n">
        <v>5</v>
      </c>
      <c r="AC464" t="n">
        <v>8</v>
      </c>
      <c r="AD464" t="n">
        <v>23</v>
      </c>
      <c r="AE464" t="n">
        <v>48</v>
      </c>
      <c r="AF464" t="n">
        <v>11</v>
      </c>
      <c r="AG464" t="n">
        <v>22</v>
      </c>
      <c r="AH464" t="n">
        <v>4</v>
      </c>
      <c r="AI464" t="n">
        <v>11</v>
      </c>
      <c r="AJ464" t="n">
        <v>15</v>
      </c>
      <c r="AK464" t="n">
        <v>22</v>
      </c>
      <c r="AL464" t="n">
        <v>4</v>
      </c>
      <c r="AM464" t="n">
        <v>7</v>
      </c>
      <c r="AN464" t="n">
        <v>0</v>
      </c>
      <c r="AO464" t="n">
        <v>0</v>
      </c>
      <c r="AP464" t="inlineStr">
        <is>
          <t>No</t>
        </is>
      </c>
      <c r="AQ464" t="inlineStr">
        <is>
          <t>Yes</t>
        </is>
      </c>
      <c r="AR464">
        <f>HYPERLINK("http://catalog.hathitrust.org/Record/000131202","HathiTrust Record")</f>
        <v/>
      </c>
      <c r="AS464">
        <f>HYPERLINK("https://creighton-primo.hosted.exlibrisgroup.com/primo-explore/search?tab=default_tab&amp;search_scope=EVERYTHING&amp;vid=01CRU&amp;lang=en_US&amp;offset=0&amp;query=any,contains,991004497599702656","Catalog Record")</f>
        <v/>
      </c>
      <c r="AT464">
        <f>HYPERLINK("http://www.worldcat.org/oclc/3706045","WorldCat Record")</f>
        <v/>
      </c>
      <c r="AU464" t="inlineStr">
        <is>
          <t>350345186:eng</t>
        </is>
      </c>
      <c r="AV464" t="inlineStr">
        <is>
          <t>3706045</t>
        </is>
      </c>
      <c r="AW464" t="inlineStr">
        <is>
          <t>991004497599702656</t>
        </is>
      </c>
      <c r="AX464" t="inlineStr">
        <is>
          <t>991004497599702656</t>
        </is>
      </c>
      <c r="AY464" t="inlineStr">
        <is>
          <t>2264973070002656</t>
        </is>
      </c>
      <c r="AZ464" t="inlineStr">
        <is>
          <t>BOOK</t>
        </is>
      </c>
      <c r="BB464" t="inlineStr">
        <is>
          <t>9780803909540</t>
        </is>
      </c>
      <c r="BC464" t="inlineStr">
        <is>
          <t>32285001267854</t>
        </is>
      </c>
      <c r="BD464" t="inlineStr">
        <is>
          <t>893706492</t>
        </is>
      </c>
    </row>
    <row r="465">
      <c r="A465" t="inlineStr">
        <is>
          <t>No</t>
        </is>
      </c>
      <c r="B465" t="inlineStr">
        <is>
          <t>HM258 .H39</t>
        </is>
      </c>
      <c r="C465" t="inlineStr">
        <is>
          <t>0                      HM 0258000H  39</t>
        </is>
      </c>
      <c r="D465" t="inlineStr">
        <is>
          <t>A study of communications flow models and social change : (emergent public opinion in East Europe) / by Henry O. Hart.</t>
        </is>
      </c>
      <c r="F465" t="inlineStr">
        <is>
          <t>No</t>
        </is>
      </c>
      <c r="G465" t="inlineStr">
        <is>
          <t>1</t>
        </is>
      </c>
      <c r="H465" t="inlineStr">
        <is>
          <t>No</t>
        </is>
      </c>
      <c r="I465" t="inlineStr">
        <is>
          <t>No</t>
        </is>
      </c>
      <c r="J465" t="inlineStr">
        <is>
          <t>0</t>
        </is>
      </c>
      <c r="K465" t="inlineStr">
        <is>
          <t>Hart, Henry O.</t>
        </is>
      </c>
      <c r="L465" t="inlineStr">
        <is>
          <t>[Washington?] East European Area, Audience and Opinion Research Dept., RFE/RL, 1981.</t>
        </is>
      </c>
      <c r="M465" t="inlineStr">
        <is>
          <t>1981</t>
        </is>
      </c>
      <c r="O465" t="inlineStr">
        <is>
          <t>eng</t>
        </is>
      </c>
      <c r="P465" t="inlineStr">
        <is>
          <t>dcu</t>
        </is>
      </c>
      <c r="R465" t="inlineStr">
        <is>
          <t xml:space="preserve">HM </t>
        </is>
      </c>
      <c r="S465" t="n">
        <v>3</v>
      </c>
      <c r="T465" t="n">
        <v>3</v>
      </c>
      <c r="U465" t="inlineStr">
        <is>
          <t>2003-09-20</t>
        </is>
      </c>
      <c r="V465" t="inlineStr">
        <is>
          <t>2003-09-20</t>
        </is>
      </c>
      <c r="W465" t="inlineStr">
        <is>
          <t>1992-09-03</t>
        </is>
      </c>
      <c r="X465" t="inlineStr">
        <is>
          <t>1992-09-03</t>
        </is>
      </c>
      <c r="Y465" t="n">
        <v>100</v>
      </c>
      <c r="Z465" t="n">
        <v>85</v>
      </c>
      <c r="AA465" t="n">
        <v>93</v>
      </c>
      <c r="AB465" t="n">
        <v>2</v>
      </c>
      <c r="AC465" t="n">
        <v>2</v>
      </c>
      <c r="AD465" t="n">
        <v>4</v>
      </c>
      <c r="AE465" t="n">
        <v>4</v>
      </c>
      <c r="AF465" t="n">
        <v>1</v>
      </c>
      <c r="AG465" t="n">
        <v>1</v>
      </c>
      <c r="AH465" t="n">
        <v>1</v>
      </c>
      <c r="AI465" t="n">
        <v>1</v>
      </c>
      <c r="AJ465" t="n">
        <v>1</v>
      </c>
      <c r="AK465" t="n">
        <v>1</v>
      </c>
      <c r="AL465" t="n">
        <v>1</v>
      </c>
      <c r="AM465" t="n">
        <v>1</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HYPERLINK("https://creighton-primo.hosted.exlibrisgroup.com/primo-explore/search?tab=default_tab&amp;search_scope=EVERYTHING&amp;vid=01CRU&amp;lang=en_US&amp;offset=0&amp;query=any,contains,991005174839702656","Catalog Record")</f>
        <v/>
      </c>
      <c r="AT465">
        <f>HYPERLINK("http://www.worldcat.org/oclc/7904064","WorldCat Record")</f>
        <v/>
      </c>
      <c r="AU465" t="inlineStr">
        <is>
          <t>889437596:eng</t>
        </is>
      </c>
      <c r="AV465" t="inlineStr">
        <is>
          <t>7904064</t>
        </is>
      </c>
      <c r="AW465" t="inlineStr">
        <is>
          <t>991005174839702656</t>
        </is>
      </c>
      <c r="AX465" t="inlineStr">
        <is>
          <t>991005174839702656</t>
        </is>
      </c>
      <c r="AY465" t="inlineStr">
        <is>
          <t>2266950130002656</t>
        </is>
      </c>
      <c r="AZ465" t="inlineStr">
        <is>
          <t>BOOK</t>
        </is>
      </c>
      <c r="BC465" t="inlineStr">
        <is>
          <t>32285001267870</t>
        </is>
      </c>
      <c r="BD465" t="inlineStr">
        <is>
          <t>893260670</t>
        </is>
      </c>
    </row>
    <row r="466">
      <c r="A466" t="inlineStr">
        <is>
          <t>No</t>
        </is>
      </c>
      <c r="B466" t="inlineStr">
        <is>
          <t>HM258 .H465 1982</t>
        </is>
      </c>
      <c r="C466" t="inlineStr">
        <is>
          <t>0                      HM 0258000H  465         1982</t>
        </is>
      </c>
      <c r="D466" t="inlineStr">
        <is>
          <t>Nonverbal behavior and social psychology / Richard Heslin and Miles L. Patterson.</t>
        </is>
      </c>
      <c r="F466" t="inlineStr">
        <is>
          <t>No</t>
        </is>
      </c>
      <c r="G466" t="inlineStr">
        <is>
          <t>1</t>
        </is>
      </c>
      <c r="H466" t="inlineStr">
        <is>
          <t>No</t>
        </is>
      </c>
      <c r="I466" t="inlineStr">
        <is>
          <t>No</t>
        </is>
      </c>
      <c r="J466" t="inlineStr">
        <is>
          <t>0</t>
        </is>
      </c>
      <c r="K466" t="inlineStr">
        <is>
          <t>Heslin, Richard.</t>
        </is>
      </c>
      <c r="L466" t="inlineStr">
        <is>
          <t>New York : Plenum Press, c1982.</t>
        </is>
      </c>
      <c r="M466" t="inlineStr">
        <is>
          <t>1982</t>
        </is>
      </c>
      <c r="O466" t="inlineStr">
        <is>
          <t>eng</t>
        </is>
      </c>
      <c r="P466" t="inlineStr">
        <is>
          <t>nyu</t>
        </is>
      </c>
      <c r="Q466" t="inlineStr">
        <is>
          <t>Perspectives in social psychology</t>
        </is>
      </c>
      <c r="R466" t="inlineStr">
        <is>
          <t xml:space="preserve">HM </t>
        </is>
      </c>
      <c r="S466" t="n">
        <v>6</v>
      </c>
      <c r="T466" t="n">
        <v>6</v>
      </c>
      <c r="U466" t="inlineStr">
        <is>
          <t>1998-04-27</t>
        </is>
      </c>
      <c r="V466" t="inlineStr">
        <is>
          <t>1998-04-27</t>
        </is>
      </c>
      <c r="W466" t="inlineStr">
        <is>
          <t>1993-07-22</t>
        </is>
      </c>
      <c r="X466" t="inlineStr">
        <is>
          <t>1993-07-22</t>
        </is>
      </c>
      <c r="Y466" t="n">
        <v>502</v>
      </c>
      <c r="Z466" t="n">
        <v>367</v>
      </c>
      <c r="AA466" t="n">
        <v>389</v>
      </c>
      <c r="AB466" t="n">
        <v>2</v>
      </c>
      <c r="AC466" t="n">
        <v>2</v>
      </c>
      <c r="AD466" t="n">
        <v>19</v>
      </c>
      <c r="AE466" t="n">
        <v>20</v>
      </c>
      <c r="AF466" t="n">
        <v>8</v>
      </c>
      <c r="AG466" t="n">
        <v>9</v>
      </c>
      <c r="AH466" t="n">
        <v>4</v>
      </c>
      <c r="AI466" t="n">
        <v>4</v>
      </c>
      <c r="AJ466" t="n">
        <v>11</v>
      </c>
      <c r="AK466" t="n">
        <v>11</v>
      </c>
      <c r="AL466" t="n">
        <v>1</v>
      </c>
      <c r="AM466" t="n">
        <v>1</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HYPERLINK("https://creighton-primo.hosted.exlibrisgroup.com/primo-explore/search?tab=default_tab&amp;search_scope=EVERYTHING&amp;vid=01CRU&amp;lang=en_US&amp;offset=0&amp;query=any,contains,991000008309702656","Catalog Record")</f>
        <v/>
      </c>
      <c r="AT466">
        <f>HYPERLINK("http://www.worldcat.org/oclc/8532872","WorldCat Record")</f>
        <v/>
      </c>
      <c r="AU466" t="inlineStr">
        <is>
          <t>438393:eng</t>
        </is>
      </c>
      <c r="AV466" t="inlineStr">
        <is>
          <t>8532872</t>
        </is>
      </c>
      <c r="AW466" t="inlineStr">
        <is>
          <t>991000008309702656</t>
        </is>
      </c>
      <c r="AX466" t="inlineStr">
        <is>
          <t>991000008309702656</t>
        </is>
      </c>
      <c r="AY466" t="inlineStr">
        <is>
          <t>2269243550002656</t>
        </is>
      </c>
      <c r="AZ466" t="inlineStr">
        <is>
          <t>BOOK</t>
        </is>
      </c>
      <c r="BB466" t="inlineStr">
        <is>
          <t>9780306409523</t>
        </is>
      </c>
      <c r="BC466" t="inlineStr">
        <is>
          <t>32285001724953</t>
        </is>
      </c>
      <c r="BD466" t="inlineStr">
        <is>
          <t>893333121</t>
        </is>
      </c>
    </row>
    <row r="467">
      <c r="A467" t="inlineStr">
        <is>
          <t>No</t>
        </is>
      </c>
      <c r="B467" t="inlineStr">
        <is>
          <t>HM258 .H63 1982</t>
        </is>
      </c>
      <c r="C467" t="inlineStr">
        <is>
          <t>0                      HM 0258000H  63          1982</t>
        </is>
      </c>
      <c r="D467" t="inlineStr">
        <is>
          <t>The mass media and social problems / by Dennis Howitt.</t>
        </is>
      </c>
      <c r="F467" t="inlineStr">
        <is>
          <t>No</t>
        </is>
      </c>
      <c r="G467" t="inlineStr">
        <is>
          <t>1</t>
        </is>
      </c>
      <c r="H467" t="inlineStr">
        <is>
          <t>No</t>
        </is>
      </c>
      <c r="I467" t="inlineStr">
        <is>
          <t>No</t>
        </is>
      </c>
      <c r="J467" t="inlineStr">
        <is>
          <t>0</t>
        </is>
      </c>
      <c r="K467" t="inlineStr">
        <is>
          <t>Howitt, Dennis.</t>
        </is>
      </c>
      <c r="L467" t="inlineStr">
        <is>
          <t>Oxford ; New York : Pergamon Press, 1982.</t>
        </is>
      </c>
      <c r="M467" t="inlineStr">
        <is>
          <t>1982</t>
        </is>
      </c>
      <c r="N467" t="inlineStr">
        <is>
          <t>1st ed.</t>
        </is>
      </c>
      <c r="O467" t="inlineStr">
        <is>
          <t>eng</t>
        </is>
      </c>
      <c r="P467" t="inlineStr">
        <is>
          <t>enk</t>
        </is>
      </c>
      <c r="Q467" t="inlineStr">
        <is>
          <t>International series in experimental social psychology ; v. 2</t>
        </is>
      </c>
      <c r="R467" t="inlineStr">
        <is>
          <t xml:space="preserve">HM </t>
        </is>
      </c>
      <c r="S467" t="n">
        <v>19</v>
      </c>
      <c r="T467" t="n">
        <v>19</v>
      </c>
      <c r="U467" t="inlineStr">
        <is>
          <t>2007-03-24</t>
        </is>
      </c>
      <c r="V467" t="inlineStr">
        <is>
          <t>2007-03-24</t>
        </is>
      </c>
      <c r="W467" t="inlineStr">
        <is>
          <t>1990-03-23</t>
        </is>
      </c>
      <c r="X467" t="inlineStr">
        <is>
          <t>1990-03-23</t>
        </is>
      </c>
      <c r="Y467" t="n">
        <v>568</v>
      </c>
      <c r="Z467" t="n">
        <v>383</v>
      </c>
      <c r="AA467" t="n">
        <v>420</v>
      </c>
      <c r="AB467" t="n">
        <v>4</v>
      </c>
      <c r="AC467" t="n">
        <v>5</v>
      </c>
      <c r="AD467" t="n">
        <v>21</v>
      </c>
      <c r="AE467" t="n">
        <v>25</v>
      </c>
      <c r="AF467" t="n">
        <v>10</v>
      </c>
      <c r="AG467" t="n">
        <v>12</v>
      </c>
      <c r="AH467" t="n">
        <v>4</v>
      </c>
      <c r="AI467" t="n">
        <v>6</v>
      </c>
      <c r="AJ467" t="n">
        <v>12</v>
      </c>
      <c r="AK467" t="n">
        <v>12</v>
      </c>
      <c r="AL467" t="n">
        <v>3</v>
      </c>
      <c r="AM467" t="n">
        <v>4</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HYPERLINK("https://creighton-primo.hosted.exlibrisgroup.com/primo-explore/search?tab=default_tab&amp;search_scope=EVERYTHING&amp;vid=01CRU&amp;lang=en_US&amp;offset=0&amp;query=any,contains,991005186529702656","Catalog Record")</f>
        <v/>
      </c>
      <c r="AT467">
        <f>HYPERLINK("http://www.worldcat.org/oclc/7976596","WorldCat Record")</f>
        <v/>
      </c>
      <c r="AU467" t="inlineStr">
        <is>
          <t>408145:eng</t>
        </is>
      </c>
      <c r="AV467" t="inlineStr">
        <is>
          <t>7976596</t>
        </is>
      </c>
      <c r="AW467" t="inlineStr">
        <is>
          <t>991005186529702656</t>
        </is>
      </c>
      <c r="AX467" t="inlineStr">
        <is>
          <t>991005186529702656</t>
        </is>
      </c>
      <c r="AY467" t="inlineStr">
        <is>
          <t>2262197940002656</t>
        </is>
      </c>
      <c r="AZ467" t="inlineStr">
        <is>
          <t>BOOK</t>
        </is>
      </c>
      <c r="BB467" t="inlineStr">
        <is>
          <t>9780080267593</t>
        </is>
      </c>
      <c r="BC467" t="inlineStr">
        <is>
          <t>32285000095744</t>
        </is>
      </c>
      <c r="BD467" t="inlineStr">
        <is>
          <t>893606975</t>
        </is>
      </c>
    </row>
    <row r="468">
      <c r="A468" t="inlineStr">
        <is>
          <t>No</t>
        </is>
      </c>
      <c r="B468" t="inlineStr">
        <is>
          <t>HM258 .I5 1964</t>
        </is>
      </c>
      <c r="C468" t="inlineStr">
        <is>
          <t>0                      HM 0258000I  5           1964</t>
        </is>
      </c>
      <c r="D468" t="inlineStr">
        <is>
          <t>The communication of ideas, a series of addresses. Edited by Lyman Bryson.</t>
        </is>
      </c>
      <c r="F468" t="inlineStr">
        <is>
          <t>No</t>
        </is>
      </c>
      <c r="G468" t="inlineStr">
        <is>
          <t>1</t>
        </is>
      </c>
      <c r="H468" t="inlineStr">
        <is>
          <t>No</t>
        </is>
      </c>
      <c r="I468" t="inlineStr">
        <is>
          <t>No</t>
        </is>
      </c>
      <c r="J468" t="inlineStr">
        <is>
          <t>0</t>
        </is>
      </c>
      <c r="K468" t="inlineStr">
        <is>
          <t>Jewish Theological Seminary of America. Institute for Religious and Social Studies.</t>
        </is>
      </c>
      <c r="L468" t="inlineStr">
        <is>
          <t>New York, Cooper Square Publishers, 1964 [c1948]</t>
        </is>
      </c>
      <c r="M468" t="inlineStr">
        <is>
          <t>1964</t>
        </is>
      </c>
      <c r="O468" t="inlineStr">
        <is>
          <t>eng</t>
        </is>
      </c>
      <c r="P468" t="inlineStr">
        <is>
          <t>nyu</t>
        </is>
      </c>
      <c r="Q468" t="inlineStr">
        <is>
          <t>Religion and civilization series</t>
        </is>
      </c>
      <c r="R468" t="inlineStr">
        <is>
          <t xml:space="preserve">HM </t>
        </is>
      </c>
      <c r="S468" t="n">
        <v>0</v>
      </c>
      <c r="T468" t="n">
        <v>0</v>
      </c>
      <c r="U468" t="inlineStr">
        <is>
          <t>2007-09-26</t>
        </is>
      </c>
      <c r="V468" t="inlineStr">
        <is>
          <t>2007-09-26</t>
        </is>
      </c>
      <c r="W468" t="inlineStr">
        <is>
          <t>1997-07-31</t>
        </is>
      </c>
      <c r="X468" t="inlineStr">
        <is>
          <t>1997-07-31</t>
        </is>
      </c>
      <c r="Y468" t="n">
        <v>283</v>
      </c>
      <c r="Z468" t="n">
        <v>212</v>
      </c>
      <c r="AA468" t="n">
        <v>491</v>
      </c>
      <c r="AB468" t="n">
        <v>3</v>
      </c>
      <c r="AC468" t="n">
        <v>4</v>
      </c>
      <c r="AD468" t="n">
        <v>10</v>
      </c>
      <c r="AE468" t="n">
        <v>18</v>
      </c>
      <c r="AF468" t="n">
        <v>2</v>
      </c>
      <c r="AG468" t="n">
        <v>4</v>
      </c>
      <c r="AH468" t="n">
        <v>2</v>
      </c>
      <c r="AI468" t="n">
        <v>4</v>
      </c>
      <c r="AJ468" t="n">
        <v>7</v>
      </c>
      <c r="AK468" t="n">
        <v>11</v>
      </c>
      <c r="AL468" t="n">
        <v>2</v>
      </c>
      <c r="AM468" t="n">
        <v>3</v>
      </c>
      <c r="AN468" t="n">
        <v>0</v>
      </c>
      <c r="AO468" t="n">
        <v>0</v>
      </c>
      <c r="AP468" t="inlineStr">
        <is>
          <t>No</t>
        </is>
      </c>
      <c r="AQ468" t="inlineStr">
        <is>
          <t>Yes</t>
        </is>
      </c>
      <c r="AR468">
        <f>HYPERLINK("http://catalog.hathitrust.org/Record/000114047","HathiTrust Record")</f>
        <v/>
      </c>
      <c r="AS468">
        <f>HYPERLINK("https://creighton-primo.hosted.exlibrisgroup.com/primo-explore/search?tab=default_tab&amp;search_scope=EVERYTHING&amp;vid=01CRU&amp;lang=en_US&amp;offset=0&amp;query=any,contains,991002973559702656","Catalog Record")</f>
        <v/>
      </c>
      <c r="AT468">
        <f>HYPERLINK("http://www.worldcat.org/oclc/550718","WorldCat Record")</f>
        <v/>
      </c>
      <c r="AU468" t="inlineStr">
        <is>
          <t>1595700:eng</t>
        </is>
      </c>
      <c r="AV468" t="inlineStr">
        <is>
          <t>550718</t>
        </is>
      </c>
      <c r="AW468" t="inlineStr">
        <is>
          <t>991002973559702656</t>
        </is>
      </c>
      <c r="AX468" t="inlineStr">
        <is>
          <t>991002973559702656</t>
        </is>
      </c>
      <c r="AY468" t="inlineStr">
        <is>
          <t>2258110830002656</t>
        </is>
      </c>
      <c r="AZ468" t="inlineStr">
        <is>
          <t>BOOK</t>
        </is>
      </c>
      <c r="BC468" t="inlineStr">
        <is>
          <t>32285003018149</t>
        </is>
      </c>
      <c r="BD468" t="inlineStr">
        <is>
          <t>893257929</t>
        </is>
      </c>
    </row>
    <row r="469">
      <c r="A469" t="inlineStr">
        <is>
          <t>No</t>
        </is>
      </c>
      <c r="B469" t="inlineStr">
        <is>
          <t>HM258 .I524 1983</t>
        </is>
      </c>
      <c r="C469" t="inlineStr">
        <is>
          <t>0                      HM 0258000I  524         1983</t>
        </is>
      </c>
      <c r="D469" t="inlineStr">
        <is>
          <t>Intercultural communication theory : current perspectives / edited by William B. Gudykunst.</t>
        </is>
      </c>
      <c r="F469" t="inlineStr">
        <is>
          <t>No</t>
        </is>
      </c>
      <c r="G469" t="inlineStr">
        <is>
          <t>1</t>
        </is>
      </c>
      <c r="H469" t="inlineStr">
        <is>
          <t>No</t>
        </is>
      </c>
      <c r="I469" t="inlineStr">
        <is>
          <t>No</t>
        </is>
      </c>
      <c r="J469" t="inlineStr">
        <is>
          <t>0</t>
        </is>
      </c>
      <c r="L469" t="inlineStr">
        <is>
          <t>Beverly Hills, CA : Sage Publications, c1983.</t>
        </is>
      </c>
      <c r="M469" t="inlineStr">
        <is>
          <t>1983</t>
        </is>
      </c>
      <c r="O469" t="inlineStr">
        <is>
          <t>eng</t>
        </is>
      </c>
      <c r="P469" t="inlineStr">
        <is>
          <t>cau</t>
        </is>
      </c>
      <c r="Q469" t="inlineStr">
        <is>
          <t>International and intercultural communication annual ; v. 7</t>
        </is>
      </c>
      <c r="R469" t="inlineStr">
        <is>
          <t xml:space="preserve">HM </t>
        </is>
      </c>
      <c r="S469" t="n">
        <v>8</v>
      </c>
      <c r="T469" t="n">
        <v>8</v>
      </c>
      <c r="U469" t="inlineStr">
        <is>
          <t>2001-11-13</t>
        </is>
      </c>
      <c r="V469" t="inlineStr">
        <is>
          <t>2001-11-13</t>
        </is>
      </c>
      <c r="W469" t="inlineStr">
        <is>
          <t>1992-08-12</t>
        </is>
      </c>
      <c r="X469" t="inlineStr">
        <is>
          <t>1992-08-12</t>
        </is>
      </c>
      <c r="Y469" t="n">
        <v>473</v>
      </c>
      <c r="Z469" t="n">
        <v>348</v>
      </c>
      <c r="AA469" t="n">
        <v>357</v>
      </c>
      <c r="AB469" t="n">
        <v>4</v>
      </c>
      <c r="AC469" t="n">
        <v>4</v>
      </c>
      <c r="AD469" t="n">
        <v>19</v>
      </c>
      <c r="AE469" t="n">
        <v>19</v>
      </c>
      <c r="AF469" t="n">
        <v>7</v>
      </c>
      <c r="AG469" t="n">
        <v>7</v>
      </c>
      <c r="AH469" t="n">
        <v>2</v>
      </c>
      <c r="AI469" t="n">
        <v>2</v>
      </c>
      <c r="AJ469" t="n">
        <v>12</v>
      </c>
      <c r="AK469" t="n">
        <v>12</v>
      </c>
      <c r="AL469" t="n">
        <v>3</v>
      </c>
      <c r="AM469" t="n">
        <v>3</v>
      </c>
      <c r="AN469" t="n">
        <v>0</v>
      </c>
      <c r="AO469" t="n">
        <v>0</v>
      </c>
      <c r="AP469" t="inlineStr">
        <is>
          <t>No</t>
        </is>
      </c>
      <c r="AQ469" t="inlineStr">
        <is>
          <t>Yes</t>
        </is>
      </c>
      <c r="AR469">
        <f>HYPERLINK("http://catalog.hathitrust.org/Record/000476854","HathiTrust Record")</f>
        <v/>
      </c>
      <c r="AS469">
        <f>HYPERLINK("https://creighton-primo.hosted.exlibrisgroup.com/primo-explore/search?tab=default_tab&amp;search_scope=EVERYTHING&amp;vid=01CRU&amp;lang=en_US&amp;offset=0&amp;query=any,contains,991000154169702656","Catalog Record")</f>
        <v/>
      </c>
      <c r="AT469">
        <f>HYPERLINK("http://www.worldcat.org/oclc/9219407","WorldCat Record")</f>
        <v/>
      </c>
      <c r="AU469" t="inlineStr">
        <is>
          <t>365780835:eng</t>
        </is>
      </c>
      <c r="AV469" t="inlineStr">
        <is>
          <t>9219407</t>
        </is>
      </c>
      <c r="AW469" t="inlineStr">
        <is>
          <t>991000154169702656</t>
        </is>
      </c>
      <c r="AX469" t="inlineStr">
        <is>
          <t>991000154169702656</t>
        </is>
      </c>
      <c r="AY469" t="inlineStr">
        <is>
          <t>2268347310002656</t>
        </is>
      </c>
      <c r="AZ469" t="inlineStr">
        <is>
          <t>BOOK</t>
        </is>
      </c>
      <c r="BB469" t="inlineStr">
        <is>
          <t>9780803919693</t>
        </is>
      </c>
      <c r="BC469" t="inlineStr">
        <is>
          <t>32285001244226</t>
        </is>
      </c>
      <c r="BD469" t="inlineStr">
        <is>
          <t>893345437</t>
        </is>
      </c>
    </row>
    <row r="470">
      <c r="A470" t="inlineStr">
        <is>
          <t>No</t>
        </is>
      </c>
      <c r="B470" t="inlineStr">
        <is>
          <t>HM258 .I59 1986</t>
        </is>
      </c>
      <c r="C470" t="inlineStr">
        <is>
          <t>0                      HM 0258000I  59          1986</t>
        </is>
      </c>
      <c r="D470" t="inlineStr">
        <is>
          <t>Interethnic communication : current research / edited by Young Yun Kim ; published in cooperation with the Speech Communication Association, Commission on International and Intercultural Communication.</t>
        </is>
      </c>
      <c r="F470" t="inlineStr">
        <is>
          <t>No</t>
        </is>
      </c>
      <c r="G470" t="inlineStr">
        <is>
          <t>1</t>
        </is>
      </c>
      <c r="H470" t="inlineStr">
        <is>
          <t>No</t>
        </is>
      </c>
      <c r="I470" t="inlineStr">
        <is>
          <t>No</t>
        </is>
      </c>
      <c r="J470" t="inlineStr">
        <is>
          <t>0</t>
        </is>
      </c>
      <c r="L470" t="inlineStr">
        <is>
          <t>Newbury Park, Calif. : Sage Publications, 1986.</t>
        </is>
      </c>
      <c r="M470" t="inlineStr">
        <is>
          <t>1986</t>
        </is>
      </c>
      <c r="O470" t="inlineStr">
        <is>
          <t>eng</t>
        </is>
      </c>
      <c r="P470" t="inlineStr">
        <is>
          <t>cau</t>
        </is>
      </c>
      <c r="Q470" t="inlineStr">
        <is>
          <t>International and intercultural communication annual, 0270-6075 ; v. 10</t>
        </is>
      </c>
      <c r="R470" t="inlineStr">
        <is>
          <t xml:space="preserve">HM </t>
        </is>
      </c>
      <c r="S470" t="n">
        <v>5</v>
      </c>
      <c r="T470" t="n">
        <v>5</v>
      </c>
      <c r="U470" t="inlineStr">
        <is>
          <t>2001-04-09</t>
        </is>
      </c>
      <c r="V470" t="inlineStr">
        <is>
          <t>2001-04-09</t>
        </is>
      </c>
      <c r="W470" t="inlineStr">
        <is>
          <t>1994-02-17</t>
        </is>
      </c>
      <c r="X470" t="inlineStr">
        <is>
          <t>1994-02-17</t>
        </is>
      </c>
      <c r="Y470" t="n">
        <v>431</v>
      </c>
      <c r="Z470" t="n">
        <v>323</v>
      </c>
      <c r="AA470" t="n">
        <v>330</v>
      </c>
      <c r="AB470" t="n">
        <v>4</v>
      </c>
      <c r="AC470" t="n">
        <v>4</v>
      </c>
      <c r="AD470" t="n">
        <v>23</v>
      </c>
      <c r="AE470" t="n">
        <v>23</v>
      </c>
      <c r="AF470" t="n">
        <v>8</v>
      </c>
      <c r="AG470" t="n">
        <v>8</v>
      </c>
      <c r="AH470" t="n">
        <v>4</v>
      </c>
      <c r="AI470" t="n">
        <v>4</v>
      </c>
      <c r="AJ470" t="n">
        <v>13</v>
      </c>
      <c r="AK470" t="n">
        <v>13</v>
      </c>
      <c r="AL470" t="n">
        <v>3</v>
      </c>
      <c r="AM470" t="n">
        <v>3</v>
      </c>
      <c r="AN470" t="n">
        <v>0</v>
      </c>
      <c r="AO470" t="n">
        <v>0</v>
      </c>
      <c r="AP470" t="inlineStr">
        <is>
          <t>No</t>
        </is>
      </c>
      <c r="AQ470" t="inlineStr">
        <is>
          <t>Yes</t>
        </is>
      </c>
      <c r="AR470">
        <f>HYPERLINK("http://catalog.hathitrust.org/Record/000854004","HathiTrust Record")</f>
        <v/>
      </c>
      <c r="AS470">
        <f>HYPERLINK("https://creighton-primo.hosted.exlibrisgroup.com/primo-explore/search?tab=default_tab&amp;search_scope=EVERYTHING&amp;vid=01CRU&amp;lang=en_US&amp;offset=0&amp;query=any,contains,991001018569702656","Catalog Record")</f>
        <v/>
      </c>
      <c r="AT470">
        <f>HYPERLINK("http://www.worldcat.org/oclc/15359650","WorldCat Record")</f>
        <v/>
      </c>
      <c r="AU470" t="inlineStr">
        <is>
          <t>889585121:eng</t>
        </is>
      </c>
      <c r="AV470" t="inlineStr">
        <is>
          <t>15359650</t>
        </is>
      </c>
      <c r="AW470" t="inlineStr">
        <is>
          <t>991001018569702656</t>
        </is>
      </c>
      <c r="AX470" t="inlineStr">
        <is>
          <t>991001018569702656</t>
        </is>
      </c>
      <c r="AY470" t="inlineStr">
        <is>
          <t>2271774020002656</t>
        </is>
      </c>
      <c r="AZ470" t="inlineStr">
        <is>
          <t>BOOK</t>
        </is>
      </c>
      <c r="BB470" t="inlineStr">
        <is>
          <t>9780803928374</t>
        </is>
      </c>
      <c r="BC470" t="inlineStr">
        <is>
          <t>32285001839264</t>
        </is>
      </c>
      <c r="BD470" t="inlineStr">
        <is>
          <t>893784741</t>
        </is>
      </c>
    </row>
    <row r="471">
      <c r="A471" t="inlineStr">
        <is>
          <t>No</t>
        </is>
      </c>
      <c r="B471" t="inlineStr">
        <is>
          <t>HM258 .I79 1996</t>
        </is>
      </c>
      <c r="C471" t="inlineStr">
        <is>
          <t>0                      HM 0258000I  79          1996</t>
        </is>
      </c>
      <c r="D471" t="inlineStr">
        <is>
          <t>Communicating with Asia : understanding people and customs / Harry Irwin.</t>
        </is>
      </c>
      <c r="F471" t="inlineStr">
        <is>
          <t>No</t>
        </is>
      </c>
      <c r="G471" t="inlineStr">
        <is>
          <t>1</t>
        </is>
      </c>
      <c r="H471" t="inlineStr">
        <is>
          <t>No</t>
        </is>
      </c>
      <c r="I471" t="inlineStr">
        <is>
          <t>No</t>
        </is>
      </c>
      <c r="J471" t="inlineStr">
        <is>
          <t>0</t>
        </is>
      </c>
      <c r="K471" t="inlineStr">
        <is>
          <t>Irwin, Harry.</t>
        </is>
      </c>
      <c r="L471" t="inlineStr">
        <is>
          <t>St. Leonards, NSW, Australia : Allen &amp; Unwin, 1996.</t>
        </is>
      </c>
      <c r="M471" t="inlineStr">
        <is>
          <t>1996</t>
        </is>
      </c>
      <c r="O471" t="inlineStr">
        <is>
          <t>eng</t>
        </is>
      </c>
      <c r="P471" t="inlineStr">
        <is>
          <t xml:space="preserve">at </t>
        </is>
      </c>
      <c r="R471" t="inlineStr">
        <is>
          <t xml:space="preserve">HM </t>
        </is>
      </c>
      <c r="S471" t="n">
        <v>8</v>
      </c>
      <c r="T471" t="n">
        <v>8</v>
      </c>
      <c r="U471" t="inlineStr">
        <is>
          <t>2008-02-28</t>
        </is>
      </c>
      <c r="V471" t="inlineStr">
        <is>
          <t>2008-02-28</t>
        </is>
      </c>
      <c r="W471" t="inlineStr">
        <is>
          <t>1996-09-26</t>
        </is>
      </c>
      <c r="X471" t="inlineStr">
        <is>
          <t>1996-09-26</t>
        </is>
      </c>
      <c r="Y471" t="n">
        <v>277</v>
      </c>
      <c r="Z471" t="n">
        <v>152</v>
      </c>
      <c r="AA471" t="n">
        <v>169</v>
      </c>
      <c r="AB471" t="n">
        <v>2</v>
      </c>
      <c r="AC471" t="n">
        <v>2</v>
      </c>
      <c r="AD471" t="n">
        <v>8</v>
      </c>
      <c r="AE471" t="n">
        <v>8</v>
      </c>
      <c r="AF471" t="n">
        <v>3</v>
      </c>
      <c r="AG471" t="n">
        <v>3</v>
      </c>
      <c r="AH471" t="n">
        <v>4</v>
      </c>
      <c r="AI471" t="n">
        <v>4</v>
      </c>
      <c r="AJ471" t="n">
        <v>4</v>
      </c>
      <c r="AK471" t="n">
        <v>4</v>
      </c>
      <c r="AL471" t="n">
        <v>1</v>
      </c>
      <c r="AM471" t="n">
        <v>1</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HYPERLINK("https://creighton-primo.hosted.exlibrisgroup.com/primo-explore/search?tab=default_tab&amp;search_scope=EVERYTHING&amp;vid=01CRU&amp;lang=en_US&amp;offset=0&amp;query=any,contains,991002716749702656","Catalog Record")</f>
        <v/>
      </c>
      <c r="AT471">
        <f>HYPERLINK("http://www.worldcat.org/oclc/35636016","WorldCat Record")</f>
        <v/>
      </c>
      <c r="AU471" t="inlineStr">
        <is>
          <t>365958175:eng</t>
        </is>
      </c>
      <c r="AV471" t="inlineStr">
        <is>
          <t>35636016</t>
        </is>
      </c>
      <c r="AW471" t="inlineStr">
        <is>
          <t>991002716749702656</t>
        </is>
      </c>
      <c r="AX471" t="inlineStr">
        <is>
          <t>991002716749702656</t>
        </is>
      </c>
      <c r="AY471" t="inlineStr">
        <is>
          <t>2261669850002656</t>
        </is>
      </c>
      <c r="AZ471" t="inlineStr">
        <is>
          <t>BOOK</t>
        </is>
      </c>
      <c r="BB471" t="inlineStr">
        <is>
          <t>9781863739481</t>
        </is>
      </c>
      <c r="BC471" t="inlineStr">
        <is>
          <t>32285002198751</t>
        </is>
      </c>
      <c r="BD471" t="inlineStr">
        <is>
          <t>893239410</t>
        </is>
      </c>
    </row>
    <row r="472">
      <c r="A472" t="inlineStr">
        <is>
          <t>No</t>
        </is>
      </c>
      <c r="B472" t="inlineStr">
        <is>
          <t>HM258 .K554 1986</t>
        </is>
      </c>
      <c r="C472" t="inlineStr">
        <is>
          <t>0                      HM 0258000K  554         1986</t>
        </is>
      </c>
      <c r="D472" t="inlineStr">
        <is>
          <t>Overload and boredom : essays on the quality of life in the information society / Orrin E. Klapp.</t>
        </is>
      </c>
      <c r="F472" t="inlineStr">
        <is>
          <t>No</t>
        </is>
      </c>
      <c r="G472" t="inlineStr">
        <is>
          <t>1</t>
        </is>
      </c>
      <c r="H472" t="inlineStr">
        <is>
          <t>No</t>
        </is>
      </c>
      <c r="I472" t="inlineStr">
        <is>
          <t>No</t>
        </is>
      </c>
      <c r="J472" t="inlineStr">
        <is>
          <t>0</t>
        </is>
      </c>
      <c r="K472" t="inlineStr">
        <is>
          <t>Klapp, Orrin E. (Orrin Edgar), 1915-1997.</t>
        </is>
      </c>
      <c r="L472" t="inlineStr">
        <is>
          <t>New York : Greenwood Press, 1986.</t>
        </is>
      </c>
      <c r="M472" t="inlineStr">
        <is>
          <t>1986</t>
        </is>
      </c>
      <c r="O472" t="inlineStr">
        <is>
          <t>eng</t>
        </is>
      </c>
      <c r="P472" t="inlineStr">
        <is>
          <t>nyu</t>
        </is>
      </c>
      <c r="Q472" t="inlineStr">
        <is>
          <t>Contributions in sociology, 0084-9278 ; no. 57</t>
        </is>
      </c>
      <c r="R472" t="inlineStr">
        <is>
          <t xml:space="preserve">HM </t>
        </is>
      </c>
      <c r="S472" t="n">
        <v>1</v>
      </c>
      <c r="T472" t="n">
        <v>1</v>
      </c>
      <c r="U472" t="inlineStr">
        <is>
          <t>2004-02-03</t>
        </is>
      </c>
      <c r="V472" t="inlineStr">
        <is>
          <t>2004-02-03</t>
        </is>
      </c>
      <c r="W472" t="inlineStr">
        <is>
          <t>1992-09-03</t>
        </is>
      </c>
      <c r="X472" t="inlineStr">
        <is>
          <t>1992-09-03</t>
        </is>
      </c>
      <c r="Y472" t="n">
        <v>434</v>
      </c>
      <c r="Z472" t="n">
        <v>330</v>
      </c>
      <c r="AA472" t="n">
        <v>331</v>
      </c>
      <c r="AB472" t="n">
        <v>4</v>
      </c>
      <c r="AC472" t="n">
        <v>4</v>
      </c>
      <c r="AD472" t="n">
        <v>17</v>
      </c>
      <c r="AE472" t="n">
        <v>17</v>
      </c>
      <c r="AF472" t="n">
        <v>4</v>
      </c>
      <c r="AG472" t="n">
        <v>4</v>
      </c>
      <c r="AH472" t="n">
        <v>4</v>
      </c>
      <c r="AI472" t="n">
        <v>4</v>
      </c>
      <c r="AJ472" t="n">
        <v>10</v>
      </c>
      <c r="AK472" t="n">
        <v>10</v>
      </c>
      <c r="AL472" t="n">
        <v>3</v>
      </c>
      <c r="AM472" t="n">
        <v>3</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HYPERLINK("https://creighton-primo.hosted.exlibrisgroup.com/primo-explore/search?tab=default_tab&amp;search_scope=EVERYTHING&amp;vid=01CRU&amp;lang=en_US&amp;offset=0&amp;query=any,contains,991000686149702656","Catalog Record")</f>
        <v/>
      </c>
      <c r="AT472">
        <f>HYPERLINK("http://www.worldcat.org/oclc/12421004","WorldCat Record")</f>
        <v/>
      </c>
      <c r="AU472" t="inlineStr">
        <is>
          <t>371935452:eng</t>
        </is>
      </c>
      <c r="AV472" t="inlineStr">
        <is>
          <t>12421004</t>
        </is>
      </c>
      <c r="AW472" t="inlineStr">
        <is>
          <t>991000686149702656</t>
        </is>
      </c>
      <c r="AX472" t="inlineStr">
        <is>
          <t>991000686149702656</t>
        </is>
      </c>
      <c r="AY472" t="inlineStr">
        <is>
          <t>2255033350002656</t>
        </is>
      </c>
      <c r="AZ472" t="inlineStr">
        <is>
          <t>BOOK</t>
        </is>
      </c>
      <c r="BB472" t="inlineStr">
        <is>
          <t>9780313250019</t>
        </is>
      </c>
      <c r="BC472" t="inlineStr">
        <is>
          <t>32285001267896</t>
        </is>
      </c>
      <c r="BD472" t="inlineStr">
        <is>
          <t>893714807</t>
        </is>
      </c>
    </row>
    <row r="473">
      <c r="A473" t="inlineStr">
        <is>
          <t>No</t>
        </is>
      </c>
      <c r="B473" t="inlineStr">
        <is>
          <t>HM258 .L38</t>
        </is>
      </c>
      <c r="C473" t="inlineStr">
        <is>
          <t>0                      HM 0258000L  38</t>
        </is>
      </c>
      <c r="D473" t="inlineStr">
        <is>
          <t>Designs for persuasive communication.</t>
        </is>
      </c>
      <c r="F473" t="inlineStr">
        <is>
          <t>No</t>
        </is>
      </c>
      <c r="G473" t="inlineStr">
        <is>
          <t>1</t>
        </is>
      </c>
      <c r="H473" t="inlineStr">
        <is>
          <t>No</t>
        </is>
      </c>
      <c r="I473" t="inlineStr">
        <is>
          <t>No</t>
        </is>
      </c>
      <c r="J473" t="inlineStr">
        <is>
          <t>0</t>
        </is>
      </c>
      <c r="K473" t="inlineStr">
        <is>
          <t>Lerbinger, Otto.</t>
        </is>
      </c>
      <c r="L473" t="inlineStr">
        <is>
          <t>Englewood Cliffs, N.J., Prentice-Hall [1972]</t>
        </is>
      </c>
      <c r="M473" t="inlineStr">
        <is>
          <t>1972</t>
        </is>
      </c>
      <c r="O473" t="inlineStr">
        <is>
          <t>eng</t>
        </is>
      </c>
      <c r="P473" t="inlineStr">
        <is>
          <t>nju</t>
        </is>
      </c>
      <c r="Q473" t="inlineStr">
        <is>
          <t>Prentice-Hall speech communication series</t>
        </is>
      </c>
      <c r="R473" t="inlineStr">
        <is>
          <t xml:space="preserve">HM </t>
        </is>
      </c>
      <c r="S473" t="n">
        <v>2</v>
      </c>
      <c r="T473" t="n">
        <v>2</v>
      </c>
      <c r="U473" t="inlineStr">
        <is>
          <t>2001-09-21</t>
        </is>
      </c>
      <c r="V473" t="inlineStr">
        <is>
          <t>2001-09-21</t>
        </is>
      </c>
      <c r="W473" t="inlineStr">
        <is>
          <t>1997-07-31</t>
        </is>
      </c>
      <c r="X473" t="inlineStr">
        <is>
          <t>1997-07-31</t>
        </is>
      </c>
      <c r="Y473" t="n">
        <v>403</v>
      </c>
      <c r="Z473" t="n">
        <v>318</v>
      </c>
      <c r="AA473" t="n">
        <v>324</v>
      </c>
      <c r="AB473" t="n">
        <v>3</v>
      </c>
      <c r="AC473" t="n">
        <v>3</v>
      </c>
      <c r="AD473" t="n">
        <v>16</v>
      </c>
      <c r="AE473" t="n">
        <v>16</v>
      </c>
      <c r="AF473" t="n">
        <v>7</v>
      </c>
      <c r="AG473" t="n">
        <v>7</v>
      </c>
      <c r="AH473" t="n">
        <v>3</v>
      </c>
      <c r="AI473" t="n">
        <v>3</v>
      </c>
      <c r="AJ473" t="n">
        <v>9</v>
      </c>
      <c r="AK473" t="n">
        <v>9</v>
      </c>
      <c r="AL473" t="n">
        <v>2</v>
      </c>
      <c r="AM473" t="n">
        <v>2</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HYPERLINK("https://creighton-primo.hosted.exlibrisgroup.com/primo-explore/search?tab=default_tab&amp;search_scope=EVERYTHING&amp;vid=01CRU&amp;lang=en_US&amp;offset=0&amp;query=any,contains,991002394919702656","Catalog Record")</f>
        <v/>
      </c>
      <c r="AT473">
        <f>HYPERLINK("http://www.worldcat.org/oclc/334292","WorldCat Record")</f>
        <v/>
      </c>
      <c r="AU473" t="inlineStr">
        <is>
          <t>1447747:eng</t>
        </is>
      </c>
      <c r="AV473" t="inlineStr">
        <is>
          <t>334292</t>
        </is>
      </c>
      <c r="AW473" t="inlineStr">
        <is>
          <t>991002394919702656</t>
        </is>
      </c>
      <c r="AX473" t="inlineStr">
        <is>
          <t>991002394919702656</t>
        </is>
      </c>
      <c r="AY473" t="inlineStr">
        <is>
          <t>2257405780002656</t>
        </is>
      </c>
      <c r="AZ473" t="inlineStr">
        <is>
          <t>BOOK</t>
        </is>
      </c>
      <c r="BB473" t="inlineStr">
        <is>
          <t>9780132002202</t>
        </is>
      </c>
      <c r="BC473" t="inlineStr">
        <is>
          <t>32285003018156</t>
        </is>
      </c>
      <c r="BD473" t="inlineStr">
        <is>
          <t>893609805</t>
        </is>
      </c>
    </row>
    <row r="474">
      <c r="A474" t="inlineStr">
        <is>
          <t>No</t>
        </is>
      </c>
      <c r="B474" t="inlineStr">
        <is>
          <t>HM258 .M2623 1998</t>
        </is>
      </c>
      <c r="C474" t="inlineStr">
        <is>
          <t>0                      HM 0258000M  2623        1998</t>
        </is>
      </c>
      <c r="D474" t="inlineStr">
        <is>
          <t>Life online : researching real experience in virtual space / Annette N. Markham.</t>
        </is>
      </c>
      <c r="F474" t="inlineStr">
        <is>
          <t>No</t>
        </is>
      </c>
      <c r="G474" t="inlineStr">
        <is>
          <t>1</t>
        </is>
      </c>
      <c r="H474" t="inlineStr">
        <is>
          <t>No</t>
        </is>
      </c>
      <c r="I474" t="inlineStr">
        <is>
          <t>No</t>
        </is>
      </c>
      <c r="J474" t="inlineStr">
        <is>
          <t>0</t>
        </is>
      </c>
      <c r="K474" t="inlineStr">
        <is>
          <t>Markham, Annette N.</t>
        </is>
      </c>
      <c r="L474" t="inlineStr">
        <is>
          <t>Walnut Creek, CA : Altamira Press, c1998.</t>
        </is>
      </c>
      <c r="M474" t="inlineStr">
        <is>
          <t>1998</t>
        </is>
      </c>
      <c r="O474" t="inlineStr">
        <is>
          <t>eng</t>
        </is>
      </c>
      <c r="P474" t="inlineStr">
        <is>
          <t>cau</t>
        </is>
      </c>
      <c r="Q474" t="inlineStr">
        <is>
          <t>Ethnographic alternatives book series ; v. 6</t>
        </is>
      </c>
      <c r="R474" t="inlineStr">
        <is>
          <t xml:space="preserve">HM </t>
        </is>
      </c>
      <c r="S474" t="n">
        <v>4</v>
      </c>
      <c r="T474" t="n">
        <v>4</v>
      </c>
      <c r="U474" t="inlineStr">
        <is>
          <t>2008-02-12</t>
        </is>
      </c>
      <c r="V474" t="inlineStr">
        <is>
          <t>2008-02-12</t>
        </is>
      </c>
      <c r="W474" t="inlineStr">
        <is>
          <t>1999-04-21</t>
        </is>
      </c>
      <c r="X474" t="inlineStr">
        <is>
          <t>1999-04-21</t>
        </is>
      </c>
      <c r="Y474" t="n">
        <v>387</v>
      </c>
      <c r="Z474" t="n">
        <v>255</v>
      </c>
      <c r="AA474" t="n">
        <v>272</v>
      </c>
      <c r="AB474" t="n">
        <v>3</v>
      </c>
      <c r="AC474" t="n">
        <v>3</v>
      </c>
      <c r="AD474" t="n">
        <v>16</v>
      </c>
      <c r="AE474" t="n">
        <v>16</v>
      </c>
      <c r="AF474" t="n">
        <v>5</v>
      </c>
      <c r="AG474" t="n">
        <v>5</v>
      </c>
      <c r="AH474" t="n">
        <v>4</v>
      </c>
      <c r="AI474" t="n">
        <v>4</v>
      </c>
      <c r="AJ474" t="n">
        <v>10</v>
      </c>
      <c r="AK474" t="n">
        <v>10</v>
      </c>
      <c r="AL474" t="n">
        <v>2</v>
      </c>
      <c r="AM474" t="n">
        <v>2</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HYPERLINK("https://creighton-primo.hosted.exlibrisgroup.com/primo-explore/search?tab=default_tab&amp;search_scope=EVERYTHING&amp;vid=01CRU&amp;lang=en_US&amp;offset=0&amp;query=any,contains,991002945689702656","Catalog Record")</f>
        <v/>
      </c>
      <c r="AT474">
        <f>HYPERLINK("http://www.worldcat.org/oclc/39223636","WorldCat Record")</f>
        <v/>
      </c>
      <c r="AU474" t="inlineStr">
        <is>
          <t>836945301:eng</t>
        </is>
      </c>
      <c r="AV474" t="inlineStr">
        <is>
          <t>39223636</t>
        </is>
      </c>
      <c r="AW474" t="inlineStr">
        <is>
          <t>991002945689702656</t>
        </is>
      </c>
      <c r="AX474" t="inlineStr">
        <is>
          <t>991002945689702656</t>
        </is>
      </c>
      <c r="AY474" t="inlineStr">
        <is>
          <t>2270658750002656</t>
        </is>
      </c>
      <c r="AZ474" t="inlineStr">
        <is>
          <t>BOOK</t>
        </is>
      </c>
      <c r="BB474" t="inlineStr">
        <is>
          <t>9780761990307</t>
        </is>
      </c>
      <c r="BC474" t="inlineStr">
        <is>
          <t>32285003554424</t>
        </is>
      </c>
      <c r="BD474" t="inlineStr">
        <is>
          <t>893710879</t>
        </is>
      </c>
    </row>
    <row r="475">
      <c r="A475" t="inlineStr">
        <is>
          <t>No</t>
        </is>
      </c>
      <c r="B475" t="inlineStr">
        <is>
          <t>HM258 .M26578 1991</t>
        </is>
      </c>
      <c r="C475" t="inlineStr">
        <is>
          <t>0                      HM 0258000M  26578       1991</t>
        </is>
      </c>
      <c r="D475" t="inlineStr">
        <is>
          <t>Mass media and society / edited by James Curran and Michael Gurevitch.</t>
        </is>
      </c>
      <c r="F475" t="inlineStr">
        <is>
          <t>No</t>
        </is>
      </c>
      <c r="G475" t="inlineStr">
        <is>
          <t>1</t>
        </is>
      </c>
      <c r="H475" t="inlineStr">
        <is>
          <t>No</t>
        </is>
      </c>
      <c r="I475" t="inlineStr">
        <is>
          <t>No</t>
        </is>
      </c>
      <c r="J475" t="inlineStr">
        <is>
          <t>0</t>
        </is>
      </c>
      <c r="L475" t="inlineStr">
        <is>
          <t>London ; New York : E. Arnold ; New York : Distributed in the USA by Routledge, Chapman and Hall, 1991.</t>
        </is>
      </c>
      <c r="M475" t="inlineStr">
        <is>
          <t>1991</t>
        </is>
      </c>
      <c r="O475" t="inlineStr">
        <is>
          <t>eng</t>
        </is>
      </c>
      <c r="P475" t="inlineStr">
        <is>
          <t>enk</t>
        </is>
      </c>
      <c r="R475" t="inlineStr">
        <is>
          <t xml:space="preserve">HM </t>
        </is>
      </c>
      <c r="S475" t="n">
        <v>14</v>
      </c>
      <c r="T475" t="n">
        <v>14</v>
      </c>
      <c r="U475" t="inlineStr">
        <is>
          <t>2007-03-24</t>
        </is>
      </c>
      <c r="V475" t="inlineStr">
        <is>
          <t>2007-03-24</t>
        </is>
      </c>
      <c r="W475" t="inlineStr">
        <is>
          <t>1992-10-13</t>
        </is>
      </c>
      <c r="X475" t="inlineStr">
        <is>
          <t>1992-10-13</t>
        </is>
      </c>
      <c r="Y475" t="n">
        <v>414</v>
      </c>
      <c r="Z475" t="n">
        <v>203</v>
      </c>
      <c r="AA475" t="n">
        <v>423</v>
      </c>
      <c r="AB475" t="n">
        <v>2</v>
      </c>
      <c r="AC475" t="n">
        <v>2</v>
      </c>
      <c r="AD475" t="n">
        <v>12</v>
      </c>
      <c r="AE475" t="n">
        <v>25</v>
      </c>
      <c r="AF475" t="n">
        <v>2</v>
      </c>
      <c r="AG475" t="n">
        <v>10</v>
      </c>
      <c r="AH475" t="n">
        <v>4</v>
      </c>
      <c r="AI475" t="n">
        <v>6</v>
      </c>
      <c r="AJ475" t="n">
        <v>7</v>
      </c>
      <c r="AK475" t="n">
        <v>15</v>
      </c>
      <c r="AL475" t="n">
        <v>1</v>
      </c>
      <c r="AM475" t="n">
        <v>1</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HYPERLINK("https://creighton-primo.hosted.exlibrisgroup.com/primo-explore/search?tab=default_tab&amp;search_scope=EVERYTHING&amp;vid=01CRU&amp;lang=en_US&amp;offset=0&amp;query=any,contains,991001905199702656","Catalog Record")</f>
        <v/>
      </c>
      <c r="AT475">
        <f>HYPERLINK("http://www.worldcat.org/oclc/24067202","WorldCat Record")</f>
        <v/>
      </c>
      <c r="AU475" t="inlineStr">
        <is>
          <t>365114505:eng</t>
        </is>
      </c>
      <c r="AV475" t="inlineStr">
        <is>
          <t>24067202</t>
        </is>
      </c>
      <c r="AW475" t="inlineStr">
        <is>
          <t>991001905199702656</t>
        </is>
      </c>
      <c r="AX475" t="inlineStr">
        <is>
          <t>991001905199702656</t>
        </is>
      </c>
      <c r="AY475" t="inlineStr">
        <is>
          <t>2258390460002656</t>
        </is>
      </c>
      <c r="AZ475" t="inlineStr">
        <is>
          <t>BOOK</t>
        </is>
      </c>
      <c r="BB475" t="inlineStr">
        <is>
          <t>9780340517598</t>
        </is>
      </c>
      <c r="BC475" t="inlineStr">
        <is>
          <t>32285001317014</t>
        </is>
      </c>
      <c r="BD475" t="inlineStr">
        <is>
          <t>893791819</t>
        </is>
      </c>
    </row>
    <row r="476">
      <c r="A476" t="inlineStr">
        <is>
          <t>No</t>
        </is>
      </c>
      <c r="B476" t="inlineStr">
        <is>
          <t>HM258 .P42 1995</t>
        </is>
      </c>
      <c r="C476" t="inlineStr">
        <is>
          <t>0                      HM 0258000P  42          1995</t>
        </is>
      </c>
      <c r="D476" t="inlineStr">
        <is>
          <t>Gender &amp; communication / Judy Cornelia Pearson, Richard L. West, Lynn H. Turner.</t>
        </is>
      </c>
      <c r="F476" t="inlineStr">
        <is>
          <t>No</t>
        </is>
      </c>
      <c r="G476" t="inlineStr">
        <is>
          <t>1</t>
        </is>
      </c>
      <c r="H476" t="inlineStr">
        <is>
          <t>No</t>
        </is>
      </c>
      <c r="I476" t="inlineStr">
        <is>
          <t>No</t>
        </is>
      </c>
      <c r="J476" t="inlineStr">
        <is>
          <t>0</t>
        </is>
      </c>
      <c r="K476" t="inlineStr">
        <is>
          <t>Pearson, Judy C.</t>
        </is>
      </c>
      <c r="L476" t="inlineStr">
        <is>
          <t>Boston, Mass. : McGraw-Hill, c1995.</t>
        </is>
      </c>
      <c r="M476" t="inlineStr">
        <is>
          <t>1995</t>
        </is>
      </c>
      <c r="N476" t="inlineStr">
        <is>
          <t>3rd ed.</t>
        </is>
      </c>
      <c r="O476" t="inlineStr">
        <is>
          <t>eng</t>
        </is>
      </c>
      <c r="P476" t="inlineStr">
        <is>
          <t>mau</t>
        </is>
      </c>
      <c r="R476" t="inlineStr">
        <is>
          <t xml:space="preserve">HM </t>
        </is>
      </c>
      <c r="S476" t="n">
        <v>4</v>
      </c>
      <c r="T476" t="n">
        <v>4</v>
      </c>
      <c r="U476" t="inlineStr">
        <is>
          <t>2004-04-05</t>
        </is>
      </c>
      <c r="V476" t="inlineStr">
        <is>
          <t>2004-04-05</t>
        </is>
      </c>
      <c r="W476" t="inlineStr">
        <is>
          <t>2002-11-06</t>
        </is>
      </c>
      <c r="X476" t="inlineStr">
        <is>
          <t>2002-11-06</t>
        </is>
      </c>
      <c r="Y476" t="n">
        <v>16</v>
      </c>
      <c r="Z476" t="n">
        <v>15</v>
      </c>
      <c r="AA476" t="n">
        <v>451</v>
      </c>
      <c r="AB476" t="n">
        <v>1</v>
      </c>
      <c r="AC476" t="n">
        <v>3</v>
      </c>
      <c r="AD476" t="n">
        <v>0</v>
      </c>
      <c r="AE476" t="n">
        <v>22</v>
      </c>
      <c r="AF476" t="n">
        <v>0</v>
      </c>
      <c r="AG476" t="n">
        <v>8</v>
      </c>
      <c r="AH476" t="n">
        <v>0</v>
      </c>
      <c r="AI476" t="n">
        <v>4</v>
      </c>
      <c r="AJ476" t="n">
        <v>0</v>
      </c>
      <c r="AK476" t="n">
        <v>12</v>
      </c>
      <c r="AL476" t="n">
        <v>0</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HYPERLINK("https://creighton-primo.hosted.exlibrisgroup.com/primo-explore/search?tab=default_tab&amp;search_scope=EVERYTHING&amp;vid=01CRU&amp;lang=en_US&amp;offset=0&amp;query=any,contains,991003928649702656","Catalog Record")</f>
        <v/>
      </c>
      <c r="AT476">
        <f>HYPERLINK("http://www.worldcat.org/oclc/42246356","WorldCat Record")</f>
        <v/>
      </c>
      <c r="AU476" t="inlineStr">
        <is>
          <t>25107122:eng</t>
        </is>
      </c>
      <c r="AV476" t="inlineStr">
        <is>
          <t>42246356</t>
        </is>
      </c>
      <c r="AW476" t="inlineStr">
        <is>
          <t>991003928649702656</t>
        </is>
      </c>
      <c r="AX476" t="inlineStr">
        <is>
          <t>991003928649702656</t>
        </is>
      </c>
      <c r="AY476" t="inlineStr">
        <is>
          <t>2258081770002656</t>
        </is>
      </c>
      <c r="AZ476" t="inlineStr">
        <is>
          <t>BOOK</t>
        </is>
      </c>
      <c r="BB476" t="inlineStr">
        <is>
          <t>9780697201546</t>
        </is>
      </c>
      <c r="BC476" t="inlineStr">
        <is>
          <t>32285004660840</t>
        </is>
      </c>
      <c r="BD476" t="inlineStr">
        <is>
          <t>893240801</t>
        </is>
      </c>
    </row>
    <row r="477">
      <c r="A477" t="inlineStr">
        <is>
          <t>No</t>
        </is>
      </c>
      <c r="B477" t="inlineStr">
        <is>
          <t>HM258 .P74 v.1</t>
        </is>
      </c>
      <c r="C477" t="inlineStr">
        <is>
          <t>0                      HM 0258000P  74                                                      v.1</t>
        </is>
      </c>
      <c r="D477" t="inlineStr">
        <is>
          <t>The Symbolic instrument in early times / edited by Harold D. Lasswell, Daniel Lerner, Hans Speier.</t>
        </is>
      </c>
      <c r="E477" t="inlineStr">
        <is>
          <t>V.1</t>
        </is>
      </c>
      <c r="F477" t="inlineStr">
        <is>
          <t>No</t>
        </is>
      </c>
      <c r="G477" t="inlineStr">
        <is>
          <t>1</t>
        </is>
      </c>
      <c r="H477" t="inlineStr">
        <is>
          <t>No</t>
        </is>
      </c>
      <c r="I477" t="inlineStr">
        <is>
          <t>No</t>
        </is>
      </c>
      <c r="J477" t="inlineStr">
        <is>
          <t>0</t>
        </is>
      </c>
      <c r="L477" t="inlineStr">
        <is>
          <t>Honolulu : Published for the East-West Center by University Press of Hawaii, c1979.</t>
        </is>
      </c>
      <c r="M477" t="inlineStr">
        <is>
          <t>1979</t>
        </is>
      </c>
      <c r="O477" t="inlineStr">
        <is>
          <t>eng</t>
        </is>
      </c>
      <c r="P477" t="inlineStr">
        <is>
          <t>hiu</t>
        </is>
      </c>
      <c r="Q477" t="inlineStr">
        <is>
          <t>Propaganda and communication in world history ; v. 1</t>
        </is>
      </c>
      <c r="R477" t="inlineStr">
        <is>
          <t xml:space="preserve">HM </t>
        </is>
      </c>
      <c r="S477" t="n">
        <v>1</v>
      </c>
      <c r="T477" t="n">
        <v>1</v>
      </c>
      <c r="U477" t="inlineStr">
        <is>
          <t>2007-10-31</t>
        </is>
      </c>
      <c r="V477" t="inlineStr">
        <is>
          <t>2007-10-31</t>
        </is>
      </c>
      <c r="W477" t="inlineStr">
        <is>
          <t>2000-06-15</t>
        </is>
      </c>
      <c r="X477" t="inlineStr">
        <is>
          <t>2000-06-15</t>
        </is>
      </c>
      <c r="Y477" t="n">
        <v>491</v>
      </c>
      <c r="Z477" t="n">
        <v>439</v>
      </c>
      <c r="AA477" t="n">
        <v>439</v>
      </c>
      <c r="AB477" t="n">
        <v>5</v>
      </c>
      <c r="AC477" t="n">
        <v>5</v>
      </c>
      <c r="AD477" t="n">
        <v>18</v>
      </c>
      <c r="AE477" t="n">
        <v>18</v>
      </c>
      <c r="AF477" t="n">
        <v>4</v>
      </c>
      <c r="AG477" t="n">
        <v>4</v>
      </c>
      <c r="AH477" t="n">
        <v>6</v>
      </c>
      <c r="AI477" t="n">
        <v>6</v>
      </c>
      <c r="AJ477" t="n">
        <v>7</v>
      </c>
      <c r="AK477" t="n">
        <v>7</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HYPERLINK("https://creighton-primo.hosted.exlibrisgroup.com/primo-explore/search?tab=default_tab&amp;search_scope=EVERYTHING&amp;vid=01CRU&amp;lang=en_US&amp;offset=0&amp;query=any,contains,991003133589702656","Catalog Record")</f>
        <v/>
      </c>
      <c r="AT477">
        <f>HYPERLINK("http://www.worldcat.org/oclc/4492852","WorldCat Record")</f>
        <v/>
      </c>
      <c r="AU477" t="inlineStr">
        <is>
          <t>492135:eng</t>
        </is>
      </c>
      <c r="AV477" t="inlineStr">
        <is>
          <t>4492852</t>
        </is>
      </c>
      <c r="AW477" t="inlineStr">
        <is>
          <t>991003133589702656</t>
        </is>
      </c>
      <c r="AX477" t="inlineStr">
        <is>
          <t>991003133589702656</t>
        </is>
      </c>
      <c r="AY477" t="inlineStr">
        <is>
          <t>2263391830002656</t>
        </is>
      </c>
      <c r="AZ477" t="inlineStr">
        <is>
          <t>BOOK</t>
        </is>
      </c>
      <c r="BB477" t="inlineStr">
        <is>
          <t>9780824804961</t>
        </is>
      </c>
      <c r="BC477" t="inlineStr">
        <is>
          <t>32285001267946</t>
        </is>
      </c>
      <c r="BD477" t="inlineStr">
        <is>
          <t>893704943</t>
        </is>
      </c>
    </row>
    <row r="478">
      <c r="A478" t="inlineStr">
        <is>
          <t>No</t>
        </is>
      </c>
      <c r="B478" t="inlineStr">
        <is>
          <t>HM258 .S32</t>
        </is>
      </c>
      <c r="C478" t="inlineStr">
        <is>
          <t>0                      HM 0258000S  32</t>
        </is>
      </c>
      <c r="D478" t="inlineStr">
        <is>
          <t>The responsive chord.</t>
        </is>
      </c>
      <c r="F478" t="inlineStr">
        <is>
          <t>No</t>
        </is>
      </c>
      <c r="G478" t="inlineStr">
        <is>
          <t>1</t>
        </is>
      </c>
      <c r="H478" t="inlineStr">
        <is>
          <t>No</t>
        </is>
      </c>
      <c r="I478" t="inlineStr">
        <is>
          <t>No</t>
        </is>
      </c>
      <c r="J478" t="inlineStr">
        <is>
          <t>0</t>
        </is>
      </c>
      <c r="K478" t="inlineStr">
        <is>
          <t>Schwartz, Tony.</t>
        </is>
      </c>
      <c r="L478" t="inlineStr">
        <is>
          <t>Garden City, N.Y., Anchor Press [1973]</t>
        </is>
      </c>
      <c r="M478" t="inlineStr">
        <is>
          <t>1973</t>
        </is>
      </c>
      <c r="N478" t="inlineStr">
        <is>
          <t>[1st ed.]</t>
        </is>
      </c>
      <c r="O478" t="inlineStr">
        <is>
          <t>eng</t>
        </is>
      </c>
      <c r="P478" t="inlineStr">
        <is>
          <t>nyu</t>
        </is>
      </c>
      <c r="R478" t="inlineStr">
        <is>
          <t xml:space="preserve">HM </t>
        </is>
      </c>
      <c r="S478" t="n">
        <v>5</v>
      </c>
      <c r="T478" t="n">
        <v>5</v>
      </c>
      <c r="U478" t="inlineStr">
        <is>
          <t>2000-03-25</t>
        </is>
      </c>
      <c r="V478" t="inlineStr">
        <is>
          <t>2000-03-25</t>
        </is>
      </c>
      <c r="W478" t="inlineStr">
        <is>
          <t>1997-07-31</t>
        </is>
      </c>
      <c r="X478" t="inlineStr">
        <is>
          <t>1997-07-31</t>
        </is>
      </c>
      <c r="Y478" t="n">
        <v>513</v>
      </c>
      <c r="Z478" t="n">
        <v>459</v>
      </c>
      <c r="AA478" t="n">
        <v>608</v>
      </c>
      <c r="AB478" t="n">
        <v>5</v>
      </c>
      <c r="AC478" t="n">
        <v>5</v>
      </c>
      <c r="AD478" t="n">
        <v>25</v>
      </c>
      <c r="AE478" t="n">
        <v>28</v>
      </c>
      <c r="AF478" t="n">
        <v>11</v>
      </c>
      <c r="AG478" t="n">
        <v>13</v>
      </c>
      <c r="AH478" t="n">
        <v>2</v>
      </c>
      <c r="AI478" t="n">
        <v>3</v>
      </c>
      <c r="AJ478" t="n">
        <v>13</v>
      </c>
      <c r="AK478" t="n">
        <v>13</v>
      </c>
      <c r="AL478" t="n">
        <v>4</v>
      </c>
      <c r="AM478" t="n">
        <v>4</v>
      </c>
      <c r="AN478" t="n">
        <v>0</v>
      </c>
      <c r="AO478" t="n">
        <v>0</v>
      </c>
      <c r="AP478" t="inlineStr">
        <is>
          <t>No</t>
        </is>
      </c>
      <c r="AQ478" t="inlineStr">
        <is>
          <t>Yes</t>
        </is>
      </c>
      <c r="AR478">
        <f>HYPERLINK("http://catalog.hathitrust.org/Record/000973857","HathiTrust Record")</f>
        <v/>
      </c>
      <c r="AS478">
        <f>HYPERLINK("https://creighton-primo.hosted.exlibrisgroup.com/primo-explore/search?tab=default_tab&amp;search_scope=EVERYTHING&amp;vid=01CRU&amp;lang=en_US&amp;offset=0&amp;query=any,contains,991003222109702656","Catalog Record")</f>
        <v/>
      </c>
      <c r="AT478">
        <f>HYPERLINK("http://www.worldcat.org/oclc/747220","WorldCat Record")</f>
        <v/>
      </c>
      <c r="AU478" t="inlineStr">
        <is>
          <t>454230:eng</t>
        </is>
      </c>
      <c r="AV478" t="inlineStr">
        <is>
          <t>747220</t>
        </is>
      </c>
      <c r="AW478" t="inlineStr">
        <is>
          <t>991003222109702656</t>
        </is>
      </c>
      <c r="AX478" t="inlineStr">
        <is>
          <t>991003222109702656</t>
        </is>
      </c>
      <c r="AY478" t="inlineStr">
        <is>
          <t>2255623310002656</t>
        </is>
      </c>
      <c r="AZ478" t="inlineStr">
        <is>
          <t>BOOK</t>
        </is>
      </c>
      <c r="BB478" t="inlineStr">
        <is>
          <t>9780385088930</t>
        </is>
      </c>
      <c r="BC478" t="inlineStr">
        <is>
          <t>32285003018230</t>
        </is>
      </c>
      <c r="BD478" t="inlineStr">
        <is>
          <t>893336261</t>
        </is>
      </c>
    </row>
    <row r="479">
      <c r="A479" t="inlineStr">
        <is>
          <t>No</t>
        </is>
      </c>
      <c r="B479" t="inlineStr">
        <is>
          <t>HM258 .S5</t>
        </is>
      </c>
      <c r="C479" t="inlineStr">
        <is>
          <t>0                      HM 0258000S  5</t>
        </is>
      </c>
      <c r="D479" t="inlineStr">
        <is>
          <t>Communication and culture : readings in the codes of human interaction / [edited by] Alfred G. Smith.</t>
        </is>
      </c>
      <c r="F479" t="inlineStr">
        <is>
          <t>No</t>
        </is>
      </c>
      <c r="G479" t="inlineStr">
        <is>
          <t>1</t>
        </is>
      </c>
      <c r="H479" t="inlineStr">
        <is>
          <t>No</t>
        </is>
      </c>
      <c r="I479" t="inlineStr">
        <is>
          <t>No</t>
        </is>
      </c>
      <c r="J479" t="inlineStr">
        <is>
          <t>0</t>
        </is>
      </c>
      <c r="K479" t="inlineStr">
        <is>
          <t>Smith, Alfred G. (Alfred Goud), 1921-, editor.</t>
        </is>
      </c>
      <c r="L479" t="inlineStr">
        <is>
          <t>New York : Holt, Rinehart and Winston, [1966]</t>
        </is>
      </c>
      <c r="M479" t="inlineStr">
        <is>
          <t>1966</t>
        </is>
      </c>
      <c r="O479" t="inlineStr">
        <is>
          <t>eng</t>
        </is>
      </c>
      <c r="P479" t="inlineStr">
        <is>
          <t>nyu</t>
        </is>
      </c>
      <c r="R479" t="inlineStr">
        <is>
          <t xml:space="preserve">HM </t>
        </is>
      </c>
      <c r="S479" t="n">
        <v>6</v>
      </c>
      <c r="T479" t="n">
        <v>6</v>
      </c>
      <c r="U479" t="inlineStr">
        <is>
          <t>2001-04-06</t>
        </is>
      </c>
      <c r="V479" t="inlineStr">
        <is>
          <t>2001-04-06</t>
        </is>
      </c>
      <c r="W479" t="inlineStr">
        <is>
          <t>1992-11-18</t>
        </is>
      </c>
      <c r="X479" t="inlineStr">
        <is>
          <t>1992-11-18</t>
        </is>
      </c>
      <c r="Y479" t="n">
        <v>834</v>
      </c>
      <c r="Z479" t="n">
        <v>632</v>
      </c>
      <c r="AA479" t="n">
        <v>642</v>
      </c>
      <c r="AB479" t="n">
        <v>8</v>
      </c>
      <c r="AC479" t="n">
        <v>8</v>
      </c>
      <c r="AD479" t="n">
        <v>34</v>
      </c>
      <c r="AE479" t="n">
        <v>34</v>
      </c>
      <c r="AF479" t="n">
        <v>13</v>
      </c>
      <c r="AG479" t="n">
        <v>13</v>
      </c>
      <c r="AH479" t="n">
        <v>4</v>
      </c>
      <c r="AI479" t="n">
        <v>4</v>
      </c>
      <c r="AJ479" t="n">
        <v>16</v>
      </c>
      <c r="AK479" t="n">
        <v>16</v>
      </c>
      <c r="AL479" t="n">
        <v>7</v>
      </c>
      <c r="AM479" t="n">
        <v>7</v>
      </c>
      <c r="AN479" t="n">
        <v>0</v>
      </c>
      <c r="AO479" t="n">
        <v>0</v>
      </c>
      <c r="AP479" t="inlineStr">
        <is>
          <t>No</t>
        </is>
      </c>
      <c r="AQ479" t="inlineStr">
        <is>
          <t>Yes</t>
        </is>
      </c>
      <c r="AR479">
        <f>HYPERLINK("http://catalog.hathitrust.org/Record/001109435","HathiTrust Record")</f>
        <v/>
      </c>
      <c r="AS479">
        <f>HYPERLINK("https://creighton-primo.hosted.exlibrisgroup.com/primo-explore/search?tab=default_tab&amp;search_scope=EVERYTHING&amp;vid=01CRU&amp;lang=en_US&amp;offset=0&amp;query=any,contains,991003430649702656","Catalog Record")</f>
        <v/>
      </c>
      <c r="AT479">
        <f>HYPERLINK("http://www.worldcat.org/oclc/965469","WorldCat Record")</f>
        <v/>
      </c>
      <c r="AU479" t="inlineStr">
        <is>
          <t>111608201:eng</t>
        </is>
      </c>
      <c r="AV479" t="inlineStr">
        <is>
          <t>965469</t>
        </is>
      </c>
      <c r="AW479" t="inlineStr">
        <is>
          <t>991003430649702656</t>
        </is>
      </c>
      <c r="AX479" t="inlineStr">
        <is>
          <t>991003430649702656</t>
        </is>
      </c>
      <c r="AY479" t="inlineStr">
        <is>
          <t>2258238430002656</t>
        </is>
      </c>
      <c r="AZ479" t="inlineStr">
        <is>
          <t>BOOK</t>
        </is>
      </c>
      <c r="BC479" t="inlineStr">
        <is>
          <t>32285001405926</t>
        </is>
      </c>
      <c r="BD479" t="inlineStr">
        <is>
          <t>893240198</t>
        </is>
      </c>
    </row>
    <row r="480">
      <c r="A480" t="inlineStr">
        <is>
          <t>No</t>
        </is>
      </c>
      <c r="B480" t="inlineStr">
        <is>
          <t>HM258 .S537</t>
        </is>
      </c>
      <c r="C480" t="inlineStr">
        <is>
          <t>0                      HM 0258000S  537</t>
        </is>
      </c>
      <c r="D480" t="inlineStr">
        <is>
          <t>Transracial communication / [by] Arthur L. Smith.</t>
        </is>
      </c>
      <c r="F480" t="inlineStr">
        <is>
          <t>No</t>
        </is>
      </c>
      <c r="G480" t="inlineStr">
        <is>
          <t>1</t>
        </is>
      </c>
      <c r="H480" t="inlineStr">
        <is>
          <t>No</t>
        </is>
      </c>
      <c r="I480" t="inlineStr">
        <is>
          <t>No</t>
        </is>
      </c>
      <c r="J480" t="inlineStr">
        <is>
          <t>0</t>
        </is>
      </c>
      <c r="K480" t="inlineStr">
        <is>
          <t>Asante, Molefi Kete, 1942-</t>
        </is>
      </c>
      <c r="L480" t="inlineStr">
        <is>
          <t>Englewood Cliffs, N.J. : Prentice-Hall, [1973]</t>
        </is>
      </c>
      <c r="M480" t="inlineStr">
        <is>
          <t>1973</t>
        </is>
      </c>
      <c r="O480" t="inlineStr">
        <is>
          <t>eng</t>
        </is>
      </c>
      <c r="P480" t="inlineStr">
        <is>
          <t>nju</t>
        </is>
      </c>
      <c r="Q480" t="inlineStr">
        <is>
          <t>Prentice-Hall speech communication series</t>
        </is>
      </c>
      <c r="R480" t="inlineStr">
        <is>
          <t xml:space="preserve">HM </t>
        </is>
      </c>
      <c r="S480" t="n">
        <v>3</v>
      </c>
      <c r="T480" t="n">
        <v>3</v>
      </c>
      <c r="U480" t="inlineStr">
        <is>
          <t>1995-04-24</t>
        </is>
      </c>
      <c r="V480" t="inlineStr">
        <is>
          <t>1995-04-24</t>
        </is>
      </c>
      <c r="W480" t="inlineStr">
        <is>
          <t>1994-02-22</t>
        </is>
      </c>
      <c r="X480" t="inlineStr">
        <is>
          <t>1994-02-22</t>
        </is>
      </c>
      <c r="Y480" t="n">
        <v>460</v>
      </c>
      <c r="Z480" t="n">
        <v>392</v>
      </c>
      <c r="AA480" t="n">
        <v>395</v>
      </c>
      <c r="AB480" t="n">
        <v>5</v>
      </c>
      <c r="AC480" t="n">
        <v>5</v>
      </c>
      <c r="AD480" t="n">
        <v>20</v>
      </c>
      <c r="AE480" t="n">
        <v>20</v>
      </c>
      <c r="AF480" t="n">
        <v>7</v>
      </c>
      <c r="AG480" t="n">
        <v>7</v>
      </c>
      <c r="AH480" t="n">
        <v>2</v>
      </c>
      <c r="AI480" t="n">
        <v>2</v>
      </c>
      <c r="AJ480" t="n">
        <v>8</v>
      </c>
      <c r="AK480" t="n">
        <v>8</v>
      </c>
      <c r="AL480" t="n">
        <v>4</v>
      </c>
      <c r="AM480" t="n">
        <v>4</v>
      </c>
      <c r="AN480" t="n">
        <v>1</v>
      </c>
      <c r="AO480" t="n">
        <v>1</v>
      </c>
      <c r="AP480" t="inlineStr">
        <is>
          <t>No</t>
        </is>
      </c>
      <c r="AQ480" t="inlineStr">
        <is>
          <t>Yes</t>
        </is>
      </c>
      <c r="AR480">
        <f>HYPERLINK("http://catalog.hathitrust.org/Record/000006387","HathiTrust Record")</f>
        <v/>
      </c>
      <c r="AS480">
        <f>HYPERLINK("https://creighton-primo.hosted.exlibrisgroup.com/primo-explore/search?tab=default_tab&amp;search_scope=EVERYTHING&amp;vid=01CRU&amp;lang=en_US&amp;offset=0&amp;query=any,contains,991002839329702656","Catalog Record")</f>
        <v/>
      </c>
      <c r="AT480">
        <f>HYPERLINK("http://www.worldcat.org/oclc/481283","WorldCat Record")</f>
        <v/>
      </c>
      <c r="AU480" t="inlineStr">
        <is>
          <t>5218641472:eng</t>
        </is>
      </c>
      <c r="AV480" t="inlineStr">
        <is>
          <t>481283</t>
        </is>
      </c>
      <c r="AW480" t="inlineStr">
        <is>
          <t>991002839329702656</t>
        </is>
      </c>
      <c r="AX480" t="inlineStr">
        <is>
          <t>991002839329702656</t>
        </is>
      </c>
      <c r="AY480" t="inlineStr">
        <is>
          <t>2269384180002656</t>
        </is>
      </c>
      <c r="AZ480" t="inlineStr">
        <is>
          <t>BOOK</t>
        </is>
      </c>
      <c r="BB480" t="inlineStr">
        <is>
          <t>9780139295058</t>
        </is>
      </c>
      <c r="BC480" t="inlineStr">
        <is>
          <t>32285001839256</t>
        </is>
      </c>
      <c r="BD480" t="inlineStr">
        <is>
          <t>893685844</t>
        </is>
      </c>
    </row>
    <row r="481">
      <c r="A481" t="inlineStr">
        <is>
          <t>No</t>
        </is>
      </c>
      <c r="B481" t="inlineStr">
        <is>
          <t>HM258 .S539</t>
        </is>
      </c>
      <c r="C481" t="inlineStr">
        <is>
          <t>0                      HM 0258000S  539</t>
        </is>
      </c>
      <c r="D481" t="inlineStr">
        <is>
          <t>Persuasion and human action : a review and critique of social influence theories / Mary John Smith.</t>
        </is>
      </c>
      <c r="F481" t="inlineStr">
        <is>
          <t>No</t>
        </is>
      </c>
      <c r="G481" t="inlineStr">
        <is>
          <t>1</t>
        </is>
      </c>
      <c r="H481" t="inlineStr">
        <is>
          <t>No</t>
        </is>
      </c>
      <c r="I481" t="inlineStr">
        <is>
          <t>No</t>
        </is>
      </c>
      <c r="J481" t="inlineStr">
        <is>
          <t>0</t>
        </is>
      </c>
      <c r="K481" t="inlineStr">
        <is>
          <t>Smith, Mary John.</t>
        </is>
      </c>
      <c r="L481" t="inlineStr">
        <is>
          <t>Belmont, Calif. : Wadsworth Pub. Co., c1982.</t>
        </is>
      </c>
      <c r="M481" t="inlineStr">
        <is>
          <t>1982</t>
        </is>
      </c>
      <c r="O481" t="inlineStr">
        <is>
          <t>eng</t>
        </is>
      </c>
      <c r="P481" t="inlineStr">
        <is>
          <t>cau</t>
        </is>
      </c>
      <c r="R481" t="inlineStr">
        <is>
          <t xml:space="preserve">HM </t>
        </is>
      </c>
      <c r="S481" t="n">
        <v>12</v>
      </c>
      <c r="T481" t="n">
        <v>12</v>
      </c>
      <c r="U481" t="inlineStr">
        <is>
          <t>2000-02-29</t>
        </is>
      </c>
      <c r="V481" t="inlineStr">
        <is>
          <t>2000-02-29</t>
        </is>
      </c>
      <c r="W481" t="inlineStr">
        <is>
          <t>1992-09-03</t>
        </is>
      </c>
      <c r="X481" t="inlineStr">
        <is>
          <t>1992-09-03</t>
        </is>
      </c>
      <c r="Y481" t="n">
        <v>320</v>
      </c>
      <c r="Z481" t="n">
        <v>268</v>
      </c>
      <c r="AA481" t="n">
        <v>269</v>
      </c>
      <c r="AB481" t="n">
        <v>4</v>
      </c>
      <c r="AC481" t="n">
        <v>4</v>
      </c>
      <c r="AD481" t="n">
        <v>9</v>
      </c>
      <c r="AE481" t="n">
        <v>9</v>
      </c>
      <c r="AF481" t="n">
        <v>2</v>
      </c>
      <c r="AG481" t="n">
        <v>2</v>
      </c>
      <c r="AH481" t="n">
        <v>1</v>
      </c>
      <c r="AI481" t="n">
        <v>1</v>
      </c>
      <c r="AJ481" t="n">
        <v>4</v>
      </c>
      <c r="AK481" t="n">
        <v>4</v>
      </c>
      <c r="AL481" t="n">
        <v>3</v>
      </c>
      <c r="AM481" t="n">
        <v>3</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HYPERLINK("https://creighton-primo.hosted.exlibrisgroup.com/primo-explore/search?tab=default_tab&amp;search_scope=EVERYTHING&amp;vid=01CRU&amp;lang=en_US&amp;offset=0&amp;query=any,contains,991005133479702656","Catalog Record")</f>
        <v/>
      </c>
      <c r="AT481">
        <f>HYPERLINK("http://www.worldcat.org/oclc/7574453","WorldCat Record")</f>
        <v/>
      </c>
      <c r="AU481" t="inlineStr">
        <is>
          <t>28856976:eng</t>
        </is>
      </c>
      <c r="AV481" t="inlineStr">
        <is>
          <t>7574453</t>
        </is>
      </c>
      <c r="AW481" t="inlineStr">
        <is>
          <t>991005133479702656</t>
        </is>
      </c>
      <c r="AX481" t="inlineStr">
        <is>
          <t>991005133479702656</t>
        </is>
      </c>
      <c r="AY481" t="inlineStr">
        <is>
          <t>2270997120002656</t>
        </is>
      </c>
      <c r="AZ481" t="inlineStr">
        <is>
          <t>BOOK</t>
        </is>
      </c>
      <c r="BB481" t="inlineStr">
        <is>
          <t>9780534010065</t>
        </is>
      </c>
      <c r="BC481" t="inlineStr">
        <is>
          <t>32285001267979</t>
        </is>
      </c>
      <c r="BD481" t="inlineStr">
        <is>
          <t>893783069</t>
        </is>
      </c>
    </row>
    <row r="482">
      <c r="A482" t="inlineStr">
        <is>
          <t>No</t>
        </is>
      </c>
      <c r="B482" t="inlineStr">
        <is>
          <t>HM258 .S648 1999</t>
        </is>
      </c>
      <c r="C482" t="inlineStr">
        <is>
          <t>0                      HM 0258000S  648         1999</t>
        </is>
      </c>
      <c r="D482" t="inlineStr">
        <is>
          <t>Soundbite culture : the death of discourse in a wired world / David Slayden [and] Rita Kirk Whillock, editors.</t>
        </is>
      </c>
      <c r="F482" t="inlineStr">
        <is>
          <t>No</t>
        </is>
      </c>
      <c r="G482" t="inlineStr">
        <is>
          <t>1</t>
        </is>
      </c>
      <c r="H482" t="inlineStr">
        <is>
          <t>No</t>
        </is>
      </c>
      <c r="I482" t="inlineStr">
        <is>
          <t>No</t>
        </is>
      </c>
      <c r="J482" t="inlineStr">
        <is>
          <t>0</t>
        </is>
      </c>
      <c r="L482" t="inlineStr">
        <is>
          <t>Thousand Oaks, Calif. : Sage Publications, c1999.</t>
        </is>
      </c>
      <c r="M482" t="inlineStr">
        <is>
          <t>1999</t>
        </is>
      </c>
      <c r="O482" t="inlineStr">
        <is>
          <t>eng</t>
        </is>
      </c>
      <c r="P482" t="inlineStr">
        <is>
          <t>cau</t>
        </is>
      </c>
      <c r="R482" t="inlineStr">
        <is>
          <t xml:space="preserve">HM </t>
        </is>
      </c>
      <c r="S482" t="n">
        <v>11</v>
      </c>
      <c r="T482" t="n">
        <v>11</v>
      </c>
      <c r="U482" t="inlineStr">
        <is>
          <t>2008-03-30</t>
        </is>
      </c>
      <c r="V482" t="inlineStr">
        <is>
          <t>2008-03-30</t>
        </is>
      </c>
      <c r="W482" t="inlineStr">
        <is>
          <t>1999-09-02</t>
        </is>
      </c>
      <c r="X482" t="inlineStr">
        <is>
          <t>1999-09-02</t>
        </is>
      </c>
      <c r="Y482" t="n">
        <v>410</v>
      </c>
      <c r="Z482" t="n">
        <v>311</v>
      </c>
      <c r="AA482" t="n">
        <v>317</v>
      </c>
      <c r="AB482" t="n">
        <v>5</v>
      </c>
      <c r="AC482" t="n">
        <v>5</v>
      </c>
      <c r="AD482" t="n">
        <v>23</v>
      </c>
      <c r="AE482" t="n">
        <v>23</v>
      </c>
      <c r="AF482" t="n">
        <v>10</v>
      </c>
      <c r="AG482" t="n">
        <v>10</v>
      </c>
      <c r="AH482" t="n">
        <v>4</v>
      </c>
      <c r="AI482" t="n">
        <v>4</v>
      </c>
      <c r="AJ482" t="n">
        <v>9</v>
      </c>
      <c r="AK482" t="n">
        <v>9</v>
      </c>
      <c r="AL482" t="n">
        <v>4</v>
      </c>
      <c r="AM482" t="n">
        <v>4</v>
      </c>
      <c r="AN482" t="n">
        <v>0</v>
      </c>
      <c r="AO482" t="n">
        <v>0</v>
      </c>
      <c r="AP482" t="inlineStr">
        <is>
          <t>No</t>
        </is>
      </c>
      <c r="AQ482" t="inlineStr">
        <is>
          <t>Yes</t>
        </is>
      </c>
      <c r="AR482">
        <f>HYPERLINK("http://catalog.hathitrust.org/Record/004027890","HathiTrust Record")</f>
        <v/>
      </c>
      <c r="AS482">
        <f>HYPERLINK("https://creighton-primo.hosted.exlibrisgroup.com/primo-explore/search?tab=default_tab&amp;search_scope=EVERYTHING&amp;vid=01CRU&amp;lang=en_US&amp;offset=0&amp;query=any,contains,991002976789702656","Catalog Record")</f>
        <v/>
      </c>
      <c r="AT482">
        <f>HYPERLINK("http://www.worldcat.org/oclc/39922849","WorldCat Record")</f>
        <v/>
      </c>
      <c r="AU482" t="inlineStr">
        <is>
          <t>836997367:eng</t>
        </is>
      </c>
      <c r="AV482" t="inlineStr">
        <is>
          <t>39922849</t>
        </is>
      </c>
      <c r="AW482" t="inlineStr">
        <is>
          <t>991002976789702656</t>
        </is>
      </c>
      <c r="AX482" t="inlineStr">
        <is>
          <t>991002976789702656</t>
        </is>
      </c>
      <c r="AY482" t="inlineStr">
        <is>
          <t>2263229880002656</t>
        </is>
      </c>
      <c r="AZ482" t="inlineStr">
        <is>
          <t>BOOK</t>
        </is>
      </c>
      <c r="BB482" t="inlineStr">
        <is>
          <t>9780761908715</t>
        </is>
      </c>
      <c r="BC482" t="inlineStr">
        <is>
          <t>32285003586228</t>
        </is>
      </c>
      <c r="BD482" t="inlineStr">
        <is>
          <t>893505053</t>
        </is>
      </c>
    </row>
    <row r="483">
      <c r="A483" t="inlineStr">
        <is>
          <t>No</t>
        </is>
      </c>
      <c r="B483" t="inlineStr">
        <is>
          <t>HM258 .U73</t>
        </is>
      </c>
      <c r="C483" t="inlineStr">
        <is>
          <t>0                      HM 0258000U  73</t>
        </is>
      </c>
      <c r="D483" t="inlineStr">
        <is>
          <t>The Uses of mass communications : current perspectives on gratifications research / Jay G. Blumler and Elihu Katz, editors.</t>
        </is>
      </c>
      <c r="F483" t="inlineStr">
        <is>
          <t>No</t>
        </is>
      </c>
      <c r="G483" t="inlineStr">
        <is>
          <t>1</t>
        </is>
      </c>
      <c r="H483" t="inlineStr">
        <is>
          <t>No</t>
        </is>
      </c>
      <c r="I483" t="inlineStr">
        <is>
          <t>No</t>
        </is>
      </c>
      <c r="J483" t="inlineStr">
        <is>
          <t>0</t>
        </is>
      </c>
      <c r="L483" t="inlineStr">
        <is>
          <t>Beverly Hills : Sage Publications, c1974.</t>
        </is>
      </c>
      <c r="M483" t="inlineStr">
        <is>
          <t>1974</t>
        </is>
      </c>
      <c r="O483" t="inlineStr">
        <is>
          <t>eng</t>
        </is>
      </c>
      <c r="P483" t="inlineStr">
        <is>
          <t>cau</t>
        </is>
      </c>
      <c r="Q483" t="inlineStr">
        <is>
          <t>Sage annual reviews of communication research ; v. 3</t>
        </is>
      </c>
      <c r="R483" t="inlineStr">
        <is>
          <t xml:space="preserve">HM </t>
        </is>
      </c>
      <c r="S483" t="n">
        <v>1</v>
      </c>
      <c r="T483" t="n">
        <v>1</v>
      </c>
      <c r="U483" t="inlineStr">
        <is>
          <t>2005-09-19</t>
        </is>
      </c>
      <c r="V483" t="inlineStr">
        <is>
          <t>2005-09-19</t>
        </is>
      </c>
      <c r="W483" t="inlineStr">
        <is>
          <t>1997-07-31</t>
        </is>
      </c>
      <c r="X483" t="inlineStr">
        <is>
          <t>1997-07-31</t>
        </is>
      </c>
      <c r="Y483" t="n">
        <v>680</v>
      </c>
      <c r="Z483" t="n">
        <v>501</v>
      </c>
      <c r="AA483" t="n">
        <v>504</v>
      </c>
      <c r="AB483" t="n">
        <v>4</v>
      </c>
      <c r="AC483" t="n">
        <v>4</v>
      </c>
      <c r="AD483" t="n">
        <v>32</v>
      </c>
      <c r="AE483" t="n">
        <v>32</v>
      </c>
      <c r="AF483" t="n">
        <v>15</v>
      </c>
      <c r="AG483" t="n">
        <v>15</v>
      </c>
      <c r="AH483" t="n">
        <v>6</v>
      </c>
      <c r="AI483" t="n">
        <v>6</v>
      </c>
      <c r="AJ483" t="n">
        <v>19</v>
      </c>
      <c r="AK483" t="n">
        <v>19</v>
      </c>
      <c r="AL483" t="n">
        <v>2</v>
      </c>
      <c r="AM483" t="n">
        <v>2</v>
      </c>
      <c r="AN483" t="n">
        <v>0</v>
      </c>
      <c r="AO483" t="n">
        <v>0</v>
      </c>
      <c r="AP483" t="inlineStr">
        <is>
          <t>No</t>
        </is>
      </c>
      <c r="AQ483" t="inlineStr">
        <is>
          <t>Yes</t>
        </is>
      </c>
      <c r="AR483">
        <f>HYPERLINK("http://catalog.hathitrust.org/Record/000042194","HathiTrust Record")</f>
        <v/>
      </c>
      <c r="AS483">
        <f>HYPERLINK("https://creighton-primo.hosted.exlibrisgroup.com/primo-explore/search?tab=default_tab&amp;search_scope=EVERYTHING&amp;vid=01CRU&amp;lang=en_US&amp;offset=0&amp;query=any,contains,991003717329702656","Catalog Record")</f>
        <v/>
      </c>
      <c r="AT483">
        <f>HYPERLINK("http://www.worldcat.org/oclc/1363444","WorldCat Record")</f>
        <v/>
      </c>
      <c r="AU483" t="inlineStr">
        <is>
          <t>889521793:eng</t>
        </is>
      </c>
      <c r="AV483" t="inlineStr">
        <is>
          <t>1363444</t>
        </is>
      </c>
      <c r="AW483" t="inlineStr">
        <is>
          <t>991003717329702656</t>
        </is>
      </c>
      <c r="AX483" t="inlineStr">
        <is>
          <t>991003717329702656</t>
        </is>
      </c>
      <c r="AY483" t="inlineStr">
        <is>
          <t>2259249500002656</t>
        </is>
      </c>
      <c r="AZ483" t="inlineStr">
        <is>
          <t>BOOK</t>
        </is>
      </c>
      <c r="BB483" t="inlineStr">
        <is>
          <t>9780803903401</t>
        </is>
      </c>
      <c r="BC483" t="inlineStr">
        <is>
          <t>32285003018271</t>
        </is>
      </c>
      <c r="BD483" t="inlineStr">
        <is>
          <t>893875072</t>
        </is>
      </c>
    </row>
    <row r="484">
      <c r="A484" t="inlineStr">
        <is>
          <t>No</t>
        </is>
      </c>
      <c r="B484" t="inlineStr">
        <is>
          <t>HM258 .W4</t>
        </is>
      </c>
      <c r="C484" t="inlineStr">
        <is>
          <t>0                      HM 0258000W  4</t>
        </is>
      </c>
      <c r="D484" t="inlineStr">
        <is>
          <t>Mass media and society.</t>
        </is>
      </c>
      <c r="F484" t="inlineStr">
        <is>
          <t>No</t>
        </is>
      </c>
      <c r="G484" t="inlineStr">
        <is>
          <t>1</t>
        </is>
      </c>
      <c r="H484" t="inlineStr">
        <is>
          <t>No</t>
        </is>
      </c>
      <c r="I484" t="inlineStr">
        <is>
          <t>No</t>
        </is>
      </c>
      <c r="J484" t="inlineStr">
        <is>
          <t>0</t>
        </is>
      </c>
      <c r="K484" t="inlineStr">
        <is>
          <t>Wells, Alan, 1940-, compiler.</t>
        </is>
      </c>
      <c r="L484" t="inlineStr">
        <is>
          <t>Palo Alto, Calif. : National Press Books, [1972]</t>
        </is>
      </c>
      <c r="M484" t="inlineStr">
        <is>
          <t>1972</t>
        </is>
      </c>
      <c r="N484" t="inlineStr">
        <is>
          <t>[1st ed.]</t>
        </is>
      </c>
      <c r="O484" t="inlineStr">
        <is>
          <t>eng</t>
        </is>
      </c>
      <c r="P484" t="inlineStr">
        <is>
          <t>cau</t>
        </is>
      </c>
      <c r="R484" t="inlineStr">
        <is>
          <t xml:space="preserve">HM </t>
        </is>
      </c>
      <c r="S484" t="n">
        <v>61</v>
      </c>
      <c r="T484" t="n">
        <v>61</v>
      </c>
      <c r="U484" t="inlineStr">
        <is>
          <t>2007-03-24</t>
        </is>
      </c>
      <c r="V484" t="inlineStr">
        <is>
          <t>2007-03-24</t>
        </is>
      </c>
      <c r="W484" t="inlineStr">
        <is>
          <t>1992-09-14</t>
        </is>
      </c>
      <c r="X484" t="inlineStr">
        <is>
          <t>1992-09-14</t>
        </is>
      </c>
      <c r="Y484" t="n">
        <v>299</v>
      </c>
      <c r="Z484" t="n">
        <v>233</v>
      </c>
      <c r="AA484" t="n">
        <v>532</v>
      </c>
      <c r="AB484" t="n">
        <v>3</v>
      </c>
      <c r="AC484" t="n">
        <v>4</v>
      </c>
      <c r="AD484" t="n">
        <v>6</v>
      </c>
      <c r="AE484" t="n">
        <v>29</v>
      </c>
      <c r="AF484" t="n">
        <v>1</v>
      </c>
      <c r="AG484" t="n">
        <v>12</v>
      </c>
      <c r="AH484" t="n">
        <v>2</v>
      </c>
      <c r="AI484" t="n">
        <v>5</v>
      </c>
      <c r="AJ484" t="n">
        <v>2</v>
      </c>
      <c r="AK484" t="n">
        <v>16</v>
      </c>
      <c r="AL484" t="n">
        <v>2</v>
      </c>
      <c r="AM484" t="n">
        <v>3</v>
      </c>
      <c r="AN484" t="n">
        <v>0</v>
      </c>
      <c r="AO484" t="n">
        <v>0</v>
      </c>
      <c r="AP484" t="inlineStr">
        <is>
          <t>No</t>
        </is>
      </c>
      <c r="AQ484" t="inlineStr">
        <is>
          <t>Yes</t>
        </is>
      </c>
      <c r="AR484">
        <f>HYPERLINK("http://catalog.hathitrust.org/Record/000973863","HathiTrust Record")</f>
        <v/>
      </c>
      <c r="AS484">
        <f>HYPERLINK("https://creighton-primo.hosted.exlibrisgroup.com/primo-explore/search?tab=default_tab&amp;search_scope=EVERYTHING&amp;vid=01CRU&amp;lang=en_US&amp;offset=0&amp;query=any,contains,991002666009702656","Catalog Record")</f>
        <v/>
      </c>
      <c r="AT484">
        <f>HYPERLINK("http://www.worldcat.org/oclc/393209","WorldCat Record")</f>
        <v/>
      </c>
      <c r="AU484" t="inlineStr">
        <is>
          <t>3943285388:eng</t>
        </is>
      </c>
      <c r="AV484" t="inlineStr">
        <is>
          <t>393209</t>
        </is>
      </c>
      <c r="AW484" t="inlineStr">
        <is>
          <t>991002666009702656</t>
        </is>
      </c>
      <c r="AX484" t="inlineStr">
        <is>
          <t>991002666009702656</t>
        </is>
      </c>
      <c r="AY484" t="inlineStr">
        <is>
          <t>2263690170002656</t>
        </is>
      </c>
      <c r="AZ484" t="inlineStr">
        <is>
          <t>BOOK</t>
        </is>
      </c>
      <c r="BB484" t="inlineStr">
        <is>
          <t>9780874842050</t>
        </is>
      </c>
      <c r="BC484" t="inlineStr">
        <is>
          <t>32285001300366</t>
        </is>
      </c>
      <c r="BD484" t="inlineStr">
        <is>
          <t>893886557</t>
        </is>
      </c>
    </row>
    <row r="485">
      <c r="A485" t="inlineStr">
        <is>
          <t>No</t>
        </is>
      </c>
      <c r="B485" t="inlineStr">
        <is>
          <t>HM258 .W66 1992</t>
        </is>
      </c>
      <c r="C485" t="inlineStr">
        <is>
          <t>0                      HM 0258000W  66          1992</t>
        </is>
      </c>
      <c r="D485" t="inlineStr">
        <is>
          <t>Persuasion &amp; influence in American life / Gary C. Woodward, Robert E. Denton, Jr.</t>
        </is>
      </c>
      <c r="F485" t="inlineStr">
        <is>
          <t>No</t>
        </is>
      </c>
      <c r="G485" t="inlineStr">
        <is>
          <t>1</t>
        </is>
      </c>
      <c r="H485" t="inlineStr">
        <is>
          <t>No</t>
        </is>
      </c>
      <c r="I485" t="inlineStr">
        <is>
          <t>No</t>
        </is>
      </c>
      <c r="J485" t="inlineStr">
        <is>
          <t>0</t>
        </is>
      </c>
      <c r="K485" t="inlineStr">
        <is>
          <t>Woodward, Gary C.</t>
        </is>
      </c>
      <c r="L485" t="inlineStr">
        <is>
          <t>Prospect Heights, Ill. : Waveland Press, c1992.</t>
        </is>
      </c>
      <c r="M485" t="inlineStr">
        <is>
          <t>1992</t>
        </is>
      </c>
      <c r="N485" t="inlineStr">
        <is>
          <t>2nd ed.</t>
        </is>
      </c>
      <c r="O485" t="inlineStr">
        <is>
          <t>eng</t>
        </is>
      </c>
      <c r="P485" t="inlineStr">
        <is>
          <t>ilu</t>
        </is>
      </c>
      <c r="R485" t="inlineStr">
        <is>
          <t xml:space="preserve">HM </t>
        </is>
      </c>
      <c r="S485" t="n">
        <v>8</v>
      </c>
      <c r="T485" t="n">
        <v>8</v>
      </c>
      <c r="U485" t="inlineStr">
        <is>
          <t>1999-02-20</t>
        </is>
      </c>
      <c r="V485" t="inlineStr">
        <is>
          <t>1999-02-20</t>
        </is>
      </c>
      <c r="W485" t="inlineStr">
        <is>
          <t>1992-12-02</t>
        </is>
      </c>
      <c r="X485" t="inlineStr">
        <is>
          <t>1992-12-02</t>
        </is>
      </c>
      <c r="Y485" t="n">
        <v>69</v>
      </c>
      <c r="Z485" t="n">
        <v>65</v>
      </c>
      <c r="AA485" t="n">
        <v>362</v>
      </c>
      <c r="AB485" t="n">
        <v>1</v>
      </c>
      <c r="AC485" t="n">
        <v>3</v>
      </c>
      <c r="AD485" t="n">
        <v>0</v>
      </c>
      <c r="AE485" t="n">
        <v>16</v>
      </c>
      <c r="AF485" t="n">
        <v>0</v>
      </c>
      <c r="AG485" t="n">
        <v>5</v>
      </c>
      <c r="AH485" t="n">
        <v>0</v>
      </c>
      <c r="AI485" t="n">
        <v>5</v>
      </c>
      <c r="AJ485" t="n">
        <v>0</v>
      </c>
      <c r="AK485" t="n">
        <v>7</v>
      </c>
      <c r="AL485" t="n">
        <v>0</v>
      </c>
      <c r="AM485" t="n">
        <v>2</v>
      </c>
      <c r="AN485" t="n">
        <v>0</v>
      </c>
      <c r="AO485" t="n">
        <v>0</v>
      </c>
      <c r="AP485" t="inlineStr">
        <is>
          <t>No</t>
        </is>
      </c>
      <c r="AQ485" t="inlineStr">
        <is>
          <t>Yes</t>
        </is>
      </c>
      <c r="AR485">
        <f>HYPERLINK("http://catalog.hathitrust.org/Record/007571048","HathiTrust Record")</f>
        <v/>
      </c>
      <c r="AS485">
        <f>HYPERLINK("https://creighton-primo.hosted.exlibrisgroup.com/primo-explore/search?tab=default_tab&amp;search_scope=EVERYTHING&amp;vid=01CRU&amp;lang=en_US&amp;offset=0&amp;query=any,contains,991002033649702656","Catalog Record")</f>
        <v/>
      </c>
      <c r="AT485">
        <f>HYPERLINK("http://www.worldcat.org/oclc/27727870","WorldCat Record")</f>
        <v/>
      </c>
      <c r="AU485" t="inlineStr">
        <is>
          <t>27617358:eng</t>
        </is>
      </c>
      <c r="AV485" t="inlineStr">
        <is>
          <t>27727870</t>
        </is>
      </c>
      <c r="AW485" t="inlineStr">
        <is>
          <t>991002033649702656</t>
        </is>
      </c>
      <c r="AX485" t="inlineStr">
        <is>
          <t>991002033649702656</t>
        </is>
      </c>
      <c r="AY485" t="inlineStr">
        <is>
          <t>2264887150002656</t>
        </is>
      </c>
      <c r="AZ485" t="inlineStr">
        <is>
          <t>BOOK</t>
        </is>
      </c>
      <c r="BB485" t="inlineStr">
        <is>
          <t>9780881336429</t>
        </is>
      </c>
      <c r="BC485" t="inlineStr">
        <is>
          <t>32285001401180</t>
        </is>
      </c>
      <c r="BD485" t="inlineStr">
        <is>
          <t>893603130</t>
        </is>
      </c>
    </row>
    <row r="486">
      <c r="A486" t="inlineStr">
        <is>
          <t>No</t>
        </is>
      </c>
      <c r="B486" t="inlineStr">
        <is>
          <t>HM259 .T87 1991</t>
        </is>
      </c>
      <c r="C486" t="inlineStr">
        <is>
          <t>0                      HM 0259000T  87          1991</t>
        </is>
      </c>
      <c r="D486" t="inlineStr">
        <is>
          <t>Social influence / John C. Turner.</t>
        </is>
      </c>
      <c r="F486" t="inlineStr">
        <is>
          <t>No</t>
        </is>
      </c>
      <c r="G486" t="inlineStr">
        <is>
          <t>1</t>
        </is>
      </c>
      <c r="H486" t="inlineStr">
        <is>
          <t>No</t>
        </is>
      </c>
      <c r="I486" t="inlineStr">
        <is>
          <t>No</t>
        </is>
      </c>
      <c r="J486" t="inlineStr">
        <is>
          <t>0</t>
        </is>
      </c>
      <c r="K486" t="inlineStr">
        <is>
          <t>Turner, John C., 1947-</t>
        </is>
      </c>
      <c r="L486" t="inlineStr">
        <is>
          <t>Pacific Grove, Calif. : Brooks/Cole, 1991.</t>
        </is>
      </c>
      <c r="M486" t="inlineStr">
        <is>
          <t>1991</t>
        </is>
      </c>
      <c r="O486" t="inlineStr">
        <is>
          <t>eng</t>
        </is>
      </c>
      <c r="P486" t="inlineStr">
        <is>
          <t>cau</t>
        </is>
      </c>
      <c r="Q486" t="inlineStr">
        <is>
          <t>Mapping social psychology series</t>
        </is>
      </c>
      <c r="R486" t="inlineStr">
        <is>
          <t xml:space="preserve">HM </t>
        </is>
      </c>
      <c r="S486" t="n">
        <v>17</v>
      </c>
      <c r="T486" t="n">
        <v>17</v>
      </c>
      <c r="U486" t="inlineStr">
        <is>
          <t>2006-02-21</t>
        </is>
      </c>
      <c r="V486" t="inlineStr">
        <is>
          <t>2006-02-21</t>
        </is>
      </c>
      <c r="W486" t="inlineStr">
        <is>
          <t>1993-06-10</t>
        </is>
      </c>
      <c r="X486" t="inlineStr">
        <is>
          <t>1993-06-10</t>
        </is>
      </c>
      <c r="Y486" t="n">
        <v>198</v>
      </c>
      <c r="Z486" t="n">
        <v>134</v>
      </c>
      <c r="AA486" t="n">
        <v>162</v>
      </c>
      <c r="AB486" t="n">
        <v>1</v>
      </c>
      <c r="AC486" t="n">
        <v>2</v>
      </c>
      <c r="AD486" t="n">
        <v>4</v>
      </c>
      <c r="AE486" t="n">
        <v>8</v>
      </c>
      <c r="AF486" t="n">
        <v>3</v>
      </c>
      <c r="AG486" t="n">
        <v>3</v>
      </c>
      <c r="AH486" t="n">
        <v>0</v>
      </c>
      <c r="AI486" t="n">
        <v>2</v>
      </c>
      <c r="AJ486" t="n">
        <v>1</v>
      </c>
      <c r="AK486" t="n">
        <v>4</v>
      </c>
      <c r="AL486" t="n">
        <v>0</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HYPERLINK("https://creighton-primo.hosted.exlibrisgroup.com/primo-explore/search?tab=default_tab&amp;search_scope=EVERYTHING&amp;vid=01CRU&amp;lang=en_US&amp;offset=0&amp;query=any,contains,991001876039702656","Catalog Record")</f>
        <v/>
      </c>
      <c r="AT486">
        <f>HYPERLINK("http://www.worldcat.org/oclc/23687968","WorldCat Record")</f>
        <v/>
      </c>
      <c r="AU486" t="inlineStr">
        <is>
          <t>24301427:eng</t>
        </is>
      </c>
      <c r="AV486" t="inlineStr">
        <is>
          <t>23687968</t>
        </is>
      </c>
      <c r="AW486" t="inlineStr">
        <is>
          <t>991001876039702656</t>
        </is>
      </c>
      <c r="AX486" t="inlineStr">
        <is>
          <t>991001876039702656</t>
        </is>
      </c>
      <c r="AY486" t="inlineStr">
        <is>
          <t>2268230560002656</t>
        </is>
      </c>
      <c r="AZ486" t="inlineStr">
        <is>
          <t>BOOK</t>
        </is>
      </c>
      <c r="BB486" t="inlineStr">
        <is>
          <t>9780534169503</t>
        </is>
      </c>
      <c r="BC486" t="inlineStr">
        <is>
          <t>32285001694461</t>
        </is>
      </c>
      <c r="BD486" t="inlineStr">
        <is>
          <t>893503767</t>
        </is>
      </c>
    </row>
    <row r="487">
      <c r="A487" t="inlineStr">
        <is>
          <t>No</t>
        </is>
      </c>
      <c r="B487" t="inlineStr">
        <is>
          <t>HM26 .D813 1983</t>
        </is>
      </c>
      <c r="C487" t="inlineStr">
        <is>
          <t>0                      HM 0026000D  813         1983</t>
        </is>
      </c>
      <c r="D487" t="inlineStr">
        <is>
          <t>Pragmatism and sociology / Emile Durkheim ; translated by J.C. Whitehouse ; edited and introduced by John B. Allcock ; with a preface by Armand Cuvillier.</t>
        </is>
      </c>
      <c r="F487" t="inlineStr">
        <is>
          <t>No</t>
        </is>
      </c>
      <c r="G487" t="inlineStr">
        <is>
          <t>1</t>
        </is>
      </c>
      <c r="H487" t="inlineStr">
        <is>
          <t>No</t>
        </is>
      </c>
      <c r="I487" t="inlineStr">
        <is>
          <t>No</t>
        </is>
      </c>
      <c r="J487" t="inlineStr">
        <is>
          <t>0</t>
        </is>
      </c>
      <c r="K487" t="inlineStr">
        <is>
          <t>Durkheim, Émile, 1858-1917.</t>
        </is>
      </c>
      <c r="L487" t="inlineStr">
        <is>
          <t>Cambridge [Cambridgeshire] ; New York : Cambridge University Press, 1983.</t>
        </is>
      </c>
      <c r="M487" t="inlineStr">
        <is>
          <t>1983</t>
        </is>
      </c>
      <c r="O487" t="inlineStr">
        <is>
          <t>eng</t>
        </is>
      </c>
      <c r="P487" t="inlineStr">
        <is>
          <t>enk</t>
        </is>
      </c>
      <c r="R487" t="inlineStr">
        <is>
          <t xml:space="preserve">HM </t>
        </is>
      </c>
      <c r="S487" t="n">
        <v>1</v>
      </c>
      <c r="T487" t="n">
        <v>1</v>
      </c>
      <c r="U487" t="inlineStr">
        <is>
          <t>1995-11-16</t>
        </is>
      </c>
      <c r="V487" t="inlineStr">
        <is>
          <t>1995-11-16</t>
        </is>
      </c>
      <c r="W487" t="inlineStr">
        <is>
          <t>1992-08-12</t>
        </is>
      </c>
      <c r="X487" t="inlineStr">
        <is>
          <t>1992-08-12</t>
        </is>
      </c>
      <c r="Y487" t="n">
        <v>444</v>
      </c>
      <c r="Z487" t="n">
        <v>300</v>
      </c>
      <c r="AA487" t="n">
        <v>300</v>
      </c>
      <c r="AB487" t="n">
        <v>2</v>
      </c>
      <c r="AC487" t="n">
        <v>2</v>
      </c>
      <c r="AD487" t="n">
        <v>14</v>
      </c>
      <c r="AE487" t="n">
        <v>14</v>
      </c>
      <c r="AF487" t="n">
        <v>3</v>
      </c>
      <c r="AG487" t="n">
        <v>3</v>
      </c>
      <c r="AH487" t="n">
        <v>4</v>
      </c>
      <c r="AI487" t="n">
        <v>4</v>
      </c>
      <c r="AJ487" t="n">
        <v>11</v>
      </c>
      <c r="AK487" t="n">
        <v>11</v>
      </c>
      <c r="AL487" t="n">
        <v>1</v>
      </c>
      <c r="AM487" t="n">
        <v>1</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HYPERLINK("https://creighton-primo.hosted.exlibrisgroup.com/primo-explore/search?tab=default_tab&amp;search_scope=EVERYTHING&amp;vid=01CRU&amp;lang=en_US&amp;offset=0&amp;query=any,contains,991000056839702656","Catalog Record")</f>
        <v/>
      </c>
      <c r="AT487">
        <f>HYPERLINK("http://www.worldcat.org/oclc/8709318","WorldCat Record")</f>
        <v/>
      </c>
      <c r="AU487" t="inlineStr">
        <is>
          <t>2908976779:eng</t>
        </is>
      </c>
      <c r="AV487" t="inlineStr">
        <is>
          <t>8709318</t>
        </is>
      </c>
      <c r="AW487" t="inlineStr">
        <is>
          <t>991000056839702656</t>
        </is>
      </c>
      <c r="AX487" t="inlineStr">
        <is>
          <t>991000056839702656</t>
        </is>
      </c>
      <c r="AY487" t="inlineStr">
        <is>
          <t>2256577430002656</t>
        </is>
      </c>
      <c r="AZ487" t="inlineStr">
        <is>
          <t>BOOK</t>
        </is>
      </c>
      <c r="BB487" t="inlineStr">
        <is>
          <t>9780521246866</t>
        </is>
      </c>
      <c r="BC487" t="inlineStr">
        <is>
          <t>32285001194348</t>
        </is>
      </c>
      <c r="BD487" t="inlineStr">
        <is>
          <t>893802453</t>
        </is>
      </c>
    </row>
    <row r="488">
      <c r="A488" t="inlineStr">
        <is>
          <t>No</t>
        </is>
      </c>
      <c r="B488" t="inlineStr">
        <is>
          <t>HM26 .M87 1989</t>
        </is>
      </c>
      <c r="C488" t="inlineStr">
        <is>
          <t>0                      HM 0026000M  87          1989</t>
        </is>
      </c>
      <c r="D488" t="inlineStr">
        <is>
          <t>Postmodern social analysis and criticism / John W. Murphy.</t>
        </is>
      </c>
      <c r="F488" t="inlineStr">
        <is>
          <t>No</t>
        </is>
      </c>
      <c r="G488" t="inlineStr">
        <is>
          <t>1</t>
        </is>
      </c>
      <c r="H488" t="inlineStr">
        <is>
          <t>No</t>
        </is>
      </c>
      <c r="I488" t="inlineStr">
        <is>
          <t>No</t>
        </is>
      </c>
      <c r="J488" t="inlineStr">
        <is>
          <t>0</t>
        </is>
      </c>
      <c r="K488" t="inlineStr">
        <is>
          <t>Murphy, John W.</t>
        </is>
      </c>
      <c r="L488" t="inlineStr">
        <is>
          <t>New York : Greenwood Press, 1989.</t>
        </is>
      </c>
      <c r="M488" t="inlineStr">
        <is>
          <t>1989</t>
        </is>
      </c>
      <c r="O488" t="inlineStr">
        <is>
          <t>eng</t>
        </is>
      </c>
      <c r="P488" t="inlineStr">
        <is>
          <t>nyu</t>
        </is>
      </c>
      <c r="Q488" t="inlineStr">
        <is>
          <t>Contributions in sociology, 0084-9278 ; no. 79</t>
        </is>
      </c>
      <c r="R488" t="inlineStr">
        <is>
          <t xml:space="preserve">HM </t>
        </is>
      </c>
      <c r="S488" t="n">
        <v>2</v>
      </c>
      <c r="T488" t="n">
        <v>2</v>
      </c>
      <c r="U488" t="inlineStr">
        <is>
          <t>1995-03-15</t>
        </is>
      </c>
      <c r="V488" t="inlineStr">
        <is>
          <t>1995-03-15</t>
        </is>
      </c>
      <c r="W488" t="inlineStr">
        <is>
          <t>1990-07-25</t>
        </is>
      </c>
      <c r="X488" t="inlineStr">
        <is>
          <t>1990-07-25</t>
        </is>
      </c>
      <c r="Y488" t="n">
        <v>349</v>
      </c>
      <c r="Z488" t="n">
        <v>260</v>
      </c>
      <c r="AA488" t="n">
        <v>619</v>
      </c>
      <c r="AB488" t="n">
        <v>2</v>
      </c>
      <c r="AC488" t="n">
        <v>5</v>
      </c>
      <c r="AD488" t="n">
        <v>14</v>
      </c>
      <c r="AE488" t="n">
        <v>21</v>
      </c>
      <c r="AF488" t="n">
        <v>3</v>
      </c>
      <c r="AG488" t="n">
        <v>7</v>
      </c>
      <c r="AH488" t="n">
        <v>5</v>
      </c>
      <c r="AI488" t="n">
        <v>6</v>
      </c>
      <c r="AJ488" t="n">
        <v>9</v>
      </c>
      <c r="AK488" t="n">
        <v>10</v>
      </c>
      <c r="AL488" t="n">
        <v>1</v>
      </c>
      <c r="AM488" t="n">
        <v>4</v>
      </c>
      <c r="AN488" t="n">
        <v>0</v>
      </c>
      <c r="AO488" t="n">
        <v>0</v>
      </c>
      <c r="AP488" t="inlineStr">
        <is>
          <t>No</t>
        </is>
      </c>
      <c r="AQ488" t="inlineStr">
        <is>
          <t>Yes</t>
        </is>
      </c>
      <c r="AR488">
        <f>HYPERLINK("http://catalog.hathitrust.org/Record/001541204","HathiTrust Record")</f>
        <v/>
      </c>
      <c r="AS488">
        <f>HYPERLINK("https://creighton-primo.hosted.exlibrisgroup.com/primo-explore/search?tab=default_tab&amp;search_scope=EVERYTHING&amp;vid=01CRU&amp;lang=en_US&amp;offset=0&amp;query=any,contains,991001429319702656","Catalog Record")</f>
        <v/>
      </c>
      <c r="AT488">
        <f>HYPERLINK("http://www.worldcat.org/oclc/19067708","WorldCat Record")</f>
        <v/>
      </c>
      <c r="AU488" t="inlineStr">
        <is>
          <t>2618623:eng</t>
        </is>
      </c>
      <c r="AV488" t="inlineStr">
        <is>
          <t>19067708</t>
        </is>
      </c>
      <c r="AW488" t="inlineStr">
        <is>
          <t>991001429319702656</t>
        </is>
      </c>
      <c r="AX488" t="inlineStr">
        <is>
          <t>991001429319702656</t>
        </is>
      </c>
      <c r="AY488" t="inlineStr">
        <is>
          <t>2256668240002656</t>
        </is>
      </c>
      <c r="AZ488" t="inlineStr">
        <is>
          <t>BOOK</t>
        </is>
      </c>
      <c r="BB488" t="inlineStr">
        <is>
          <t>9780313266836</t>
        </is>
      </c>
      <c r="BC488" t="inlineStr">
        <is>
          <t>32285000240142</t>
        </is>
      </c>
      <c r="BD488" t="inlineStr">
        <is>
          <t>893596474</t>
        </is>
      </c>
    </row>
    <row r="489">
      <c r="A489" t="inlineStr">
        <is>
          <t>No</t>
        </is>
      </c>
      <c r="B489" t="inlineStr">
        <is>
          <t>HM26 .V53 1980</t>
        </is>
      </c>
      <c r="C489" t="inlineStr">
        <is>
          <t>0                      HM 0026000V  53          1980</t>
        </is>
      </c>
      <c r="D489" t="inlineStr">
        <is>
          <t>The View from Goffman / edited by Jason Ditton.</t>
        </is>
      </c>
      <c r="F489" t="inlineStr">
        <is>
          <t>No</t>
        </is>
      </c>
      <c r="G489" t="inlineStr">
        <is>
          <t>1</t>
        </is>
      </c>
      <c r="H489" t="inlineStr">
        <is>
          <t>No</t>
        </is>
      </c>
      <c r="I489" t="inlineStr">
        <is>
          <t>No</t>
        </is>
      </c>
      <c r="J489" t="inlineStr">
        <is>
          <t>0</t>
        </is>
      </c>
      <c r="L489" t="inlineStr">
        <is>
          <t>New York : St. Martin's Press, 1980.</t>
        </is>
      </c>
      <c r="M489" t="inlineStr">
        <is>
          <t>1980</t>
        </is>
      </c>
      <c r="O489" t="inlineStr">
        <is>
          <t>eng</t>
        </is>
      </c>
      <c r="P489" t="inlineStr">
        <is>
          <t>nyu</t>
        </is>
      </c>
      <c r="R489" t="inlineStr">
        <is>
          <t xml:space="preserve">HM </t>
        </is>
      </c>
      <c r="S489" t="n">
        <v>5</v>
      </c>
      <c r="T489" t="n">
        <v>5</v>
      </c>
      <c r="U489" t="inlineStr">
        <is>
          <t>2009-10-05</t>
        </is>
      </c>
      <c r="V489" t="inlineStr">
        <is>
          <t>2009-10-05</t>
        </is>
      </c>
      <c r="W489" t="inlineStr">
        <is>
          <t>1992-08-12</t>
        </is>
      </c>
      <c r="X489" t="inlineStr">
        <is>
          <t>1992-08-12</t>
        </is>
      </c>
      <c r="Y489" t="n">
        <v>506</v>
      </c>
      <c r="Z489" t="n">
        <v>465</v>
      </c>
      <c r="AA489" t="n">
        <v>559</v>
      </c>
      <c r="AB489" t="n">
        <v>3</v>
      </c>
      <c r="AC489" t="n">
        <v>4</v>
      </c>
      <c r="AD489" t="n">
        <v>27</v>
      </c>
      <c r="AE489" t="n">
        <v>31</v>
      </c>
      <c r="AF489" t="n">
        <v>10</v>
      </c>
      <c r="AG489" t="n">
        <v>12</v>
      </c>
      <c r="AH489" t="n">
        <v>7</v>
      </c>
      <c r="AI489" t="n">
        <v>7</v>
      </c>
      <c r="AJ489" t="n">
        <v>15</v>
      </c>
      <c r="AK489" t="n">
        <v>16</v>
      </c>
      <c r="AL489" t="n">
        <v>2</v>
      </c>
      <c r="AM489" t="n">
        <v>3</v>
      </c>
      <c r="AN489" t="n">
        <v>0</v>
      </c>
      <c r="AO489" t="n">
        <v>0</v>
      </c>
      <c r="AP489" t="inlineStr">
        <is>
          <t>No</t>
        </is>
      </c>
      <c r="AQ489" t="inlineStr">
        <is>
          <t>Yes</t>
        </is>
      </c>
      <c r="AR489">
        <f>HYPERLINK("http://catalog.hathitrust.org/Record/004396291","HathiTrust Record")</f>
        <v/>
      </c>
      <c r="AS489">
        <f>HYPERLINK("https://creighton-primo.hosted.exlibrisgroup.com/primo-explore/search?tab=default_tab&amp;search_scope=EVERYTHING&amp;vid=01CRU&amp;lang=en_US&amp;offset=0&amp;query=any,contains,991004877149702656","Catalog Record")</f>
        <v/>
      </c>
      <c r="AT489">
        <f>HYPERLINK("http://www.worldcat.org/oclc/5798573","WorldCat Record")</f>
        <v/>
      </c>
      <c r="AU489" t="inlineStr">
        <is>
          <t>54350637:eng</t>
        </is>
      </c>
      <c r="AV489" t="inlineStr">
        <is>
          <t>5798573</t>
        </is>
      </c>
      <c r="AW489" t="inlineStr">
        <is>
          <t>991004877149702656</t>
        </is>
      </c>
      <c r="AX489" t="inlineStr">
        <is>
          <t>991004877149702656</t>
        </is>
      </c>
      <c r="AY489" t="inlineStr">
        <is>
          <t>2267496710002656</t>
        </is>
      </c>
      <c r="AZ489" t="inlineStr">
        <is>
          <t>BOOK</t>
        </is>
      </c>
      <c r="BC489" t="inlineStr">
        <is>
          <t>32285001194389</t>
        </is>
      </c>
      <c r="BD489" t="inlineStr">
        <is>
          <t>893619181</t>
        </is>
      </c>
    </row>
    <row r="490">
      <c r="A490" t="inlineStr">
        <is>
          <t>No</t>
        </is>
      </c>
      <c r="B490" t="inlineStr">
        <is>
          <t>HM261 .B54</t>
        </is>
      </c>
      <c r="C490" t="inlineStr">
        <is>
          <t>0                      HM 0261000B  54</t>
        </is>
      </c>
      <c r="D490" t="inlineStr">
        <is>
          <t>How to conduct consumer and opinion research; the sampling survey in operation, edited by Albert B. Blankenship.</t>
        </is>
      </c>
      <c r="F490" t="inlineStr">
        <is>
          <t>No</t>
        </is>
      </c>
      <c r="G490" t="inlineStr">
        <is>
          <t>1</t>
        </is>
      </c>
      <c r="H490" t="inlineStr">
        <is>
          <t>No</t>
        </is>
      </c>
      <c r="I490" t="inlineStr">
        <is>
          <t>No</t>
        </is>
      </c>
      <c r="J490" t="inlineStr">
        <is>
          <t>0</t>
        </is>
      </c>
      <c r="K490" t="inlineStr">
        <is>
          <t>Blankenship, Albert Breneman, 1914- editor.</t>
        </is>
      </c>
      <c r="L490" t="inlineStr">
        <is>
          <t>New York, Harper [1946]</t>
        </is>
      </c>
      <c r="M490" t="inlineStr">
        <is>
          <t>1946</t>
        </is>
      </c>
      <c r="O490" t="inlineStr">
        <is>
          <t>eng</t>
        </is>
      </c>
      <c r="P490" t="inlineStr">
        <is>
          <t>nyu</t>
        </is>
      </c>
      <c r="Q490" t="inlineStr">
        <is>
          <t>American Council series of public relations books</t>
        </is>
      </c>
      <c r="R490" t="inlineStr">
        <is>
          <t xml:space="preserve">HM </t>
        </is>
      </c>
      <c r="S490" t="n">
        <v>1</v>
      </c>
      <c r="T490" t="n">
        <v>1</v>
      </c>
      <c r="U490" t="inlineStr">
        <is>
          <t>2001-07-09</t>
        </is>
      </c>
      <c r="V490" t="inlineStr">
        <is>
          <t>2001-07-09</t>
        </is>
      </c>
      <c r="W490" t="inlineStr">
        <is>
          <t>1997-07-31</t>
        </is>
      </c>
      <c r="X490" t="inlineStr">
        <is>
          <t>1997-07-31</t>
        </is>
      </c>
      <c r="Y490" t="n">
        <v>275</v>
      </c>
      <c r="Z490" t="n">
        <v>246</v>
      </c>
      <c r="AA490" t="n">
        <v>250</v>
      </c>
      <c r="AB490" t="n">
        <v>2</v>
      </c>
      <c r="AC490" t="n">
        <v>2</v>
      </c>
      <c r="AD490" t="n">
        <v>10</v>
      </c>
      <c r="AE490" t="n">
        <v>10</v>
      </c>
      <c r="AF490" t="n">
        <v>4</v>
      </c>
      <c r="AG490" t="n">
        <v>4</v>
      </c>
      <c r="AH490" t="n">
        <v>1</v>
      </c>
      <c r="AI490" t="n">
        <v>1</v>
      </c>
      <c r="AJ490" t="n">
        <v>5</v>
      </c>
      <c r="AK490" t="n">
        <v>5</v>
      </c>
      <c r="AL490" t="n">
        <v>1</v>
      </c>
      <c r="AM490" t="n">
        <v>1</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HYPERLINK("https://creighton-primo.hosted.exlibrisgroup.com/primo-explore/search?tab=default_tab&amp;search_scope=EVERYTHING&amp;vid=01CRU&amp;lang=en_US&amp;offset=0&amp;query=any,contains,991002967939702656","Catalog Record")</f>
        <v/>
      </c>
      <c r="AT490">
        <f>HYPERLINK("http://www.worldcat.org/oclc/546986","WorldCat Record")</f>
        <v/>
      </c>
      <c r="AU490" t="inlineStr">
        <is>
          <t>3856236767:eng</t>
        </is>
      </c>
      <c r="AV490" t="inlineStr">
        <is>
          <t>546986</t>
        </is>
      </c>
      <c r="AW490" t="inlineStr">
        <is>
          <t>991002967939702656</t>
        </is>
      </c>
      <c r="AX490" t="inlineStr">
        <is>
          <t>991002967939702656</t>
        </is>
      </c>
      <c r="AY490" t="inlineStr">
        <is>
          <t>2264961960002656</t>
        </is>
      </c>
      <c r="AZ490" t="inlineStr">
        <is>
          <t>BOOK</t>
        </is>
      </c>
      <c r="BC490" t="inlineStr">
        <is>
          <t>32285003018347</t>
        </is>
      </c>
      <c r="BD490" t="inlineStr">
        <is>
          <t>893245881</t>
        </is>
      </c>
    </row>
    <row r="491">
      <c r="A491" t="inlineStr">
        <is>
          <t>No</t>
        </is>
      </c>
      <c r="B491" t="inlineStr">
        <is>
          <t>HM261 .B69 1988</t>
        </is>
      </c>
      <c r="C491" t="inlineStr">
        <is>
          <t>0                      HM 0261000B  69          1988</t>
        </is>
      </c>
      <c r="D491" t="inlineStr">
        <is>
          <t>Polls &amp; surveys : understanding what they tell us / Norman M. Bradburn, Seymour Sudman.</t>
        </is>
      </c>
      <c r="F491" t="inlineStr">
        <is>
          <t>No</t>
        </is>
      </c>
      <c r="G491" t="inlineStr">
        <is>
          <t>1</t>
        </is>
      </c>
      <c r="H491" t="inlineStr">
        <is>
          <t>No</t>
        </is>
      </c>
      <c r="I491" t="inlineStr">
        <is>
          <t>No</t>
        </is>
      </c>
      <c r="J491" t="inlineStr">
        <is>
          <t>0</t>
        </is>
      </c>
      <c r="K491" t="inlineStr">
        <is>
          <t>Bradburn, Norman M.</t>
        </is>
      </c>
      <c r="L491" t="inlineStr">
        <is>
          <t>San Francisco : Jossey-Bass, 1988.</t>
        </is>
      </c>
      <c r="M491" t="inlineStr">
        <is>
          <t>1988</t>
        </is>
      </c>
      <c r="N491" t="inlineStr">
        <is>
          <t>1st ed.</t>
        </is>
      </c>
      <c r="O491" t="inlineStr">
        <is>
          <t>eng</t>
        </is>
      </c>
      <c r="P491" t="inlineStr">
        <is>
          <t>cau</t>
        </is>
      </c>
      <c r="Q491" t="inlineStr">
        <is>
          <t>A Joint publication in the Jossey-Bass social and behavioral science series &amp; the Jossey-Bass public administration series</t>
        </is>
      </c>
      <c r="R491" t="inlineStr">
        <is>
          <t xml:space="preserve">HM </t>
        </is>
      </c>
      <c r="S491" t="n">
        <v>4</v>
      </c>
      <c r="T491" t="n">
        <v>4</v>
      </c>
      <c r="U491" t="inlineStr">
        <is>
          <t>2002-03-18</t>
        </is>
      </c>
      <c r="V491" t="inlineStr">
        <is>
          <t>2002-03-18</t>
        </is>
      </c>
      <c r="W491" t="inlineStr">
        <is>
          <t>1992-09-03</t>
        </is>
      </c>
      <c r="X491" t="inlineStr">
        <is>
          <t>1992-09-03</t>
        </is>
      </c>
      <c r="Y491" t="n">
        <v>1019</v>
      </c>
      <c r="Z491" t="n">
        <v>871</v>
      </c>
      <c r="AA491" t="n">
        <v>880</v>
      </c>
      <c r="AB491" t="n">
        <v>7</v>
      </c>
      <c r="AC491" t="n">
        <v>7</v>
      </c>
      <c r="AD491" t="n">
        <v>39</v>
      </c>
      <c r="AE491" t="n">
        <v>39</v>
      </c>
      <c r="AF491" t="n">
        <v>16</v>
      </c>
      <c r="AG491" t="n">
        <v>16</v>
      </c>
      <c r="AH491" t="n">
        <v>8</v>
      </c>
      <c r="AI491" t="n">
        <v>8</v>
      </c>
      <c r="AJ491" t="n">
        <v>19</v>
      </c>
      <c r="AK491" t="n">
        <v>19</v>
      </c>
      <c r="AL491" t="n">
        <v>6</v>
      </c>
      <c r="AM491" t="n">
        <v>6</v>
      </c>
      <c r="AN491" t="n">
        <v>0</v>
      </c>
      <c r="AO491" t="n">
        <v>0</v>
      </c>
      <c r="AP491" t="inlineStr">
        <is>
          <t>No</t>
        </is>
      </c>
      <c r="AQ491" t="inlineStr">
        <is>
          <t>Yes</t>
        </is>
      </c>
      <c r="AR491">
        <f>HYPERLINK("http://catalog.hathitrust.org/Record/001083274","HathiTrust Record")</f>
        <v/>
      </c>
      <c r="AS491">
        <f>HYPERLINK("https://creighton-primo.hosted.exlibrisgroup.com/primo-explore/search?tab=default_tab&amp;search_scope=EVERYTHING&amp;vid=01CRU&amp;lang=en_US&amp;offset=0&amp;query=any,contains,991001309069702656","Catalog Record")</f>
        <v/>
      </c>
      <c r="AT491">
        <f>HYPERLINK("http://www.worldcat.org/oclc/18135477","WorldCat Record")</f>
        <v/>
      </c>
      <c r="AU491" t="inlineStr">
        <is>
          <t>225758981:eng</t>
        </is>
      </c>
      <c r="AV491" t="inlineStr">
        <is>
          <t>18135477</t>
        </is>
      </c>
      <c r="AW491" t="inlineStr">
        <is>
          <t>991001309069702656</t>
        </is>
      </c>
      <c r="AX491" t="inlineStr">
        <is>
          <t>991001309069702656</t>
        </is>
      </c>
      <c r="AY491" t="inlineStr">
        <is>
          <t>2260544290002656</t>
        </is>
      </c>
      <c r="AZ491" t="inlineStr">
        <is>
          <t>BOOK</t>
        </is>
      </c>
      <c r="BB491" t="inlineStr">
        <is>
          <t>9781555420987</t>
        </is>
      </c>
      <c r="BC491" t="inlineStr">
        <is>
          <t>32285001268001</t>
        </is>
      </c>
      <c r="BD491" t="inlineStr">
        <is>
          <t>893614970</t>
        </is>
      </c>
    </row>
    <row r="492">
      <c r="A492" t="inlineStr">
        <is>
          <t>No</t>
        </is>
      </c>
      <c r="B492" t="inlineStr">
        <is>
          <t>HM261 .C28</t>
        </is>
      </c>
      <c r="C492" t="inlineStr">
        <is>
          <t>0                      HM 0261000C  28</t>
        </is>
      </c>
      <c r="D492" t="inlineStr">
        <is>
          <t>Gauging public opinion, by Hadley Cantril and research associates in the Office of Public Opinion Research, Princeton University.</t>
        </is>
      </c>
      <c r="F492" t="inlineStr">
        <is>
          <t>No</t>
        </is>
      </c>
      <c r="G492" t="inlineStr">
        <is>
          <t>1</t>
        </is>
      </c>
      <c r="H492" t="inlineStr">
        <is>
          <t>No</t>
        </is>
      </c>
      <c r="I492" t="inlineStr">
        <is>
          <t>No</t>
        </is>
      </c>
      <c r="J492" t="inlineStr">
        <is>
          <t>0</t>
        </is>
      </c>
      <c r="K492" t="inlineStr">
        <is>
          <t>Cantril, Hadley, 1906-1969.</t>
        </is>
      </c>
      <c r="L492" t="inlineStr">
        <is>
          <t>Princeton, Princeton University Press; London, H. Milford, Oxford University Press, 1944.</t>
        </is>
      </c>
      <c r="M492" t="inlineStr">
        <is>
          <t>1944</t>
        </is>
      </c>
      <c r="O492" t="inlineStr">
        <is>
          <t>eng</t>
        </is>
      </c>
      <c r="P492" t="inlineStr">
        <is>
          <t>nju</t>
        </is>
      </c>
      <c r="R492" t="inlineStr">
        <is>
          <t xml:space="preserve">HM </t>
        </is>
      </c>
      <c r="S492" t="n">
        <v>3</v>
      </c>
      <c r="T492" t="n">
        <v>3</v>
      </c>
      <c r="U492" t="inlineStr">
        <is>
          <t>1999-09-23</t>
        </is>
      </c>
      <c r="V492" t="inlineStr">
        <is>
          <t>1999-09-23</t>
        </is>
      </c>
      <c r="W492" t="inlineStr">
        <is>
          <t>1997-07-31</t>
        </is>
      </c>
      <c r="X492" t="inlineStr">
        <is>
          <t>1997-07-31</t>
        </is>
      </c>
      <c r="Y492" t="n">
        <v>332</v>
      </c>
      <c r="Z492" t="n">
        <v>266</v>
      </c>
      <c r="AA492" t="n">
        <v>711</v>
      </c>
      <c r="AB492" t="n">
        <v>1</v>
      </c>
      <c r="AC492" t="n">
        <v>2</v>
      </c>
      <c r="AD492" t="n">
        <v>10</v>
      </c>
      <c r="AE492" t="n">
        <v>31</v>
      </c>
      <c r="AF492" t="n">
        <v>3</v>
      </c>
      <c r="AG492" t="n">
        <v>15</v>
      </c>
      <c r="AH492" t="n">
        <v>2</v>
      </c>
      <c r="AI492" t="n">
        <v>7</v>
      </c>
      <c r="AJ492" t="n">
        <v>6</v>
      </c>
      <c r="AK492" t="n">
        <v>16</v>
      </c>
      <c r="AL492" t="n">
        <v>0</v>
      </c>
      <c r="AM492" t="n">
        <v>1</v>
      </c>
      <c r="AN492" t="n">
        <v>0</v>
      </c>
      <c r="AO492" t="n">
        <v>1</v>
      </c>
      <c r="AP492" t="inlineStr">
        <is>
          <t>No</t>
        </is>
      </c>
      <c r="AQ492" t="inlineStr">
        <is>
          <t>Yes</t>
        </is>
      </c>
      <c r="AR492">
        <f>HYPERLINK("http://catalog.hathitrust.org/Record/000284069","HathiTrust Record")</f>
        <v/>
      </c>
      <c r="AS492">
        <f>HYPERLINK("https://creighton-primo.hosted.exlibrisgroup.com/primo-explore/search?tab=default_tab&amp;search_scope=EVERYTHING&amp;vid=01CRU&amp;lang=en_US&amp;offset=0&amp;query=any,contains,991002968869702656","Catalog Record")</f>
        <v/>
      </c>
      <c r="AT492">
        <f>HYPERLINK("http://www.worldcat.org/oclc/547416","WorldCat Record")</f>
        <v/>
      </c>
      <c r="AU492" t="inlineStr">
        <is>
          <t>458637:eng</t>
        </is>
      </c>
      <c r="AV492" t="inlineStr">
        <is>
          <t>547416</t>
        </is>
      </c>
      <c r="AW492" t="inlineStr">
        <is>
          <t>991002968869702656</t>
        </is>
      </c>
      <c r="AX492" t="inlineStr">
        <is>
          <t>991002968869702656</t>
        </is>
      </c>
      <c r="AY492" t="inlineStr">
        <is>
          <t>2262851150002656</t>
        </is>
      </c>
      <c r="AZ492" t="inlineStr">
        <is>
          <t>BOOK</t>
        </is>
      </c>
      <c r="BC492" t="inlineStr">
        <is>
          <t>32285003018354</t>
        </is>
      </c>
      <c r="BD492" t="inlineStr">
        <is>
          <t>893886979</t>
        </is>
      </c>
    </row>
    <row r="493">
      <c r="A493" t="inlineStr">
        <is>
          <t>No</t>
        </is>
      </c>
      <c r="B493" t="inlineStr">
        <is>
          <t>HM261 .C285 1991</t>
        </is>
      </c>
      <c r="C493" t="inlineStr">
        <is>
          <t>0                      HM 0261000C  285         1991</t>
        </is>
      </c>
      <c r="D493" t="inlineStr">
        <is>
          <t>The opinion connection : polling, politics, and the press / Albert H. Cantril ; in collaboration with Susan Davis Cantril.</t>
        </is>
      </c>
      <c r="F493" t="inlineStr">
        <is>
          <t>No</t>
        </is>
      </c>
      <c r="G493" t="inlineStr">
        <is>
          <t>1</t>
        </is>
      </c>
      <c r="H493" t="inlineStr">
        <is>
          <t>No</t>
        </is>
      </c>
      <c r="I493" t="inlineStr">
        <is>
          <t>No</t>
        </is>
      </c>
      <c r="J493" t="inlineStr">
        <is>
          <t>0</t>
        </is>
      </c>
      <c r="K493" t="inlineStr">
        <is>
          <t>Cantril, Albert Hadley, 1940-</t>
        </is>
      </c>
      <c r="L493" t="inlineStr">
        <is>
          <t>Washington, D.C. : CQ Press, c1991.</t>
        </is>
      </c>
      <c r="M493" t="inlineStr">
        <is>
          <t>1991</t>
        </is>
      </c>
      <c r="O493" t="inlineStr">
        <is>
          <t>eng</t>
        </is>
      </c>
      <c r="P493" t="inlineStr">
        <is>
          <t>dcu</t>
        </is>
      </c>
      <c r="R493" t="inlineStr">
        <is>
          <t xml:space="preserve">HM </t>
        </is>
      </c>
      <c r="S493" t="n">
        <v>8</v>
      </c>
      <c r="T493" t="n">
        <v>8</v>
      </c>
      <c r="U493" t="inlineStr">
        <is>
          <t>1997-09-21</t>
        </is>
      </c>
      <c r="V493" t="inlineStr">
        <is>
          <t>1997-09-21</t>
        </is>
      </c>
      <c r="W493" t="inlineStr">
        <is>
          <t>1991-08-13</t>
        </is>
      </c>
      <c r="X493" t="inlineStr">
        <is>
          <t>1991-08-13</t>
        </is>
      </c>
      <c r="Y493" t="n">
        <v>544</v>
      </c>
      <c r="Z493" t="n">
        <v>495</v>
      </c>
      <c r="AA493" t="n">
        <v>524</v>
      </c>
      <c r="AB493" t="n">
        <v>4</v>
      </c>
      <c r="AC493" t="n">
        <v>4</v>
      </c>
      <c r="AD493" t="n">
        <v>22</v>
      </c>
      <c r="AE493" t="n">
        <v>23</v>
      </c>
      <c r="AF493" t="n">
        <v>13</v>
      </c>
      <c r="AG493" t="n">
        <v>13</v>
      </c>
      <c r="AH493" t="n">
        <v>3</v>
      </c>
      <c r="AI493" t="n">
        <v>4</v>
      </c>
      <c r="AJ493" t="n">
        <v>7</v>
      </c>
      <c r="AK493" t="n">
        <v>8</v>
      </c>
      <c r="AL493" t="n">
        <v>3</v>
      </c>
      <c r="AM493" t="n">
        <v>3</v>
      </c>
      <c r="AN493" t="n">
        <v>2</v>
      </c>
      <c r="AO493" t="n">
        <v>2</v>
      </c>
      <c r="AP493" t="inlineStr">
        <is>
          <t>No</t>
        </is>
      </c>
      <c r="AQ493" t="inlineStr">
        <is>
          <t>Yes</t>
        </is>
      </c>
      <c r="AR493">
        <f>HYPERLINK("http://catalog.hathitrust.org/Record/002431236","HathiTrust Record")</f>
        <v/>
      </c>
      <c r="AS493">
        <f>HYPERLINK("https://creighton-primo.hosted.exlibrisgroup.com/primo-explore/search?tab=default_tab&amp;search_scope=EVERYTHING&amp;vid=01CRU&amp;lang=en_US&amp;offset=0&amp;query=any,contains,991001803389702656","Catalog Record")</f>
        <v/>
      </c>
      <c r="AT493">
        <f>HYPERLINK("http://www.worldcat.org/oclc/22664457","WorldCat Record")</f>
        <v/>
      </c>
      <c r="AU493" t="inlineStr">
        <is>
          <t>24172735:eng</t>
        </is>
      </c>
      <c r="AV493" t="inlineStr">
        <is>
          <t>22664457</t>
        </is>
      </c>
      <c r="AW493" t="inlineStr">
        <is>
          <t>991001803389702656</t>
        </is>
      </c>
      <c r="AX493" t="inlineStr">
        <is>
          <t>991001803389702656</t>
        </is>
      </c>
      <c r="AY493" t="inlineStr">
        <is>
          <t>2257300830002656</t>
        </is>
      </c>
      <c r="AZ493" t="inlineStr">
        <is>
          <t>BOOK</t>
        </is>
      </c>
      <c r="BB493" t="inlineStr">
        <is>
          <t>9780871875839</t>
        </is>
      </c>
      <c r="BC493" t="inlineStr">
        <is>
          <t>32285000700566</t>
        </is>
      </c>
      <c r="BD493" t="inlineStr">
        <is>
          <t>893866498</t>
        </is>
      </c>
    </row>
    <row r="494">
      <c r="A494" t="inlineStr">
        <is>
          <t>No</t>
        </is>
      </c>
      <c r="B494" t="inlineStr">
        <is>
          <t>HM261 .C524</t>
        </is>
      </c>
      <c r="C494" t="inlineStr">
        <is>
          <t>0                      HM 0261000C  524</t>
        </is>
      </c>
      <c r="D494" t="inlineStr">
        <is>
          <t>Attitude psychology and the study of public opinion / Forrest P. Chisman.</t>
        </is>
      </c>
      <c r="F494" t="inlineStr">
        <is>
          <t>No</t>
        </is>
      </c>
      <c r="G494" t="inlineStr">
        <is>
          <t>1</t>
        </is>
      </c>
      <c r="H494" t="inlineStr">
        <is>
          <t>No</t>
        </is>
      </c>
      <c r="I494" t="inlineStr">
        <is>
          <t>No</t>
        </is>
      </c>
      <c r="J494" t="inlineStr">
        <is>
          <t>0</t>
        </is>
      </c>
      <c r="K494" t="inlineStr">
        <is>
          <t>Chisman, Forrest P., 1944-</t>
        </is>
      </c>
      <c r="L494" t="inlineStr">
        <is>
          <t>University Park : Pennsylvania State University Press, c1976.</t>
        </is>
      </c>
      <c r="M494" t="inlineStr">
        <is>
          <t>1976</t>
        </is>
      </c>
      <c r="O494" t="inlineStr">
        <is>
          <t>eng</t>
        </is>
      </c>
      <c r="P494" t="inlineStr">
        <is>
          <t>pau</t>
        </is>
      </c>
      <c r="R494" t="inlineStr">
        <is>
          <t xml:space="preserve">HM </t>
        </is>
      </c>
      <c r="S494" t="n">
        <v>2</v>
      </c>
      <c r="T494" t="n">
        <v>2</v>
      </c>
      <c r="U494" t="inlineStr">
        <is>
          <t>1999-02-20</t>
        </is>
      </c>
      <c r="V494" t="inlineStr">
        <is>
          <t>1999-02-20</t>
        </is>
      </c>
      <c r="W494" t="inlineStr">
        <is>
          <t>1995-01-03</t>
        </is>
      </c>
      <c r="X494" t="inlineStr">
        <is>
          <t>1995-01-03</t>
        </is>
      </c>
      <c r="Y494" t="n">
        <v>591</v>
      </c>
      <c r="Z494" t="n">
        <v>505</v>
      </c>
      <c r="AA494" t="n">
        <v>512</v>
      </c>
      <c r="AB494" t="n">
        <v>3</v>
      </c>
      <c r="AC494" t="n">
        <v>3</v>
      </c>
      <c r="AD494" t="n">
        <v>24</v>
      </c>
      <c r="AE494" t="n">
        <v>24</v>
      </c>
      <c r="AF494" t="n">
        <v>6</v>
      </c>
      <c r="AG494" t="n">
        <v>6</v>
      </c>
      <c r="AH494" t="n">
        <v>8</v>
      </c>
      <c r="AI494" t="n">
        <v>8</v>
      </c>
      <c r="AJ494" t="n">
        <v>15</v>
      </c>
      <c r="AK494" t="n">
        <v>15</v>
      </c>
      <c r="AL494" t="n">
        <v>2</v>
      </c>
      <c r="AM494" t="n">
        <v>2</v>
      </c>
      <c r="AN494" t="n">
        <v>0</v>
      </c>
      <c r="AO494" t="n">
        <v>0</v>
      </c>
      <c r="AP494" t="inlineStr">
        <is>
          <t>No</t>
        </is>
      </c>
      <c r="AQ494" t="inlineStr">
        <is>
          <t>Yes</t>
        </is>
      </c>
      <c r="AR494">
        <f>HYPERLINK("http://catalog.hathitrust.org/Record/000715807","HathiTrust Record")</f>
        <v/>
      </c>
      <c r="AS494">
        <f>HYPERLINK("https://creighton-primo.hosted.exlibrisgroup.com/primo-explore/search?tab=default_tab&amp;search_scope=EVERYTHING&amp;vid=01CRU&amp;lang=en_US&amp;offset=0&amp;query=any,contains,991004021709702656","Catalog Record")</f>
        <v/>
      </c>
      <c r="AT494">
        <f>HYPERLINK("http://www.worldcat.org/oclc/2121699","WorldCat Record")</f>
        <v/>
      </c>
      <c r="AU494" t="inlineStr">
        <is>
          <t>4021660:eng</t>
        </is>
      </c>
      <c r="AV494" t="inlineStr">
        <is>
          <t>2121699</t>
        </is>
      </c>
      <c r="AW494" t="inlineStr">
        <is>
          <t>991004021709702656</t>
        </is>
      </c>
      <c r="AX494" t="inlineStr">
        <is>
          <t>991004021709702656</t>
        </is>
      </c>
      <c r="AY494" t="inlineStr">
        <is>
          <t>2267485340002656</t>
        </is>
      </c>
      <c r="AZ494" t="inlineStr">
        <is>
          <t>BOOK</t>
        </is>
      </c>
      <c r="BB494" t="inlineStr">
        <is>
          <t>9780271012278</t>
        </is>
      </c>
      <c r="BC494" t="inlineStr">
        <is>
          <t>32285001985950</t>
        </is>
      </c>
      <c r="BD494" t="inlineStr">
        <is>
          <t>893512698</t>
        </is>
      </c>
    </row>
    <row r="495">
      <c r="A495" t="inlineStr">
        <is>
          <t>No</t>
        </is>
      </c>
      <c r="B495" t="inlineStr">
        <is>
          <t>HM261 .C53</t>
        </is>
      </c>
      <c r="C495" t="inlineStr">
        <is>
          <t>0                      HM 0261000C  53</t>
        </is>
      </c>
      <c r="D495" t="inlineStr">
        <is>
          <t>Voice of the people : readings in public opinion and propaganda / [by] Reo M. Christenson [and] Robert O. McWilliams.</t>
        </is>
      </c>
      <c r="F495" t="inlineStr">
        <is>
          <t>No</t>
        </is>
      </c>
      <c r="G495" t="inlineStr">
        <is>
          <t>1</t>
        </is>
      </c>
      <c r="H495" t="inlineStr">
        <is>
          <t>No</t>
        </is>
      </c>
      <c r="I495" t="inlineStr">
        <is>
          <t>No</t>
        </is>
      </c>
      <c r="J495" t="inlineStr">
        <is>
          <t>0</t>
        </is>
      </c>
      <c r="K495" t="inlineStr">
        <is>
          <t>Christenson, Reo Millard, 1918- compiler.</t>
        </is>
      </c>
      <c r="L495" t="inlineStr">
        <is>
          <t>New York : McGraw-Hill, 1962.</t>
        </is>
      </c>
      <c r="M495" t="inlineStr">
        <is>
          <t>1962</t>
        </is>
      </c>
      <c r="O495" t="inlineStr">
        <is>
          <t>eng</t>
        </is>
      </c>
      <c r="P495" t="inlineStr">
        <is>
          <t>nyu</t>
        </is>
      </c>
      <c r="Q495" t="inlineStr">
        <is>
          <t>McGraw-Hill series in political science</t>
        </is>
      </c>
      <c r="R495" t="inlineStr">
        <is>
          <t xml:space="preserve">HM </t>
        </is>
      </c>
      <c r="S495" t="n">
        <v>1</v>
      </c>
      <c r="T495" t="n">
        <v>1</v>
      </c>
      <c r="U495" t="inlineStr">
        <is>
          <t>1994-02-23</t>
        </is>
      </c>
      <c r="V495" t="inlineStr">
        <is>
          <t>1994-02-23</t>
        </is>
      </c>
      <c r="W495" t="inlineStr">
        <is>
          <t>1990-07-31</t>
        </is>
      </c>
      <c r="X495" t="inlineStr">
        <is>
          <t>1990-07-31</t>
        </is>
      </c>
      <c r="Y495" t="n">
        <v>423</v>
      </c>
      <c r="Z495" t="n">
        <v>353</v>
      </c>
      <c r="AA495" t="n">
        <v>511</v>
      </c>
      <c r="AB495" t="n">
        <v>3</v>
      </c>
      <c r="AC495" t="n">
        <v>4</v>
      </c>
      <c r="AD495" t="n">
        <v>17</v>
      </c>
      <c r="AE495" t="n">
        <v>24</v>
      </c>
      <c r="AF495" t="n">
        <v>9</v>
      </c>
      <c r="AG495" t="n">
        <v>10</v>
      </c>
      <c r="AH495" t="n">
        <v>5</v>
      </c>
      <c r="AI495" t="n">
        <v>6</v>
      </c>
      <c r="AJ495" t="n">
        <v>8</v>
      </c>
      <c r="AK495" t="n">
        <v>14</v>
      </c>
      <c r="AL495" t="n">
        <v>2</v>
      </c>
      <c r="AM495" t="n">
        <v>3</v>
      </c>
      <c r="AN495" t="n">
        <v>0</v>
      </c>
      <c r="AO495" t="n">
        <v>0</v>
      </c>
      <c r="AP495" t="inlineStr">
        <is>
          <t>No</t>
        </is>
      </c>
      <c r="AQ495" t="inlineStr">
        <is>
          <t>No</t>
        </is>
      </c>
      <c r="AR495">
        <f>HYPERLINK("http://catalog.hathitrust.org/Record/001108111","HathiTrust Record")</f>
        <v/>
      </c>
      <c r="AS495">
        <f>HYPERLINK("https://creighton-primo.hosted.exlibrisgroup.com/primo-explore/search?tab=default_tab&amp;search_scope=EVERYTHING&amp;vid=01CRU&amp;lang=en_US&amp;offset=0&amp;query=any,contains,991002000279702656","Catalog Record")</f>
        <v/>
      </c>
      <c r="AT495">
        <f>HYPERLINK("http://www.worldcat.org/oclc/256102","WorldCat Record")</f>
        <v/>
      </c>
      <c r="AU495" t="inlineStr">
        <is>
          <t>1131999389:eng</t>
        </is>
      </c>
      <c r="AV495" t="inlineStr">
        <is>
          <t>256102</t>
        </is>
      </c>
      <c r="AW495" t="inlineStr">
        <is>
          <t>991002000279702656</t>
        </is>
      </c>
      <c r="AX495" t="inlineStr">
        <is>
          <t>991002000279702656</t>
        </is>
      </c>
      <c r="AY495" t="inlineStr">
        <is>
          <t>2272070180002656</t>
        </is>
      </c>
      <c r="AZ495" t="inlineStr">
        <is>
          <t>BOOK</t>
        </is>
      </c>
      <c r="BC495" t="inlineStr">
        <is>
          <t>32285000252451</t>
        </is>
      </c>
      <c r="BD495" t="inlineStr">
        <is>
          <t>893798042</t>
        </is>
      </c>
    </row>
    <row r="496">
      <c r="A496" t="inlineStr">
        <is>
          <t>No</t>
        </is>
      </c>
      <c r="B496" t="inlineStr">
        <is>
          <t>HM261 .C63</t>
        </is>
      </c>
      <c r="C496" t="inlineStr">
        <is>
          <t>0                      HM 0261000C  63</t>
        </is>
      </c>
      <c r="D496" t="inlineStr">
        <is>
          <t>Attitude change and social influence [by] Arthur R. Cohen. Foreword by Leon Festinger and Philip Zimbardo.</t>
        </is>
      </c>
      <c r="F496" t="inlineStr">
        <is>
          <t>No</t>
        </is>
      </c>
      <c r="G496" t="inlineStr">
        <is>
          <t>1</t>
        </is>
      </c>
      <c r="H496" t="inlineStr">
        <is>
          <t>No</t>
        </is>
      </c>
      <c r="I496" t="inlineStr">
        <is>
          <t>No</t>
        </is>
      </c>
      <c r="J496" t="inlineStr">
        <is>
          <t>0</t>
        </is>
      </c>
      <c r="K496" t="inlineStr">
        <is>
          <t>Cohen, Arthur R. (Arthur Robert), 1927-1963.</t>
        </is>
      </c>
      <c r="L496" t="inlineStr">
        <is>
          <t>New York, Basic Books [1964]</t>
        </is>
      </c>
      <c r="M496" t="inlineStr">
        <is>
          <t>1964</t>
        </is>
      </c>
      <c r="O496" t="inlineStr">
        <is>
          <t>eng</t>
        </is>
      </c>
      <c r="P496" t="inlineStr">
        <is>
          <t>nyu</t>
        </is>
      </c>
      <c r="Q496" t="inlineStr">
        <is>
          <t>Basic topics in psychology: social psychology</t>
        </is>
      </c>
      <c r="R496" t="inlineStr">
        <is>
          <t xml:space="preserve">HM </t>
        </is>
      </c>
      <c r="S496" t="n">
        <v>6</v>
      </c>
      <c r="T496" t="n">
        <v>6</v>
      </c>
      <c r="U496" t="inlineStr">
        <is>
          <t>2006-02-21</t>
        </is>
      </c>
      <c r="V496" t="inlineStr">
        <is>
          <t>2006-02-21</t>
        </is>
      </c>
      <c r="W496" t="inlineStr">
        <is>
          <t>1997-07-31</t>
        </is>
      </c>
      <c r="X496" t="inlineStr">
        <is>
          <t>1997-07-31</t>
        </is>
      </c>
      <c r="Y496" t="n">
        <v>967</v>
      </c>
      <c r="Z496" t="n">
        <v>749</v>
      </c>
      <c r="AA496" t="n">
        <v>752</v>
      </c>
      <c r="AB496" t="n">
        <v>5</v>
      </c>
      <c r="AC496" t="n">
        <v>5</v>
      </c>
      <c r="AD496" t="n">
        <v>36</v>
      </c>
      <c r="AE496" t="n">
        <v>36</v>
      </c>
      <c r="AF496" t="n">
        <v>16</v>
      </c>
      <c r="AG496" t="n">
        <v>16</v>
      </c>
      <c r="AH496" t="n">
        <v>7</v>
      </c>
      <c r="AI496" t="n">
        <v>7</v>
      </c>
      <c r="AJ496" t="n">
        <v>18</v>
      </c>
      <c r="AK496" t="n">
        <v>18</v>
      </c>
      <c r="AL496" t="n">
        <v>4</v>
      </c>
      <c r="AM496" t="n">
        <v>4</v>
      </c>
      <c r="AN496" t="n">
        <v>0</v>
      </c>
      <c r="AO496" t="n">
        <v>0</v>
      </c>
      <c r="AP496" t="inlineStr">
        <is>
          <t>No</t>
        </is>
      </c>
      <c r="AQ496" t="inlineStr">
        <is>
          <t>Yes</t>
        </is>
      </c>
      <c r="AR496">
        <f>HYPERLINK("http://catalog.hathitrust.org/Record/001109439","HathiTrust Record")</f>
        <v/>
      </c>
      <c r="AS496">
        <f>HYPERLINK("https://creighton-primo.hosted.exlibrisgroup.com/primo-explore/search?tab=default_tab&amp;search_scope=EVERYTHING&amp;vid=01CRU&amp;lang=en_US&amp;offset=0&amp;query=any,contains,991001173409702656","Catalog Record")</f>
        <v/>
      </c>
      <c r="AT496">
        <f>HYPERLINK("http://www.worldcat.org/oclc/188382","WorldCat Record")</f>
        <v/>
      </c>
      <c r="AU496" t="inlineStr">
        <is>
          <t>574695:eng</t>
        </is>
      </c>
      <c r="AV496" t="inlineStr">
        <is>
          <t>188382</t>
        </is>
      </c>
      <c r="AW496" t="inlineStr">
        <is>
          <t>991001173409702656</t>
        </is>
      </c>
      <c r="AX496" t="inlineStr">
        <is>
          <t>991001173409702656</t>
        </is>
      </c>
      <c r="AY496" t="inlineStr">
        <is>
          <t>2265501180002656</t>
        </is>
      </c>
      <c r="AZ496" t="inlineStr">
        <is>
          <t>BOOK</t>
        </is>
      </c>
      <c r="BC496" t="inlineStr">
        <is>
          <t>32285003018388</t>
        </is>
      </c>
      <c r="BD496" t="inlineStr">
        <is>
          <t>893261750</t>
        </is>
      </c>
    </row>
    <row r="497">
      <c r="A497" t="inlineStr">
        <is>
          <t>No</t>
        </is>
      </c>
      <c r="B497" t="inlineStr">
        <is>
          <t>HM261 .C695 1997</t>
        </is>
      </c>
      <c r="C497" t="inlineStr">
        <is>
          <t>0                      HM 0261000C  695         1997</t>
        </is>
      </c>
      <c r="D497" t="inlineStr">
        <is>
          <t>The public opinion process : how the people speak / Irving Crespi.</t>
        </is>
      </c>
      <c r="F497" t="inlineStr">
        <is>
          <t>No</t>
        </is>
      </c>
      <c r="G497" t="inlineStr">
        <is>
          <t>1</t>
        </is>
      </c>
      <c r="H497" t="inlineStr">
        <is>
          <t>No</t>
        </is>
      </c>
      <c r="I497" t="inlineStr">
        <is>
          <t>No</t>
        </is>
      </c>
      <c r="J497" t="inlineStr">
        <is>
          <t>0</t>
        </is>
      </c>
      <c r="K497" t="inlineStr">
        <is>
          <t>Crespi, Irving.</t>
        </is>
      </c>
      <c r="L497" t="inlineStr">
        <is>
          <t>Mahwah, N.J. : Lawrence Erlbaum Assoc., 1997.</t>
        </is>
      </c>
      <c r="M497" t="inlineStr">
        <is>
          <t>1997</t>
        </is>
      </c>
      <c r="O497" t="inlineStr">
        <is>
          <t>eng</t>
        </is>
      </c>
      <c r="P497" t="inlineStr">
        <is>
          <t>nju</t>
        </is>
      </c>
      <c r="Q497" t="inlineStr">
        <is>
          <t>LEA's communication series</t>
        </is>
      </c>
      <c r="R497" t="inlineStr">
        <is>
          <t xml:space="preserve">HM </t>
        </is>
      </c>
      <c r="S497" t="n">
        <v>3</v>
      </c>
      <c r="T497" t="n">
        <v>3</v>
      </c>
      <c r="U497" t="inlineStr">
        <is>
          <t>1999-09-23</t>
        </is>
      </c>
      <c r="V497" t="inlineStr">
        <is>
          <t>1999-09-23</t>
        </is>
      </c>
      <c r="W497" t="inlineStr">
        <is>
          <t>1998-05-06</t>
        </is>
      </c>
      <c r="X497" t="inlineStr">
        <is>
          <t>1998-05-06</t>
        </is>
      </c>
      <c r="Y497" t="n">
        <v>484</v>
      </c>
      <c r="Z497" t="n">
        <v>425</v>
      </c>
      <c r="AA497" t="n">
        <v>454</v>
      </c>
      <c r="AB497" t="n">
        <v>4</v>
      </c>
      <c r="AC497" t="n">
        <v>4</v>
      </c>
      <c r="AD497" t="n">
        <v>28</v>
      </c>
      <c r="AE497" t="n">
        <v>28</v>
      </c>
      <c r="AF497" t="n">
        <v>12</v>
      </c>
      <c r="AG497" t="n">
        <v>12</v>
      </c>
      <c r="AH497" t="n">
        <v>5</v>
      </c>
      <c r="AI497" t="n">
        <v>5</v>
      </c>
      <c r="AJ497" t="n">
        <v>17</v>
      </c>
      <c r="AK497" t="n">
        <v>17</v>
      </c>
      <c r="AL497" t="n">
        <v>3</v>
      </c>
      <c r="AM497" t="n">
        <v>3</v>
      </c>
      <c r="AN497" t="n">
        <v>0</v>
      </c>
      <c r="AO497" t="n">
        <v>0</v>
      </c>
      <c r="AP497" t="inlineStr">
        <is>
          <t>No</t>
        </is>
      </c>
      <c r="AQ497" t="inlineStr">
        <is>
          <t>Yes</t>
        </is>
      </c>
      <c r="AR497">
        <f>HYPERLINK("http://catalog.hathitrust.org/Record/003952560","HathiTrust Record")</f>
        <v/>
      </c>
      <c r="AS497">
        <f>HYPERLINK("https://creighton-primo.hosted.exlibrisgroup.com/primo-explore/search?tab=default_tab&amp;search_scope=EVERYTHING&amp;vid=01CRU&amp;lang=en_US&amp;offset=0&amp;query=any,contains,991002765299702656","Catalog Record")</f>
        <v/>
      </c>
      <c r="AT497">
        <f>HYPERLINK("http://www.worldcat.org/oclc/36284466","WorldCat Record")</f>
        <v/>
      </c>
      <c r="AU497" t="inlineStr">
        <is>
          <t>615279:eng</t>
        </is>
      </c>
      <c r="AV497" t="inlineStr">
        <is>
          <t>36284466</t>
        </is>
      </c>
      <c r="AW497" t="inlineStr">
        <is>
          <t>991002765299702656</t>
        </is>
      </c>
      <c r="AX497" t="inlineStr">
        <is>
          <t>991002765299702656</t>
        </is>
      </c>
      <c r="AY497" t="inlineStr">
        <is>
          <t>2271023380002656</t>
        </is>
      </c>
      <c r="AZ497" t="inlineStr">
        <is>
          <t>BOOK</t>
        </is>
      </c>
      <c r="BB497" t="inlineStr">
        <is>
          <t>9780805826647</t>
        </is>
      </c>
      <c r="BC497" t="inlineStr">
        <is>
          <t>32285003406674</t>
        </is>
      </c>
      <c r="BD497" t="inlineStr">
        <is>
          <t>893704484</t>
        </is>
      </c>
    </row>
    <row r="498">
      <c r="A498" t="inlineStr">
        <is>
          <t>No</t>
        </is>
      </c>
      <c r="B498" t="inlineStr">
        <is>
          <t>HM261 .C74</t>
        </is>
      </c>
      <c r="C498" t="inlineStr">
        <is>
          <t>0                      HM 0261000C  74</t>
        </is>
      </c>
      <c r="D498" t="inlineStr">
        <is>
          <t>Public opinion and politics : a reader / [by] William J. Crotty.</t>
        </is>
      </c>
      <c r="F498" t="inlineStr">
        <is>
          <t>No</t>
        </is>
      </c>
      <c r="G498" t="inlineStr">
        <is>
          <t>1</t>
        </is>
      </c>
      <c r="H498" t="inlineStr">
        <is>
          <t>No</t>
        </is>
      </c>
      <c r="I498" t="inlineStr">
        <is>
          <t>No</t>
        </is>
      </c>
      <c r="J498" t="inlineStr">
        <is>
          <t>0</t>
        </is>
      </c>
      <c r="K498" t="inlineStr">
        <is>
          <t>Crotty, William J., compiler.</t>
        </is>
      </c>
      <c r="L498" t="inlineStr">
        <is>
          <t>New York : Holt, Rinehart and Winston, [1970]</t>
        </is>
      </c>
      <c r="M498" t="inlineStr">
        <is>
          <t>1970</t>
        </is>
      </c>
      <c r="O498" t="inlineStr">
        <is>
          <t>eng</t>
        </is>
      </c>
      <c r="P498" t="inlineStr">
        <is>
          <t>nyu</t>
        </is>
      </c>
      <c r="R498" t="inlineStr">
        <is>
          <t xml:space="preserve">HM </t>
        </is>
      </c>
      <c r="S498" t="n">
        <v>5</v>
      </c>
      <c r="T498" t="n">
        <v>5</v>
      </c>
      <c r="U498" t="inlineStr">
        <is>
          <t>2003-11-15</t>
        </is>
      </c>
      <c r="V498" t="inlineStr">
        <is>
          <t>2003-11-15</t>
        </is>
      </c>
      <c r="W498" t="inlineStr">
        <is>
          <t>1992-10-16</t>
        </is>
      </c>
      <c r="X498" t="inlineStr">
        <is>
          <t>1992-10-16</t>
        </is>
      </c>
      <c r="Y498" t="n">
        <v>353</v>
      </c>
      <c r="Z498" t="n">
        <v>272</v>
      </c>
      <c r="AA498" t="n">
        <v>278</v>
      </c>
      <c r="AB498" t="n">
        <v>3</v>
      </c>
      <c r="AC498" t="n">
        <v>3</v>
      </c>
      <c r="AD498" t="n">
        <v>13</v>
      </c>
      <c r="AE498" t="n">
        <v>13</v>
      </c>
      <c r="AF498" t="n">
        <v>2</v>
      </c>
      <c r="AG498" t="n">
        <v>2</v>
      </c>
      <c r="AH498" t="n">
        <v>5</v>
      </c>
      <c r="AI498" t="n">
        <v>5</v>
      </c>
      <c r="AJ498" t="n">
        <v>8</v>
      </c>
      <c r="AK498" t="n">
        <v>8</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HYPERLINK("https://creighton-primo.hosted.exlibrisgroup.com/primo-explore/search?tab=default_tab&amp;search_scope=EVERYTHING&amp;vid=01CRU&amp;lang=en_US&amp;offset=0&amp;query=any,contains,991000127589702656","Catalog Record")</f>
        <v/>
      </c>
      <c r="AT498">
        <f>HYPERLINK("http://www.worldcat.org/oclc/52617","WorldCat Record")</f>
        <v/>
      </c>
      <c r="AU498" t="inlineStr">
        <is>
          <t>363925462:eng</t>
        </is>
      </c>
      <c r="AV498" t="inlineStr">
        <is>
          <t>52617</t>
        </is>
      </c>
      <c r="AW498" t="inlineStr">
        <is>
          <t>991000127589702656</t>
        </is>
      </c>
      <c r="AX498" t="inlineStr">
        <is>
          <t>991000127589702656</t>
        </is>
      </c>
      <c r="AY498" t="inlineStr">
        <is>
          <t>2259220600002656</t>
        </is>
      </c>
      <c r="AZ498" t="inlineStr">
        <is>
          <t>BOOK</t>
        </is>
      </c>
      <c r="BB498" t="inlineStr">
        <is>
          <t>9780030771002</t>
        </is>
      </c>
      <c r="BC498" t="inlineStr">
        <is>
          <t>32285001350742</t>
        </is>
      </c>
      <c r="BD498" t="inlineStr">
        <is>
          <t>893783994</t>
        </is>
      </c>
    </row>
    <row r="499">
      <c r="A499" t="inlineStr">
        <is>
          <t>No</t>
        </is>
      </c>
      <c r="B499" t="inlineStr">
        <is>
          <t>HM261 .D6</t>
        </is>
      </c>
      <c r="C499" t="inlineStr">
        <is>
          <t>0                      HM 0261000D  6</t>
        </is>
      </c>
      <c r="D499" t="inlineStr">
        <is>
          <t>Public opinion and propaganda.</t>
        </is>
      </c>
      <c r="F499" t="inlineStr">
        <is>
          <t>No</t>
        </is>
      </c>
      <c r="G499" t="inlineStr">
        <is>
          <t>1</t>
        </is>
      </c>
      <c r="H499" t="inlineStr">
        <is>
          <t>No</t>
        </is>
      </c>
      <c r="I499" t="inlineStr">
        <is>
          <t>No</t>
        </is>
      </c>
      <c r="J499" t="inlineStr">
        <is>
          <t>0</t>
        </is>
      </c>
      <c r="K499" t="inlineStr">
        <is>
          <t>Doob, Leonard W. (Leonard William), 1909-2000.</t>
        </is>
      </c>
      <c r="L499" t="inlineStr">
        <is>
          <t>New York, H. Holt [1956]</t>
        </is>
      </c>
      <c r="M499" t="inlineStr">
        <is>
          <t>1956</t>
        </is>
      </c>
      <c r="O499" t="inlineStr">
        <is>
          <t>eng</t>
        </is>
      </c>
      <c r="P499" t="inlineStr">
        <is>
          <t>nyu</t>
        </is>
      </c>
      <c r="R499" t="inlineStr">
        <is>
          <t xml:space="preserve">HM </t>
        </is>
      </c>
      <c r="S499" t="n">
        <v>5</v>
      </c>
      <c r="T499" t="n">
        <v>5</v>
      </c>
      <c r="U499" t="inlineStr">
        <is>
          <t>2000-03-20</t>
        </is>
      </c>
      <c r="V499" t="inlineStr">
        <is>
          <t>2000-03-20</t>
        </is>
      </c>
      <c r="W499" t="inlineStr">
        <is>
          <t>1997-07-31</t>
        </is>
      </c>
      <c r="X499" t="inlineStr">
        <is>
          <t>1997-07-31</t>
        </is>
      </c>
      <c r="Y499" t="n">
        <v>12</v>
      </c>
      <c r="Z499" t="n">
        <v>7</v>
      </c>
      <c r="AA499" t="n">
        <v>780</v>
      </c>
      <c r="AB499" t="n">
        <v>1</v>
      </c>
      <c r="AC499" t="n">
        <v>5</v>
      </c>
      <c r="AD499" t="n">
        <v>0</v>
      </c>
      <c r="AE499" t="n">
        <v>30</v>
      </c>
      <c r="AF499" t="n">
        <v>0</v>
      </c>
      <c r="AG499" t="n">
        <v>12</v>
      </c>
      <c r="AH499" t="n">
        <v>0</v>
      </c>
      <c r="AI499" t="n">
        <v>4</v>
      </c>
      <c r="AJ499" t="n">
        <v>0</v>
      </c>
      <c r="AK499" t="n">
        <v>14</v>
      </c>
      <c r="AL499" t="n">
        <v>0</v>
      </c>
      <c r="AM499" t="n">
        <v>4</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HYPERLINK("https://creighton-primo.hosted.exlibrisgroup.com/primo-explore/search?tab=default_tab&amp;search_scope=EVERYTHING&amp;vid=01CRU&amp;lang=en_US&amp;offset=0&amp;query=any,contains,991000680019702656","Catalog Record")</f>
        <v/>
      </c>
      <c r="AT499">
        <f>HYPERLINK("http://www.worldcat.org/oclc/12377398","WorldCat Record")</f>
        <v/>
      </c>
      <c r="AU499" t="inlineStr">
        <is>
          <t>1352271:eng</t>
        </is>
      </c>
      <c r="AV499" t="inlineStr">
        <is>
          <t>12377398</t>
        </is>
      </c>
      <c r="AW499" t="inlineStr">
        <is>
          <t>991000680019702656</t>
        </is>
      </c>
      <c r="AX499" t="inlineStr">
        <is>
          <t>991000680019702656</t>
        </is>
      </c>
      <c r="AY499" t="inlineStr">
        <is>
          <t>2257836200002656</t>
        </is>
      </c>
      <c r="AZ499" t="inlineStr">
        <is>
          <t>BOOK</t>
        </is>
      </c>
      <c r="BC499" t="inlineStr">
        <is>
          <t>32285003018420</t>
        </is>
      </c>
      <c r="BD499" t="inlineStr">
        <is>
          <t>893589658</t>
        </is>
      </c>
    </row>
    <row r="500">
      <c r="A500" t="inlineStr">
        <is>
          <t>No</t>
        </is>
      </c>
      <c r="B500" t="inlineStr">
        <is>
          <t>HM261 .G27 1948</t>
        </is>
      </c>
      <c r="C500" t="inlineStr">
        <is>
          <t>0                      HM 0261000G  27          1948</t>
        </is>
      </c>
      <c r="D500" t="inlineStr">
        <is>
          <t>A guide to public opinion polls / by George Gallup.</t>
        </is>
      </c>
      <c r="F500" t="inlineStr">
        <is>
          <t>No</t>
        </is>
      </c>
      <c r="G500" t="inlineStr">
        <is>
          <t>1</t>
        </is>
      </c>
      <c r="H500" t="inlineStr">
        <is>
          <t>No</t>
        </is>
      </c>
      <c r="I500" t="inlineStr">
        <is>
          <t>No</t>
        </is>
      </c>
      <c r="J500" t="inlineStr">
        <is>
          <t>0</t>
        </is>
      </c>
      <c r="K500" t="inlineStr">
        <is>
          <t>Gallup, George, 1901-1984.</t>
        </is>
      </c>
      <c r="L500" t="inlineStr">
        <is>
          <t>Princeton : Princeton University Press, 1948.</t>
        </is>
      </c>
      <c r="M500" t="inlineStr">
        <is>
          <t>1948</t>
        </is>
      </c>
      <c r="N500" t="inlineStr">
        <is>
          <t>2nd ed.</t>
        </is>
      </c>
      <c r="O500" t="inlineStr">
        <is>
          <t>eng</t>
        </is>
      </c>
      <c r="P500" t="inlineStr">
        <is>
          <t>nju</t>
        </is>
      </c>
      <c r="R500" t="inlineStr">
        <is>
          <t xml:space="preserve">HM </t>
        </is>
      </c>
      <c r="S500" t="n">
        <v>2</v>
      </c>
      <c r="T500" t="n">
        <v>2</v>
      </c>
      <c r="U500" t="inlineStr">
        <is>
          <t>1999-09-23</t>
        </is>
      </c>
      <c r="V500" t="inlineStr">
        <is>
          <t>1999-09-23</t>
        </is>
      </c>
      <c r="W500" t="inlineStr">
        <is>
          <t>1997-07-31</t>
        </is>
      </c>
      <c r="X500" t="inlineStr">
        <is>
          <t>1997-07-31</t>
        </is>
      </c>
      <c r="Y500" t="n">
        <v>330</v>
      </c>
      <c r="Z500" t="n">
        <v>269</v>
      </c>
      <c r="AA500" t="n">
        <v>492</v>
      </c>
      <c r="AB500" t="n">
        <v>3</v>
      </c>
      <c r="AC500" t="n">
        <v>3</v>
      </c>
      <c r="AD500" t="n">
        <v>9</v>
      </c>
      <c r="AE500" t="n">
        <v>16</v>
      </c>
      <c r="AF500" t="n">
        <v>5</v>
      </c>
      <c r="AG500" t="n">
        <v>7</v>
      </c>
      <c r="AH500" t="n">
        <v>0</v>
      </c>
      <c r="AI500" t="n">
        <v>2</v>
      </c>
      <c r="AJ500" t="n">
        <v>5</v>
      </c>
      <c r="AK500" t="n">
        <v>9</v>
      </c>
      <c r="AL500" t="n">
        <v>2</v>
      </c>
      <c r="AM500" t="n">
        <v>2</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HYPERLINK("https://creighton-primo.hosted.exlibrisgroup.com/primo-explore/search?tab=default_tab&amp;search_scope=EVERYTHING&amp;vid=01CRU&amp;lang=en_US&amp;offset=0&amp;query=any,contains,991000364719702656","Catalog Record")</f>
        <v/>
      </c>
      <c r="AT500">
        <f>HYPERLINK("http://www.worldcat.org/oclc/1596900","WorldCat Record")</f>
        <v/>
      </c>
      <c r="AU500" t="inlineStr">
        <is>
          <t>365886512:eng</t>
        </is>
      </c>
      <c r="AV500" t="inlineStr">
        <is>
          <t>1596900</t>
        </is>
      </c>
      <c r="AW500" t="inlineStr">
        <is>
          <t>991000364719702656</t>
        </is>
      </c>
      <c r="AX500" t="inlineStr">
        <is>
          <t>991000364719702656</t>
        </is>
      </c>
      <c r="AY500" t="inlineStr">
        <is>
          <t>2261620590002656</t>
        </is>
      </c>
      <c r="AZ500" t="inlineStr">
        <is>
          <t>BOOK</t>
        </is>
      </c>
      <c r="BC500" t="inlineStr">
        <is>
          <t>32285003018438</t>
        </is>
      </c>
      <c r="BD500" t="inlineStr">
        <is>
          <t>893502414</t>
        </is>
      </c>
    </row>
    <row r="501">
      <c r="A501" t="inlineStr">
        <is>
          <t>No</t>
        </is>
      </c>
      <c r="B501" t="inlineStr">
        <is>
          <t>HM261 .G358 1994</t>
        </is>
      </c>
      <c r="C501" t="inlineStr">
        <is>
          <t>0                      HM 0261000G  358         1994</t>
        </is>
      </c>
      <c r="D501" t="inlineStr">
        <is>
          <t>A journalist's guide to public opinion polls / Sheldon R. Gawiser and G. Evans Witt ; foreword by Walter R. Mears.</t>
        </is>
      </c>
      <c r="F501" t="inlineStr">
        <is>
          <t>No</t>
        </is>
      </c>
      <c r="G501" t="inlineStr">
        <is>
          <t>1</t>
        </is>
      </c>
      <c r="H501" t="inlineStr">
        <is>
          <t>No</t>
        </is>
      </c>
      <c r="I501" t="inlineStr">
        <is>
          <t>No</t>
        </is>
      </c>
      <c r="J501" t="inlineStr">
        <is>
          <t>0</t>
        </is>
      </c>
      <c r="K501" t="inlineStr">
        <is>
          <t>Gawiser, Sheldon R.</t>
        </is>
      </c>
      <c r="L501" t="inlineStr">
        <is>
          <t>Westport, Conn. : Praeger, 1994.</t>
        </is>
      </c>
      <c r="M501" t="inlineStr">
        <is>
          <t>1994</t>
        </is>
      </c>
      <c r="O501" t="inlineStr">
        <is>
          <t>eng</t>
        </is>
      </c>
      <c r="P501" t="inlineStr">
        <is>
          <t>ctu</t>
        </is>
      </c>
      <c r="R501" t="inlineStr">
        <is>
          <t xml:space="preserve">HM </t>
        </is>
      </c>
      <c r="S501" t="n">
        <v>14</v>
      </c>
      <c r="T501" t="n">
        <v>14</v>
      </c>
      <c r="U501" t="inlineStr">
        <is>
          <t>2000-02-22</t>
        </is>
      </c>
      <c r="V501" t="inlineStr">
        <is>
          <t>2000-02-22</t>
        </is>
      </c>
      <c r="W501" t="inlineStr">
        <is>
          <t>1995-03-07</t>
        </is>
      </c>
      <c r="X501" t="inlineStr">
        <is>
          <t>1995-03-07</t>
        </is>
      </c>
      <c r="Y501" t="n">
        <v>572</v>
      </c>
      <c r="Z501" t="n">
        <v>506</v>
      </c>
      <c r="AA501" t="n">
        <v>513</v>
      </c>
      <c r="AB501" t="n">
        <v>8</v>
      </c>
      <c r="AC501" t="n">
        <v>8</v>
      </c>
      <c r="AD501" t="n">
        <v>33</v>
      </c>
      <c r="AE501" t="n">
        <v>33</v>
      </c>
      <c r="AF501" t="n">
        <v>15</v>
      </c>
      <c r="AG501" t="n">
        <v>15</v>
      </c>
      <c r="AH501" t="n">
        <v>4</v>
      </c>
      <c r="AI501" t="n">
        <v>4</v>
      </c>
      <c r="AJ501" t="n">
        <v>14</v>
      </c>
      <c r="AK501" t="n">
        <v>14</v>
      </c>
      <c r="AL501" t="n">
        <v>7</v>
      </c>
      <c r="AM501" t="n">
        <v>7</v>
      </c>
      <c r="AN501" t="n">
        <v>0</v>
      </c>
      <c r="AO501" t="n">
        <v>0</v>
      </c>
      <c r="AP501" t="inlineStr">
        <is>
          <t>No</t>
        </is>
      </c>
      <c r="AQ501" t="inlineStr">
        <is>
          <t>Yes</t>
        </is>
      </c>
      <c r="AR501">
        <f>HYPERLINK("http://catalog.hathitrust.org/Record/002912185","HathiTrust Record")</f>
        <v/>
      </c>
      <c r="AS501">
        <f>HYPERLINK("https://creighton-primo.hosted.exlibrisgroup.com/primo-explore/search?tab=default_tab&amp;search_scope=EVERYTHING&amp;vid=01CRU&amp;lang=en_US&amp;offset=0&amp;query=any,contains,991002334839702656","Catalog Record")</f>
        <v/>
      </c>
      <c r="AT501">
        <f>HYPERLINK("http://www.worldcat.org/oclc/30398487","WorldCat Record")</f>
        <v/>
      </c>
      <c r="AU501" t="inlineStr">
        <is>
          <t>2572807:eng</t>
        </is>
      </c>
      <c r="AV501" t="inlineStr">
        <is>
          <t>30398487</t>
        </is>
      </c>
      <c r="AW501" t="inlineStr">
        <is>
          <t>991002334839702656</t>
        </is>
      </c>
      <c r="AX501" t="inlineStr">
        <is>
          <t>991002334839702656</t>
        </is>
      </c>
      <c r="AY501" t="inlineStr">
        <is>
          <t>2270576320002656</t>
        </is>
      </c>
      <c r="AZ501" t="inlineStr">
        <is>
          <t>BOOK</t>
        </is>
      </c>
      <c r="BB501" t="inlineStr">
        <is>
          <t>9780275947224</t>
        </is>
      </c>
      <c r="BC501" t="inlineStr">
        <is>
          <t>32285002006764</t>
        </is>
      </c>
      <c r="BD501" t="inlineStr">
        <is>
          <t>893408983</t>
        </is>
      </c>
    </row>
    <row r="502">
      <c r="A502" t="inlineStr">
        <is>
          <t>No</t>
        </is>
      </c>
      <c r="B502" t="inlineStr">
        <is>
          <t>HM261 .H4 1985</t>
        </is>
      </c>
      <c r="C502" t="inlineStr">
        <is>
          <t>0                      HM 0261000H  4           1985</t>
        </is>
      </c>
      <c r="D502" t="inlineStr">
        <is>
          <t>Public opinion / Bernard Hennessy.</t>
        </is>
      </c>
      <c r="F502" t="inlineStr">
        <is>
          <t>No</t>
        </is>
      </c>
      <c r="G502" t="inlineStr">
        <is>
          <t>1</t>
        </is>
      </c>
      <c r="H502" t="inlineStr">
        <is>
          <t>No</t>
        </is>
      </c>
      <c r="I502" t="inlineStr">
        <is>
          <t>No</t>
        </is>
      </c>
      <c r="J502" t="inlineStr">
        <is>
          <t>0</t>
        </is>
      </c>
      <c r="K502" t="inlineStr">
        <is>
          <t>Hennessy, Bernard C.</t>
        </is>
      </c>
      <c r="L502" t="inlineStr">
        <is>
          <t>Monterey, Calif. : Brooks/Cole Pub. Co., 1985.</t>
        </is>
      </c>
      <c r="M502" t="inlineStr">
        <is>
          <t>1985</t>
        </is>
      </c>
      <c r="N502" t="inlineStr">
        <is>
          <t>5th ed.</t>
        </is>
      </c>
      <c r="O502" t="inlineStr">
        <is>
          <t>eng</t>
        </is>
      </c>
      <c r="P502" t="inlineStr">
        <is>
          <t>cau</t>
        </is>
      </c>
      <c r="R502" t="inlineStr">
        <is>
          <t xml:space="preserve">HM </t>
        </is>
      </c>
      <c r="S502" t="n">
        <v>7</v>
      </c>
      <c r="T502" t="n">
        <v>7</v>
      </c>
      <c r="U502" t="inlineStr">
        <is>
          <t>1994-11-17</t>
        </is>
      </c>
      <c r="V502" t="inlineStr">
        <is>
          <t>1994-11-17</t>
        </is>
      </c>
      <c r="W502" t="inlineStr">
        <is>
          <t>1992-09-03</t>
        </is>
      </c>
      <c r="X502" t="inlineStr">
        <is>
          <t>1992-09-03</t>
        </is>
      </c>
      <c r="Y502" t="n">
        <v>196</v>
      </c>
      <c r="Z502" t="n">
        <v>151</v>
      </c>
      <c r="AA502" t="n">
        <v>637</v>
      </c>
      <c r="AB502" t="n">
        <v>2</v>
      </c>
      <c r="AC502" t="n">
        <v>7</v>
      </c>
      <c r="AD502" t="n">
        <v>10</v>
      </c>
      <c r="AE502" t="n">
        <v>32</v>
      </c>
      <c r="AF502" t="n">
        <v>4</v>
      </c>
      <c r="AG502" t="n">
        <v>11</v>
      </c>
      <c r="AH502" t="n">
        <v>1</v>
      </c>
      <c r="AI502" t="n">
        <v>5</v>
      </c>
      <c r="AJ502" t="n">
        <v>7</v>
      </c>
      <c r="AK502" t="n">
        <v>17</v>
      </c>
      <c r="AL502" t="n">
        <v>1</v>
      </c>
      <c r="AM502" t="n">
        <v>6</v>
      </c>
      <c r="AN502" t="n">
        <v>0</v>
      </c>
      <c r="AO502" t="n">
        <v>1</v>
      </c>
      <c r="AP502" t="inlineStr">
        <is>
          <t>No</t>
        </is>
      </c>
      <c r="AQ502" t="inlineStr">
        <is>
          <t>Yes</t>
        </is>
      </c>
      <c r="AR502">
        <f>HYPERLINK("http://catalog.hathitrust.org/Record/012264771","HathiTrust Record")</f>
        <v/>
      </c>
      <c r="AS502">
        <f>HYPERLINK("https://creighton-primo.hosted.exlibrisgroup.com/primo-explore/search?tab=default_tab&amp;search_scope=EVERYTHING&amp;vid=01CRU&amp;lang=en_US&amp;offset=0&amp;query=any,contains,991000505339702656","Catalog Record")</f>
        <v/>
      </c>
      <c r="AT502">
        <f>HYPERLINK("http://www.worldcat.org/oclc/11210683","WorldCat Record")</f>
        <v/>
      </c>
      <c r="AU502" t="inlineStr">
        <is>
          <t>1247808:eng</t>
        </is>
      </c>
      <c r="AV502" t="inlineStr">
        <is>
          <t>11210683</t>
        </is>
      </c>
      <c r="AW502" t="inlineStr">
        <is>
          <t>991000505339702656</t>
        </is>
      </c>
      <c r="AX502" t="inlineStr">
        <is>
          <t>991000505339702656</t>
        </is>
      </c>
      <c r="AY502" t="inlineStr">
        <is>
          <t>2256552500002656</t>
        </is>
      </c>
      <c r="AZ502" t="inlineStr">
        <is>
          <t>BOOK</t>
        </is>
      </c>
      <c r="BB502" t="inlineStr">
        <is>
          <t>9780534049201</t>
        </is>
      </c>
      <c r="BC502" t="inlineStr">
        <is>
          <t>32285001268019</t>
        </is>
      </c>
      <c r="BD502" t="inlineStr">
        <is>
          <t>893438312</t>
        </is>
      </c>
    </row>
    <row r="503">
      <c r="A503" t="inlineStr">
        <is>
          <t>No</t>
        </is>
      </c>
      <c r="B503" t="inlineStr">
        <is>
          <t>HM261 .L49</t>
        </is>
      </c>
      <c r="C503" t="inlineStr">
        <is>
          <t>0                      HM 0261000L  49</t>
        </is>
      </c>
      <c r="D503" t="inlineStr">
        <is>
          <t>Does mass communication change public opinion after all? : a new approach to effects analysis / James B. Lemert.</t>
        </is>
      </c>
      <c r="F503" t="inlineStr">
        <is>
          <t>No</t>
        </is>
      </c>
      <c r="G503" t="inlineStr">
        <is>
          <t>1</t>
        </is>
      </c>
      <c r="H503" t="inlineStr">
        <is>
          <t>No</t>
        </is>
      </c>
      <c r="I503" t="inlineStr">
        <is>
          <t>No</t>
        </is>
      </c>
      <c r="J503" t="inlineStr">
        <is>
          <t>0</t>
        </is>
      </c>
      <c r="K503" t="inlineStr">
        <is>
          <t>Lemert, James B., 1935-</t>
        </is>
      </c>
      <c r="L503" t="inlineStr">
        <is>
          <t>Chicago : Nelson-Hall, c1981.</t>
        </is>
      </c>
      <c r="M503" t="inlineStr">
        <is>
          <t>1981</t>
        </is>
      </c>
      <c r="O503" t="inlineStr">
        <is>
          <t>eng</t>
        </is>
      </c>
      <c r="P503" t="inlineStr">
        <is>
          <t>ilu</t>
        </is>
      </c>
      <c r="R503" t="inlineStr">
        <is>
          <t xml:space="preserve">HM </t>
        </is>
      </c>
      <c r="S503" t="n">
        <v>5</v>
      </c>
      <c r="T503" t="n">
        <v>5</v>
      </c>
      <c r="U503" t="inlineStr">
        <is>
          <t>2002-03-11</t>
        </is>
      </c>
      <c r="V503" t="inlineStr">
        <is>
          <t>2002-03-11</t>
        </is>
      </c>
      <c r="W503" t="inlineStr">
        <is>
          <t>1991-08-22</t>
        </is>
      </c>
      <c r="X503" t="inlineStr">
        <is>
          <t>1991-08-22</t>
        </is>
      </c>
      <c r="Y503" t="n">
        <v>485</v>
      </c>
      <c r="Z503" t="n">
        <v>401</v>
      </c>
      <c r="AA503" t="n">
        <v>403</v>
      </c>
      <c r="AB503" t="n">
        <v>4</v>
      </c>
      <c r="AC503" t="n">
        <v>4</v>
      </c>
      <c r="AD503" t="n">
        <v>19</v>
      </c>
      <c r="AE503" t="n">
        <v>19</v>
      </c>
      <c r="AF503" t="n">
        <v>9</v>
      </c>
      <c r="AG503" t="n">
        <v>9</v>
      </c>
      <c r="AH503" t="n">
        <v>3</v>
      </c>
      <c r="AI503" t="n">
        <v>3</v>
      </c>
      <c r="AJ503" t="n">
        <v>10</v>
      </c>
      <c r="AK503" t="n">
        <v>10</v>
      </c>
      <c r="AL503" t="n">
        <v>2</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HYPERLINK("https://creighton-primo.hosted.exlibrisgroup.com/primo-explore/search?tab=default_tab&amp;search_scope=EVERYTHING&amp;vid=01CRU&amp;lang=en_US&amp;offset=0&amp;query=any,contains,991005017379702656","Catalog Record")</f>
        <v/>
      </c>
      <c r="AT503">
        <f>HYPERLINK("http://www.worldcat.org/oclc/6627373","WorldCat Record")</f>
        <v/>
      </c>
      <c r="AU503" t="inlineStr">
        <is>
          <t>541477:eng</t>
        </is>
      </c>
      <c r="AV503" t="inlineStr">
        <is>
          <t>6627373</t>
        </is>
      </c>
      <c r="AW503" t="inlineStr">
        <is>
          <t>991005017379702656</t>
        </is>
      </c>
      <c r="AX503" t="inlineStr">
        <is>
          <t>991005017379702656</t>
        </is>
      </c>
      <c r="AY503" t="inlineStr">
        <is>
          <t>2254935170002656</t>
        </is>
      </c>
      <c r="AZ503" t="inlineStr">
        <is>
          <t>BOOK</t>
        </is>
      </c>
      <c r="BB503" t="inlineStr">
        <is>
          <t>9780882294742</t>
        </is>
      </c>
      <c r="BC503" t="inlineStr">
        <is>
          <t>32285000697192</t>
        </is>
      </c>
      <c r="BD503" t="inlineStr">
        <is>
          <t>893600493</t>
        </is>
      </c>
    </row>
    <row r="504">
      <c r="A504" t="inlineStr">
        <is>
          <t>No</t>
        </is>
      </c>
      <c r="B504" t="inlineStr">
        <is>
          <t>HM261 .L497 1994</t>
        </is>
      </c>
      <c r="C504" t="inlineStr">
        <is>
          <t>0                      HM 0261000L  497         1994</t>
        </is>
      </c>
      <c r="D504" t="inlineStr">
        <is>
          <t>Shaping political attitudes : the impact of interpersonal communication and mass media / Silvo Lenart.</t>
        </is>
      </c>
      <c r="F504" t="inlineStr">
        <is>
          <t>No</t>
        </is>
      </c>
      <c r="G504" t="inlineStr">
        <is>
          <t>1</t>
        </is>
      </c>
      <c r="H504" t="inlineStr">
        <is>
          <t>No</t>
        </is>
      </c>
      <c r="I504" t="inlineStr">
        <is>
          <t>No</t>
        </is>
      </c>
      <c r="J504" t="inlineStr">
        <is>
          <t>0</t>
        </is>
      </c>
      <c r="K504" t="inlineStr">
        <is>
          <t>Lenart, Silvo.</t>
        </is>
      </c>
      <c r="L504" t="inlineStr">
        <is>
          <t>Thousand Oaks, Calif. : Sage Publications, c1994.</t>
        </is>
      </c>
      <c r="M504" t="inlineStr">
        <is>
          <t>1994</t>
        </is>
      </c>
      <c r="O504" t="inlineStr">
        <is>
          <t>eng</t>
        </is>
      </c>
      <c r="P504" t="inlineStr">
        <is>
          <t>cau</t>
        </is>
      </c>
      <c r="R504" t="inlineStr">
        <is>
          <t xml:space="preserve">HM </t>
        </is>
      </c>
      <c r="S504" t="n">
        <v>5</v>
      </c>
      <c r="T504" t="n">
        <v>5</v>
      </c>
      <c r="U504" t="inlineStr">
        <is>
          <t>2003-11-15</t>
        </is>
      </c>
      <c r="V504" t="inlineStr">
        <is>
          <t>2003-11-15</t>
        </is>
      </c>
      <c r="W504" t="inlineStr">
        <is>
          <t>1994-09-07</t>
        </is>
      </c>
      <c r="X504" t="inlineStr">
        <is>
          <t>1994-09-07</t>
        </is>
      </c>
      <c r="Y504" t="n">
        <v>423</v>
      </c>
      <c r="Z504" t="n">
        <v>301</v>
      </c>
      <c r="AA504" t="n">
        <v>307</v>
      </c>
      <c r="AB504" t="n">
        <v>4</v>
      </c>
      <c r="AC504" t="n">
        <v>4</v>
      </c>
      <c r="AD504" t="n">
        <v>19</v>
      </c>
      <c r="AE504" t="n">
        <v>19</v>
      </c>
      <c r="AF504" t="n">
        <v>8</v>
      </c>
      <c r="AG504" t="n">
        <v>8</v>
      </c>
      <c r="AH504" t="n">
        <v>5</v>
      </c>
      <c r="AI504" t="n">
        <v>5</v>
      </c>
      <c r="AJ504" t="n">
        <v>8</v>
      </c>
      <c r="AK504" t="n">
        <v>8</v>
      </c>
      <c r="AL504" t="n">
        <v>3</v>
      </c>
      <c r="AM504" t="n">
        <v>3</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HYPERLINK("https://creighton-primo.hosted.exlibrisgroup.com/primo-explore/search?tab=default_tab&amp;search_scope=EVERYTHING&amp;vid=01CRU&amp;lang=en_US&amp;offset=0&amp;query=any,contains,991002327619702656","Catalog Record")</f>
        <v/>
      </c>
      <c r="AT504">
        <f>HYPERLINK("http://www.worldcat.org/oclc/30318431","WorldCat Record")</f>
        <v/>
      </c>
      <c r="AU504" t="inlineStr">
        <is>
          <t>32255596:eng</t>
        </is>
      </c>
      <c r="AV504" t="inlineStr">
        <is>
          <t>30318431</t>
        </is>
      </c>
      <c r="AW504" t="inlineStr">
        <is>
          <t>991002327619702656</t>
        </is>
      </c>
      <c r="AX504" t="inlineStr">
        <is>
          <t>991002327619702656</t>
        </is>
      </c>
      <c r="AY504" t="inlineStr">
        <is>
          <t>2265285720002656</t>
        </is>
      </c>
      <c r="AZ504" t="inlineStr">
        <is>
          <t>BOOK</t>
        </is>
      </c>
      <c r="BB504" t="inlineStr">
        <is>
          <t>9780803957084</t>
        </is>
      </c>
      <c r="BC504" t="inlineStr">
        <is>
          <t>32285001945335</t>
        </is>
      </c>
      <c r="BD504" t="inlineStr">
        <is>
          <t>893335172</t>
        </is>
      </c>
    </row>
    <row r="505">
      <c r="A505" t="inlineStr">
        <is>
          <t>No</t>
        </is>
      </c>
      <c r="B505" t="inlineStr">
        <is>
          <t>HM261 .L75</t>
        </is>
      </c>
      <c r="C505" t="inlineStr">
        <is>
          <t>0                      HM 0261000L  75</t>
        </is>
      </c>
      <c r="D505" t="inlineStr">
        <is>
          <t>Public opinion, by Walter Lippmann.</t>
        </is>
      </c>
      <c r="F505" t="inlineStr">
        <is>
          <t>No</t>
        </is>
      </c>
      <c r="G505" t="inlineStr">
        <is>
          <t>1</t>
        </is>
      </c>
      <c r="H505" t="inlineStr">
        <is>
          <t>No</t>
        </is>
      </c>
      <c r="I505" t="inlineStr">
        <is>
          <t>No</t>
        </is>
      </c>
      <c r="J505" t="inlineStr">
        <is>
          <t>0</t>
        </is>
      </c>
      <c r="K505" t="inlineStr">
        <is>
          <t>Lippmann, Walter, 1889-1974.</t>
        </is>
      </c>
      <c r="L505" t="inlineStr">
        <is>
          <t>New York, Harcourt, Brace and Company [c1922]</t>
        </is>
      </c>
      <c r="M505" t="inlineStr">
        <is>
          <t>1922</t>
        </is>
      </c>
      <c r="O505" t="inlineStr">
        <is>
          <t>eng</t>
        </is>
      </c>
      <c r="P505" t="inlineStr">
        <is>
          <t>nyu</t>
        </is>
      </c>
      <c r="R505" t="inlineStr">
        <is>
          <t xml:space="preserve">HM </t>
        </is>
      </c>
      <c r="S505" t="n">
        <v>3</v>
      </c>
      <c r="T505" t="n">
        <v>3</v>
      </c>
      <c r="U505" t="inlineStr">
        <is>
          <t>2009-09-09</t>
        </is>
      </c>
      <c r="V505" t="inlineStr">
        <is>
          <t>2009-09-09</t>
        </is>
      </c>
      <c r="W505" t="inlineStr">
        <is>
          <t>1997-08-01</t>
        </is>
      </c>
      <c r="X505" t="inlineStr">
        <is>
          <t>1997-08-01</t>
        </is>
      </c>
      <c r="Y505" t="n">
        <v>583</v>
      </c>
      <c r="Z505" t="n">
        <v>536</v>
      </c>
      <c r="AA505" t="n">
        <v>1595</v>
      </c>
      <c r="AB505" t="n">
        <v>3</v>
      </c>
      <c r="AC505" t="n">
        <v>11</v>
      </c>
      <c r="AD505" t="n">
        <v>22</v>
      </c>
      <c r="AE505" t="n">
        <v>57</v>
      </c>
      <c r="AF505" t="n">
        <v>11</v>
      </c>
      <c r="AG505" t="n">
        <v>24</v>
      </c>
      <c r="AH505" t="n">
        <v>4</v>
      </c>
      <c r="AI505" t="n">
        <v>9</v>
      </c>
      <c r="AJ505" t="n">
        <v>8</v>
      </c>
      <c r="AK505" t="n">
        <v>24</v>
      </c>
      <c r="AL505" t="n">
        <v>2</v>
      </c>
      <c r="AM505" t="n">
        <v>10</v>
      </c>
      <c r="AN505" t="n">
        <v>1</v>
      </c>
      <c r="AO505" t="n">
        <v>2</v>
      </c>
      <c r="AP505" t="inlineStr">
        <is>
          <t>Yes</t>
        </is>
      </c>
      <c r="AQ505" t="inlineStr">
        <is>
          <t>No</t>
        </is>
      </c>
      <c r="AR505">
        <f>HYPERLINK("http://catalog.hathitrust.org/Record/001108116","HathiTrust Record")</f>
        <v/>
      </c>
      <c r="AS505">
        <f>HYPERLINK("https://creighton-primo.hosted.exlibrisgroup.com/primo-explore/search?tab=default_tab&amp;search_scope=EVERYTHING&amp;vid=01CRU&amp;lang=en_US&amp;offset=0&amp;query=any,contains,991004836889702656","Catalog Record")</f>
        <v/>
      </c>
      <c r="AT505">
        <f>HYPERLINK("http://www.worldcat.org/oclc/5453997","WorldCat Record")</f>
        <v/>
      </c>
      <c r="AU505" t="inlineStr">
        <is>
          <t>572376:eng</t>
        </is>
      </c>
      <c r="AV505" t="inlineStr">
        <is>
          <t>5453997</t>
        </is>
      </c>
      <c r="AW505" t="inlineStr">
        <is>
          <t>991004836889702656</t>
        </is>
      </c>
      <c r="AX505" t="inlineStr">
        <is>
          <t>991004836889702656</t>
        </is>
      </c>
      <c r="AY505" t="inlineStr">
        <is>
          <t>2272278630002656</t>
        </is>
      </c>
      <c r="AZ505" t="inlineStr">
        <is>
          <t>BOOK</t>
        </is>
      </c>
      <c r="BC505" t="inlineStr">
        <is>
          <t>32285003018495</t>
        </is>
      </c>
      <c r="BD505" t="inlineStr">
        <is>
          <t>893870170</t>
        </is>
      </c>
    </row>
    <row r="506">
      <c r="A506" t="inlineStr">
        <is>
          <t>No</t>
        </is>
      </c>
      <c r="B506" t="inlineStr">
        <is>
          <t>HM261 .M44 1992</t>
        </is>
      </c>
      <c r="C506" t="inlineStr">
        <is>
          <t>0                      HM 0261000M  44          1992</t>
        </is>
      </c>
      <c r="D506" t="inlineStr">
        <is>
          <t>Media polls in American politics / Thomas E. Mann and Gary R. Orren, editors.</t>
        </is>
      </c>
      <c r="F506" t="inlineStr">
        <is>
          <t>No</t>
        </is>
      </c>
      <c r="G506" t="inlineStr">
        <is>
          <t>1</t>
        </is>
      </c>
      <c r="H506" t="inlineStr">
        <is>
          <t>No</t>
        </is>
      </c>
      <c r="I506" t="inlineStr">
        <is>
          <t>No</t>
        </is>
      </c>
      <c r="J506" t="inlineStr">
        <is>
          <t>0</t>
        </is>
      </c>
      <c r="L506" t="inlineStr">
        <is>
          <t>Washington, D.C. : Brookings Institution, c1992.</t>
        </is>
      </c>
      <c r="M506" t="inlineStr">
        <is>
          <t>1992</t>
        </is>
      </c>
      <c r="O506" t="inlineStr">
        <is>
          <t>eng</t>
        </is>
      </c>
      <c r="P506" t="inlineStr">
        <is>
          <t>dcu</t>
        </is>
      </c>
      <c r="R506" t="inlineStr">
        <is>
          <t xml:space="preserve">HM </t>
        </is>
      </c>
      <c r="S506" t="n">
        <v>8</v>
      </c>
      <c r="T506" t="n">
        <v>8</v>
      </c>
      <c r="U506" t="inlineStr">
        <is>
          <t>2008-10-29</t>
        </is>
      </c>
      <c r="V506" t="inlineStr">
        <is>
          <t>2008-10-29</t>
        </is>
      </c>
      <c r="W506" t="inlineStr">
        <is>
          <t>1992-11-09</t>
        </is>
      </c>
      <c r="X506" t="inlineStr">
        <is>
          <t>1992-11-09</t>
        </is>
      </c>
      <c r="Y506" t="n">
        <v>703</v>
      </c>
      <c r="Z506" t="n">
        <v>605</v>
      </c>
      <c r="AA506" t="n">
        <v>608</v>
      </c>
      <c r="AB506" t="n">
        <v>3</v>
      </c>
      <c r="AC506" t="n">
        <v>3</v>
      </c>
      <c r="AD506" t="n">
        <v>32</v>
      </c>
      <c r="AE506" t="n">
        <v>32</v>
      </c>
      <c r="AF506" t="n">
        <v>15</v>
      </c>
      <c r="AG506" t="n">
        <v>15</v>
      </c>
      <c r="AH506" t="n">
        <v>6</v>
      </c>
      <c r="AI506" t="n">
        <v>6</v>
      </c>
      <c r="AJ506" t="n">
        <v>17</v>
      </c>
      <c r="AK506" t="n">
        <v>17</v>
      </c>
      <c r="AL506" t="n">
        <v>2</v>
      </c>
      <c r="AM506" t="n">
        <v>2</v>
      </c>
      <c r="AN506" t="n">
        <v>2</v>
      </c>
      <c r="AO506" t="n">
        <v>2</v>
      </c>
      <c r="AP506" t="inlineStr">
        <is>
          <t>No</t>
        </is>
      </c>
      <c r="AQ506" t="inlineStr">
        <is>
          <t>Yes</t>
        </is>
      </c>
      <c r="AR506">
        <f>HYPERLINK("http://catalog.hathitrust.org/Record/002578204","HathiTrust Record")</f>
        <v/>
      </c>
      <c r="AS506">
        <f>HYPERLINK("https://creighton-primo.hosted.exlibrisgroup.com/primo-explore/search?tab=default_tab&amp;search_scope=EVERYTHING&amp;vid=01CRU&amp;lang=en_US&amp;offset=0&amp;query=any,contains,991002066099702656","Catalog Record")</f>
        <v/>
      </c>
      <c r="AT506">
        <f>HYPERLINK("http://www.worldcat.org/oclc/26404303","WorldCat Record")</f>
        <v/>
      </c>
      <c r="AU506" t="inlineStr">
        <is>
          <t>351558531:eng</t>
        </is>
      </c>
      <c r="AV506" t="inlineStr">
        <is>
          <t>26404303</t>
        </is>
      </c>
      <c r="AW506" t="inlineStr">
        <is>
          <t>991002066099702656</t>
        </is>
      </c>
      <c r="AX506" t="inlineStr">
        <is>
          <t>991002066099702656</t>
        </is>
      </c>
      <c r="AY506" t="inlineStr">
        <is>
          <t>2259938530002656</t>
        </is>
      </c>
      <c r="AZ506" t="inlineStr">
        <is>
          <t>BOOK</t>
        </is>
      </c>
      <c r="BB506" t="inlineStr">
        <is>
          <t>9780815754558</t>
        </is>
      </c>
      <c r="BC506" t="inlineStr">
        <is>
          <t>32285001386621</t>
        </is>
      </c>
      <c r="BD506" t="inlineStr">
        <is>
          <t>893716004</t>
        </is>
      </c>
    </row>
    <row r="507">
      <c r="A507" t="inlineStr">
        <is>
          <t>No</t>
        </is>
      </c>
      <c r="B507" t="inlineStr">
        <is>
          <t>HM261 .M517 1991</t>
        </is>
      </c>
      <c r="C507" t="inlineStr">
        <is>
          <t>0                      HM 0261000M  517         1991</t>
        </is>
      </c>
      <c r="D507" t="inlineStr">
        <is>
          <t>Persuasion and politics : the social psychology of public opinion / Michael A. Milburn.</t>
        </is>
      </c>
      <c r="F507" t="inlineStr">
        <is>
          <t>No</t>
        </is>
      </c>
      <c r="G507" t="inlineStr">
        <is>
          <t>1</t>
        </is>
      </c>
      <c r="H507" t="inlineStr">
        <is>
          <t>No</t>
        </is>
      </c>
      <c r="I507" t="inlineStr">
        <is>
          <t>No</t>
        </is>
      </c>
      <c r="J507" t="inlineStr">
        <is>
          <t>0</t>
        </is>
      </c>
      <c r="K507" t="inlineStr">
        <is>
          <t>Milburn, Michael A., 1950-</t>
        </is>
      </c>
      <c r="L507" t="inlineStr">
        <is>
          <t>Pacific Grove, Calif. : Brooks/Cole Pub. Co., c1991.</t>
        </is>
      </c>
      <c r="M507" t="inlineStr">
        <is>
          <t>1991</t>
        </is>
      </c>
      <c r="O507" t="inlineStr">
        <is>
          <t>eng</t>
        </is>
      </c>
      <c r="P507" t="inlineStr">
        <is>
          <t>cau</t>
        </is>
      </c>
      <c r="R507" t="inlineStr">
        <is>
          <t xml:space="preserve">HM </t>
        </is>
      </c>
      <c r="S507" t="n">
        <v>6</v>
      </c>
      <c r="T507" t="n">
        <v>6</v>
      </c>
      <c r="U507" t="inlineStr">
        <is>
          <t>2003-11-15</t>
        </is>
      </c>
      <c r="V507" t="inlineStr">
        <is>
          <t>2003-11-15</t>
        </is>
      </c>
      <c r="W507" t="inlineStr">
        <is>
          <t>1995-01-03</t>
        </is>
      </c>
      <c r="X507" t="inlineStr">
        <is>
          <t>1995-01-03</t>
        </is>
      </c>
      <c r="Y507" t="n">
        <v>235</v>
      </c>
      <c r="Z507" t="n">
        <v>179</v>
      </c>
      <c r="AA507" t="n">
        <v>185</v>
      </c>
      <c r="AB507" t="n">
        <v>3</v>
      </c>
      <c r="AC507" t="n">
        <v>3</v>
      </c>
      <c r="AD507" t="n">
        <v>10</v>
      </c>
      <c r="AE507" t="n">
        <v>10</v>
      </c>
      <c r="AF507" t="n">
        <v>2</v>
      </c>
      <c r="AG507" t="n">
        <v>2</v>
      </c>
      <c r="AH507" t="n">
        <v>3</v>
      </c>
      <c r="AI507" t="n">
        <v>3</v>
      </c>
      <c r="AJ507" t="n">
        <v>7</v>
      </c>
      <c r="AK507" t="n">
        <v>7</v>
      </c>
      <c r="AL507" t="n">
        <v>2</v>
      </c>
      <c r="AM507" t="n">
        <v>2</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HYPERLINK("https://creighton-primo.hosted.exlibrisgroup.com/primo-explore/search?tab=default_tab&amp;search_scope=EVERYTHING&amp;vid=01CRU&amp;lang=en_US&amp;offset=0&amp;query=any,contains,991001808459702656","Catalog Record")</f>
        <v/>
      </c>
      <c r="AT507">
        <f>HYPERLINK("http://www.worldcat.org/oclc/22731188","WorldCat Record")</f>
        <v/>
      </c>
      <c r="AU507" t="inlineStr">
        <is>
          <t>368514645:eng</t>
        </is>
      </c>
      <c r="AV507" t="inlineStr">
        <is>
          <t>22731188</t>
        </is>
      </c>
      <c r="AW507" t="inlineStr">
        <is>
          <t>991001808459702656</t>
        </is>
      </c>
      <c r="AX507" t="inlineStr">
        <is>
          <t>991001808459702656</t>
        </is>
      </c>
      <c r="AY507" t="inlineStr">
        <is>
          <t>2270758640002656</t>
        </is>
      </c>
      <c r="AZ507" t="inlineStr">
        <is>
          <t>BOOK</t>
        </is>
      </c>
      <c r="BB507" t="inlineStr">
        <is>
          <t>9780534159481</t>
        </is>
      </c>
      <c r="BC507" t="inlineStr">
        <is>
          <t>32285001990398</t>
        </is>
      </c>
      <c r="BD507" t="inlineStr">
        <is>
          <t>893346805</t>
        </is>
      </c>
    </row>
    <row r="508">
      <c r="A508" t="inlineStr">
        <is>
          <t>No</t>
        </is>
      </c>
      <c r="B508" t="inlineStr">
        <is>
          <t>HM261 .P835 1995</t>
        </is>
      </c>
      <c r="C508" t="inlineStr">
        <is>
          <t>0                      HM 0261000P  835         1995</t>
        </is>
      </c>
      <c r="D508" t="inlineStr">
        <is>
          <t>Public opinion and the communication of consent / edited by Theodore L. Glasser, Charles T. Salmon ; introduction by Elihu Katz.</t>
        </is>
      </c>
      <c r="F508" t="inlineStr">
        <is>
          <t>No</t>
        </is>
      </c>
      <c r="G508" t="inlineStr">
        <is>
          <t>1</t>
        </is>
      </c>
      <c r="H508" t="inlineStr">
        <is>
          <t>No</t>
        </is>
      </c>
      <c r="I508" t="inlineStr">
        <is>
          <t>No</t>
        </is>
      </c>
      <c r="J508" t="inlineStr">
        <is>
          <t>0</t>
        </is>
      </c>
      <c r="L508" t="inlineStr">
        <is>
          <t>New York : Guilford Press, c1995.</t>
        </is>
      </c>
      <c r="M508" t="inlineStr">
        <is>
          <t>1995</t>
        </is>
      </c>
      <c r="O508" t="inlineStr">
        <is>
          <t>eng</t>
        </is>
      </c>
      <c r="P508" t="inlineStr">
        <is>
          <t>nyu</t>
        </is>
      </c>
      <c r="Q508" t="inlineStr">
        <is>
          <t>The Guilford communication series</t>
        </is>
      </c>
      <c r="R508" t="inlineStr">
        <is>
          <t xml:space="preserve">HM </t>
        </is>
      </c>
      <c r="S508" t="n">
        <v>2</v>
      </c>
      <c r="T508" t="n">
        <v>2</v>
      </c>
      <c r="U508" t="inlineStr">
        <is>
          <t>1999-09-23</t>
        </is>
      </c>
      <c r="V508" t="inlineStr">
        <is>
          <t>1999-09-23</t>
        </is>
      </c>
      <c r="W508" t="inlineStr">
        <is>
          <t>1996-06-26</t>
        </is>
      </c>
      <c r="X508" t="inlineStr">
        <is>
          <t>1996-06-26</t>
        </is>
      </c>
      <c r="Y508" t="n">
        <v>468</v>
      </c>
      <c r="Z508" t="n">
        <v>343</v>
      </c>
      <c r="AA508" t="n">
        <v>348</v>
      </c>
      <c r="AB508" t="n">
        <v>5</v>
      </c>
      <c r="AC508" t="n">
        <v>5</v>
      </c>
      <c r="AD508" t="n">
        <v>21</v>
      </c>
      <c r="AE508" t="n">
        <v>21</v>
      </c>
      <c r="AF508" t="n">
        <v>10</v>
      </c>
      <c r="AG508" t="n">
        <v>10</v>
      </c>
      <c r="AH508" t="n">
        <v>6</v>
      </c>
      <c r="AI508" t="n">
        <v>6</v>
      </c>
      <c r="AJ508" t="n">
        <v>7</v>
      </c>
      <c r="AK508" t="n">
        <v>7</v>
      </c>
      <c r="AL508" t="n">
        <v>4</v>
      </c>
      <c r="AM508" t="n">
        <v>4</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HYPERLINK("https://creighton-primo.hosted.exlibrisgroup.com/primo-explore/search?tab=default_tab&amp;search_scope=EVERYTHING&amp;vid=01CRU&amp;lang=en_US&amp;offset=0&amp;query=any,contains,991002443519702656","Catalog Record")</f>
        <v/>
      </c>
      <c r="AT508">
        <f>HYPERLINK("http://www.worldcat.org/oclc/31867405","WorldCat Record")</f>
        <v/>
      </c>
      <c r="AU508" t="inlineStr">
        <is>
          <t>355316337:eng</t>
        </is>
      </c>
      <c r="AV508" t="inlineStr">
        <is>
          <t>31867405</t>
        </is>
      </c>
      <c r="AW508" t="inlineStr">
        <is>
          <t>991002443519702656</t>
        </is>
      </c>
      <c r="AX508" t="inlineStr">
        <is>
          <t>991002443519702656</t>
        </is>
      </c>
      <c r="AY508" t="inlineStr">
        <is>
          <t>2257840870002656</t>
        </is>
      </c>
      <c r="AZ508" t="inlineStr">
        <is>
          <t>BOOK</t>
        </is>
      </c>
      <c r="BB508" t="inlineStr">
        <is>
          <t>9780898624052</t>
        </is>
      </c>
      <c r="BC508" t="inlineStr">
        <is>
          <t>32285002173812</t>
        </is>
      </c>
      <c r="BD508" t="inlineStr">
        <is>
          <t>893239044</t>
        </is>
      </c>
    </row>
    <row r="509">
      <c r="A509" t="inlineStr">
        <is>
          <t>No</t>
        </is>
      </c>
      <c r="B509" t="inlineStr">
        <is>
          <t>HM261 .S6</t>
        </is>
      </c>
      <c r="C509" t="inlineStr">
        <is>
          <t>0                      HM 0261000S  6</t>
        </is>
      </c>
      <c r="D509" t="inlineStr">
        <is>
          <t>Public opinion in a democracy : a study in American politics / by Charles W. Smith, jr.</t>
        </is>
      </c>
      <c r="F509" t="inlineStr">
        <is>
          <t>No</t>
        </is>
      </c>
      <c r="G509" t="inlineStr">
        <is>
          <t>1</t>
        </is>
      </c>
      <c r="H509" t="inlineStr">
        <is>
          <t>No</t>
        </is>
      </c>
      <c r="I509" t="inlineStr">
        <is>
          <t>No</t>
        </is>
      </c>
      <c r="J509" t="inlineStr">
        <is>
          <t>0</t>
        </is>
      </c>
      <c r="K509" t="inlineStr">
        <is>
          <t>Smith, Charles W. (Charles William), 1904-</t>
        </is>
      </c>
      <c r="L509" t="inlineStr">
        <is>
          <t>New York : Prentice-Hall, 1939.</t>
        </is>
      </c>
      <c r="M509" t="inlineStr">
        <is>
          <t>1939</t>
        </is>
      </c>
      <c r="O509" t="inlineStr">
        <is>
          <t>eng</t>
        </is>
      </c>
      <c r="P509" t="inlineStr">
        <is>
          <t>nyu</t>
        </is>
      </c>
      <c r="Q509" t="inlineStr">
        <is>
          <t>Political science series</t>
        </is>
      </c>
      <c r="R509" t="inlineStr">
        <is>
          <t xml:space="preserve">HM </t>
        </is>
      </c>
      <c r="S509" t="n">
        <v>3</v>
      </c>
      <c r="T509" t="n">
        <v>3</v>
      </c>
      <c r="U509" t="inlineStr">
        <is>
          <t>1999-11-23</t>
        </is>
      </c>
      <c r="V509" t="inlineStr">
        <is>
          <t>1999-11-23</t>
        </is>
      </c>
      <c r="W509" t="inlineStr">
        <is>
          <t>1993-04-28</t>
        </is>
      </c>
      <c r="X509" t="inlineStr">
        <is>
          <t>1993-04-28</t>
        </is>
      </c>
      <c r="Y509" t="n">
        <v>332</v>
      </c>
      <c r="Z509" t="n">
        <v>305</v>
      </c>
      <c r="AA509" t="n">
        <v>341</v>
      </c>
      <c r="AB509" t="n">
        <v>3</v>
      </c>
      <c r="AC509" t="n">
        <v>3</v>
      </c>
      <c r="AD509" t="n">
        <v>15</v>
      </c>
      <c r="AE509" t="n">
        <v>15</v>
      </c>
      <c r="AF509" t="n">
        <v>4</v>
      </c>
      <c r="AG509" t="n">
        <v>4</v>
      </c>
      <c r="AH509" t="n">
        <v>5</v>
      </c>
      <c r="AI509" t="n">
        <v>5</v>
      </c>
      <c r="AJ509" t="n">
        <v>9</v>
      </c>
      <c r="AK509" t="n">
        <v>9</v>
      </c>
      <c r="AL509" t="n">
        <v>2</v>
      </c>
      <c r="AM509" t="n">
        <v>2</v>
      </c>
      <c r="AN509" t="n">
        <v>0</v>
      </c>
      <c r="AO509" t="n">
        <v>0</v>
      </c>
      <c r="AP509" t="inlineStr">
        <is>
          <t>Yes</t>
        </is>
      </c>
      <c r="AQ509" t="inlineStr">
        <is>
          <t>No</t>
        </is>
      </c>
      <c r="AR509">
        <f>HYPERLINK("http://catalog.hathitrust.org/Record/000973921","HathiTrust Record")</f>
        <v/>
      </c>
      <c r="AS509">
        <f>HYPERLINK("https://creighton-primo.hosted.exlibrisgroup.com/primo-explore/search?tab=default_tab&amp;search_scope=EVERYTHING&amp;vid=01CRU&amp;lang=en_US&amp;offset=0&amp;query=any,contains,991000373549702656","Catalog Record")</f>
        <v/>
      </c>
      <c r="AT509">
        <f>HYPERLINK("http://www.worldcat.org/oclc/10452089","WorldCat Record")</f>
        <v/>
      </c>
      <c r="AU509" t="inlineStr">
        <is>
          <t>2782224:eng</t>
        </is>
      </c>
      <c r="AV509" t="inlineStr">
        <is>
          <t>10452089</t>
        </is>
      </c>
      <c r="AW509" t="inlineStr">
        <is>
          <t>991000373549702656</t>
        </is>
      </c>
      <c r="AX509" t="inlineStr">
        <is>
          <t>991000373549702656</t>
        </is>
      </c>
      <c r="AY509" t="inlineStr">
        <is>
          <t>2262374250002656</t>
        </is>
      </c>
      <c r="AZ509" t="inlineStr">
        <is>
          <t>BOOK</t>
        </is>
      </c>
      <c r="BC509" t="inlineStr">
        <is>
          <t>32285001629350</t>
        </is>
      </c>
      <c r="BD509" t="inlineStr">
        <is>
          <t>893614121</t>
        </is>
      </c>
    </row>
    <row r="510">
      <c r="A510" t="inlineStr">
        <is>
          <t>No</t>
        </is>
      </c>
      <c r="B510" t="inlineStr">
        <is>
          <t>HM261 .S824</t>
        </is>
      </c>
      <c r="C510" t="inlineStr">
        <is>
          <t>0                      HM 0261000S  824</t>
        </is>
      </c>
      <c r="D510" t="inlineStr">
        <is>
          <t>The mass media, public opinion, and public policy analysis : linkage explorations / James C. Strouse.</t>
        </is>
      </c>
      <c r="F510" t="inlineStr">
        <is>
          <t>No</t>
        </is>
      </c>
      <c r="G510" t="inlineStr">
        <is>
          <t>1</t>
        </is>
      </c>
      <c r="H510" t="inlineStr">
        <is>
          <t>No</t>
        </is>
      </c>
      <c r="I510" t="inlineStr">
        <is>
          <t>No</t>
        </is>
      </c>
      <c r="J510" t="inlineStr">
        <is>
          <t>0</t>
        </is>
      </c>
      <c r="K510" t="inlineStr">
        <is>
          <t>Strouse, James C.</t>
        </is>
      </c>
      <c r="L510" t="inlineStr">
        <is>
          <t>Columbus, Ohio : C. E. Merrill Pub. Co., [1975]</t>
        </is>
      </c>
      <c r="M510" t="inlineStr">
        <is>
          <t>1975</t>
        </is>
      </c>
      <c r="O510" t="inlineStr">
        <is>
          <t>eng</t>
        </is>
      </c>
      <c r="P510" t="inlineStr">
        <is>
          <t>ohu</t>
        </is>
      </c>
      <c r="Q510" t="inlineStr">
        <is>
          <t>Merrill political science series</t>
        </is>
      </c>
      <c r="R510" t="inlineStr">
        <is>
          <t xml:space="preserve">HM </t>
        </is>
      </c>
      <c r="S510" t="n">
        <v>4</v>
      </c>
      <c r="T510" t="n">
        <v>4</v>
      </c>
      <c r="U510" t="inlineStr">
        <is>
          <t>2000-04-20</t>
        </is>
      </c>
      <c r="V510" t="inlineStr">
        <is>
          <t>2000-04-20</t>
        </is>
      </c>
      <c r="W510" t="inlineStr">
        <is>
          <t>1993-04-28</t>
        </is>
      </c>
      <c r="X510" t="inlineStr">
        <is>
          <t>1993-04-28</t>
        </is>
      </c>
      <c r="Y510" t="n">
        <v>281</v>
      </c>
      <c r="Z510" t="n">
        <v>220</v>
      </c>
      <c r="AA510" t="n">
        <v>223</v>
      </c>
      <c r="AB510" t="n">
        <v>3</v>
      </c>
      <c r="AC510" t="n">
        <v>3</v>
      </c>
      <c r="AD510" t="n">
        <v>9</v>
      </c>
      <c r="AE510" t="n">
        <v>9</v>
      </c>
      <c r="AF510" t="n">
        <v>2</v>
      </c>
      <c r="AG510" t="n">
        <v>2</v>
      </c>
      <c r="AH510" t="n">
        <v>1</v>
      </c>
      <c r="AI510" t="n">
        <v>1</v>
      </c>
      <c r="AJ510" t="n">
        <v>6</v>
      </c>
      <c r="AK510" t="n">
        <v>6</v>
      </c>
      <c r="AL510" t="n">
        <v>2</v>
      </c>
      <c r="AM510" t="n">
        <v>2</v>
      </c>
      <c r="AN510" t="n">
        <v>0</v>
      </c>
      <c r="AO510" t="n">
        <v>0</v>
      </c>
      <c r="AP510" t="inlineStr">
        <is>
          <t>No</t>
        </is>
      </c>
      <c r="AQ510" t="inlineStr">
        <is>
          <t>Yes</t>
        </is>
      </c>
      <c r="AR510">
        <f>HYPERLINK("http://catalog.hathitrust.org/Record/009918502","HathiTrust Record")</f>
        <v/>
      </c>
      <c r="AS510">
        <f>HYPERLINK("https://creighton-primo.hosted.exlibrisgroup.com/primo-explore/search?tab=default_tab&amp;search_scope=EVERYTHING&amp;vid=01CRU&amp;lang=en_US&amp;offset=0&amp;query=any,contains,991003782809702656","Catalog Record")</f>
        <v/>
      </c>
      <c r="AT510">
        <f>HYPERLINK("http://www.worldcat.org/oclc/1497297","WorldCat Record")</f>
        <v/>
      </c>
      <c r="AU510" t="inlineStr">
        <is>
          <t>2427720:eng</t>
        </is>
      </c>
      <c r="AV510" t="inlineStr">
        <is>
          <t>1497297</t>
        </is>
      </c>
      <c r="AW510" t="inlineStr">
        <is>
          <t>991003782809702656</t>
        </is>
      </c>
      <c r="AX510" t="inlineStr">
        <is>
          <t>991003782809702656</t>
        </is>
      </c>
      <c r="AY510" t="inlineStr">
        <is>
          <t>2267088980002656</t>
        </is>
      </c>
      <c r="AZ510" t="inlineStr">
        <is>
          <t>BOOK</t>
        </is>
      </c>
      <c r="BB510" t="inlineStr">
        <is>
          <t>9780675087018</t>
        </is>
      </c>
      <c r="BC510" t="inlineStr">
        <is>
          <t>32285001629343</t>
        </is>
      </c>
      <c r="BD510" t="inlineStr">
        <is>
          <t>893800164</t>
        </is>
      </c>
    </row>
    <row r="511">
      <c r="A511" t="inlineStr">
        <is>
          <t>No</t>
        </is>
      </c>
      <c r="B511" t="inlineStr">
        <is>
          <t>HM261 .W48 1976</t>
        </is>
      </c>
      <c r="C511" t="inlineStr">
        <is>
          <t>0                      HM 0261000W  48          1976</t>
        </is>
      </c>
      <c r="D511" t="inlineStr">
        <is>
          <t>Lies, damn lies, and statistics : the manipulation of public opinion in America / Michael Wheeler.</t>
        </is>
      </c>
      <c r="F511" t="inlineStr">
        <is>
          <t>No</t>
        </is>
      </c>
      <c r="G511" t="inlineStr">
        <is>
          <t>1</t>
        </is>
      </c>
      <c r="H511" t="inlineStr">
        <is>
          <t>No</t>
        </is>
      </c>
      <c r="I511" t="inlineStr">
        <is>
          <t>No</t>
        </is>
      </c>
      <c r="J511" t="inlineStr">
        <is>
          <t>0</t>
        </is>
      </c>
      <c r="K511" t="inlineStr">
        <is>
          <t>Wheeler, Michael, 1943-</t>
        </is>
      </c>
      <c r="L511" t="inlineStr">
        <is>
          <t>New York : Liveright, c1976.</t>
        </is>
      </c>
      <c r="M511" t="inlineStr">
        <is>
          <t>1976</t>
        </is>
      </c>
      <c r="N511" t="inlineStr">
        <is>
          <t>1st ed.</t>
        </is>
      </c>
      <c r="O511" t="inlineStr">
        <is>
          <t>eng</t>
        </is>
      </c>
      <c r="P511" t="inlineStr">
        <is>
          <t>nyu</t>
        </is>
      </c>
      <c r="R511" t="inlineStr">
        <is>
          <t xml:space="preserve">HM </t>
        </is>
      </c>
      <c r="S511" t="n">
        <v>4</v>
      </c>
      <c r="T511" t="n">
        <v>4</v>
      </c>
      <c r="U511" t="inlineStr">
        <is>
          <t>1999-10-28</t>
        </is>
      </c>
      <c r="V511" t="inlineStr">
        <is>
          <t>1999-10-28</t>
        </is>
      </c>
      <c r="W511" t="inlineStr">
        <is>
          <t>1997-08-01</t>
        </is>
      </c>
      <c r="X511" t="inlineStr">
        <is>
          <t>1997-08-01</t>
        </is>
      </c>
      <c r="Y511" t="n">
        <v>1026</v>
      </c>
      <c r="Z511" t="n">
        <v>937</v>
      </c>
      <c r="AA511" t="n">
        <v>1006</v>
      </c>
      <c r="AB511" t="n">
        <v>4</v>
      </c>
      <c r="AC511" t="n">
        <v>6</v>
      </c>
      <c r="AD511" t="n">
        <v>30</v>
      </c>
      <c r="AE511" t="n">
        <v>36</v>
      </c>
      <c r="AF511" t="n">
        <v>10</v>
      </c>
      <c r="AG511" t="n">
        <v>13</v>
      </c>
      <c r="AH511" t="n">
        <v>8</v>
      </c>
      <c r="AI511" t="n">
        <v>9</v>
      </c>
      <c r="AJ511" t="n">
        <v>16</v>
      </c>
      <c r="AK511" t="n">
        <v>17</v>
      </c>
      <c r="AL511" t="n">
        <v>3</v>
      </c>
      <c r="AM511" t="n">
        <v>5</v>
      </c>
      <c r="AN511" t="n">
        <v>1</v>
      </c>
      <c r="AO511" t="n">
        <v>1</v>
      </c>
      <c r="AP511" t="inlineStr">
        <is>
          <t>No</t>
        </is>
      </c>
      <c r="AQ511" t="inlineStr">
        <is>
          <t>No</t>
        </is>
      </c>
      <c r="AS511">
        <f>HYPERLINK("https://creighton-primo.hosted.exlibrisgroup.com/primo-explore/search?tab=default_tab&amp;search_scope=EVERYTHING&amp;vid=01CRU&amp;lang=en_US&amp;offset=0&amp;query=any,contains,991004009279702656","Catalog Record")</f>
        <v/>
      </c>
      <c r="AT511">
        <f>HYPERLINK("http://www.worldcat.org/oclc/2089613","WorldCat Record")</f>
        <v/>
      </c>
      <c r="AU511" t="inlineStr">
        <is>
          <t>480490:eng</t>
        </is>
      </c>
      <c r="AV511" t="inlineStr">
        <is>
          <t>2089613</t>
        </is>
      </c>
      <c r="AW511" t="inlineStr">
        <is>
          <t>991004009279702656</t>
        </is>
      </c>
      <c r="AX511" t="inlineStr">
        <is>
          <t>991004009279702656</t>
        </is>
      </c>
      <c r="AY511" t="inlineStr">
        <is>
          <t>2263364890002656</t>
        </is>
      </c>
      <c r="AZ511" t="inlineStr">
        <is>
          <t>BOOK</t>
        </is>
      </c>
      <c r="BB511" t="inlineStr">
        <is>
          <t>9780871406217</t>
        </is>
      </c>
      <c r="BC511" t="inlineStr">
        <is>
          <t>32285003018610</t>
        </is>
      </c>
      <c r="BD511" t="inlineStr">
        <is>
          <t>893788173</t>
        </is>
      </c>
    </row>
    <row r="512">
      <c r="A512" t="inlineStr">
        <is>
          <t>No</t>
        </is>
      </c>
      <c r="B512" t="inlineStr">
        <is>
          <t>HM261 .W55</t>
        </is>
      </c>
      <c r="C512" t="inlineStr">
        <is>
          <t>0                      HM 0261000W  55</t>
        </is>
      </c>
      <c r="D512" t="inlineStr">
        <is>
          <t>A theory of public opinion.</t>
        </is>
      </c>
      <c r="F512" t="inlineStr">
        <is>
          <t>No</t>
        </is>
      </c>
      <c r="G512" t="inlineStr">
        <is>
          <t>1</t>
        </is>
      </c>
      <c r="H512" t="inlineStr">
        <is>
          <t>No</t>
        </is>
      </c>
      <c r="I512" t="inlineStr">
        <is>
          <t>No</t>
        </is>
      </c>
      <c r="J512" t="inlineStr">
        <is>
          <t>0</t>
        </is>
      </c>
      <c r="K512" t="inlineStr">
        <is>
          <t>Wilson, Francis Graham, 1901-1976.</t>
        </is>
      </c>
      <c r="L512" t="inlineStr">
        <is>
          <t>Chicago : H. Regnery Co., 1962.</t>
        </is>
      </c>
      <c r="M512" t="inlineStr">
        <is>
          <t>1962</t>
        </is>
      </c>
      <c r="O512" t="inlineStr">
        <is>
          <t>eng</t>
        </is>
      </c>
      <c r="P512" t="inlineStr">
        <is>
          <t>ilu</t>
        </is>
      </c>
      <c r="Q512" t="inlineStr">
        <is>
          <t>Philosophical and historical studies ; v. 2</t>
        </is>
      </c>
      <c r="R512" t="inlineStr">
        <is>
          <t xml:space="preserve">HM </t>
        </is>
      </c>
      <c r="S512" t="n">
        <v>4</v>
      </c>
      <c r="T512" t="n">
        <v>4</v>
      </c>
      <c r="U512" t="inlineStr">
        <is>
          <t>2003-09-20</t>
        </is>
      </c>
      <c r="V512" t="inlineStr">
        <is>
          <t>2003-09-20</t>
        </is>
      </c>
      <c r="W512" t="inlineStr">
        <is>
          <t>1990-07-31</t>
        </is>
      </c>
      <c r="X512" t="inlineStr">
        <is>
          <t>1990-07-31</t>
        </is>
      </c>
      <c r="Y512" t="n">
        <v>608</v>
      </c>
      <c r="Z512" t="n">
        <v>553</v>
      </c>
      <c r="AA512" t="n">
        <v>622</v>
      </c>
      <c r="AB512" t="n">
        <v>3</v>
      </c>
      <c r="AC512" t="n">
        <v>4</v>
      </c>
      <c r="AD512" t="n">
        <v>28</v>
      </c>
      <c r="AE512" t="n">
        <v>30</v>
      </c>
      <c r="AF512" t="n">
        <v>10</v>
      </c>
      <c r="AG512" t="n">
        <v>11</v>
      </c>
      <c r="AH512" t="n">
        <v>9</v>
      </c>
      <c r="AI512" t="n">
        <v>9</v>
      </c>
      <c r="AJ512" t="n">
        <v>18</v>
      </c>
      <c r="AK512" t="n">
        <v>18</v>
      </c>
      <c r="AL512" t="n">
        <v>2</v>
      </c>
      <c r="AM512" t="n">
        <v>3</v>
      </c>
      <c r="AN512" t="n">
        <v>0</v>
      </c>
      <c r="AO512" t="n">
        <v>0</v>
      </c>
      <c r="AP512" t="inlineStr">
        <is>
          <t>No</t>
        </is>
      </c>
      <c r="AQ512" t="inlineStr">
        <is>
          <t>No</t>
        </is>
      </c>
      <c r="AR512">
        <f>HYPERLINK("http://catalog.hathitrust.org/Record/000973929","HathiTrust Record")</f>
        <v/>
      </c>
      <c r="AS512">
        <f>HYPERLINK("https://creighton-primo.hosted.exlibrisgroup.com/primo-explore/search?tab=default_tab&amp;search_scope=EVERYTHING&amp;vid=01CRU&amp;lang=en_US&amp;offset=0&amp;query=any,contains,991002013209702656","Catalog Record")</f>
        <v/>
      </c>
      <c r="AT512">
        <f>HYPERLINK("http://www.worldcat.org/oclc/258942","WorldCat Record")</f>
        <v/>
      </c>
      <c r="AU512" t="inlineStr">
        <is>
          <t>350842004:eng</t>
        </is>
      </c>
      <c r="AV512" t="inlineStr">
        <is>
          <t>258942</t>
        </is>
      </c>
      <c r="AW512" t="inlineStr">
        <is>
          <t>991002013209702656</t>
        </is>
      </c>
      <c r="AX512" t="inlineStr">
        <is>
          <t>991002013209702656</t>
        </is>
      </c>
      <c r="AY512" t="inlineStr">
        <is>
          <t>2271651110002656</t>
        </is>
      </c>
      <c r="AZ512" t="inlineStr">
        <is>
          <t>BOOK</t>
        </is>
      </c>
      <c r="BC512" t="inlineStr">
        <is>
          <t>32285000252485</t>
        </is>
      </c>
      <c r="BD512" t="inlineStr">
        <is>
          <t>893433391</t>
        </is>
      </c>
    </row>
    <row r="513">
      <c r="A513" t="inlineStr">
        <is>
          <t>No</t>
        </is>
      </c>
      <c r="B513" t="inlineStr">
        <is>
          <t>HM263 .B397</t>
        </is>
      </c>
      <c r="C513" t="inlineStr">
        <is>
          <t>0                      HM 0263000B  397</t>
        </is>
      </c>
      <c r="D513" t="inlineStr">
        <is>
          <t>The engineering of consent / edited by Edward L. Bernays ; [contributors] Howard Walden Cutler [and others.</t>
        </is>
      </c>
      <c r="F513" t="inlineStr">
        <is>
          <t>No</t>
        </is>
      </c>
      <c r="G513" t="inlineStr">
        <is>
          <t>1</t>
        </is>
      </c>
      <c r="H513" t="inlineStr">
        <is>
          <t>No</t>
        </is>
      </c>
      <c r="I513" t="inlineStr">
        <is>
          <t>No</t>
        </is>
      </c>
      <c r="J513" t="inlineStr">
        <is>
          <t>0</t>
        </is>
      </c>
      <c r="K513" t="inlineStr">
        <is>
          <t>Bernays, Edward L., 1891-1995, editor.</t>
        </is>
      </c>
      <c r="L513" t="inlineStr">
        <is>
          <t>Norman : University of Oklahoma Press, [1955]</t>
        </is>
      </c>
      <c r="M513" t="inlineStr">
        <is>
          <t>1955</t>
        </is>
      </c>
      <c r="N513" t="inlineStr">
        <is>
          <t>1st ed.]</t>
        </is>
      </c>
      <c r="O513" t="inlineStr">
        <is>
          <t>eng</t>
        </is>
      </c>
      <c r="P513" t="inlineStr">
        <is>
          <t>oku</t>
        </is>
      </c>
      <c r="R513" t="inlineStr">
        <is>
          <t xml:space="preserve">HM </t>
        </is>
      </c>
      <c r="S513" t="n">
        <v>1</v>
      </c>
      <c r="T513" t="n">
        <v>1</v>
      </c>
      <c r="U513" t="inlineStr">
        <is>
          <t>1993-11-15</t>
        </is>
      </c>
      <c r="V513" t="inlineStr">
        <is>
          <t>1993-11-15</t>
        </is>
      </c>
      <c r="W513" t="inlineStr">
        <is>
          <t>1991-07-10</t>
        </is>
      </c>
      <c r="X513" t="inlineStr">
        <is>
          <t>1991-07-10</t>
        </is>
      </c>
      <c r="Y513" t="n">
        <v>456</v>
      </c>
      <c r="Z513" t="n">
        <v>420</v>
      </c>
      <c r="AA513" t="n">
        <v>453</v>
      </c>
      <c r="AB513" t="n">
        <v>3</v>
      </c>
      <c r="AC513" t="n">
        <v>3</v>
      </c>
      <c r="AD513" t="n">
        <v>23</v>
      </c>
      <c r="AE513" t="n">
        <v>24</v>
      </c>
      <c r="AF513" t="n">
        <v>8</v>
      </c>
      <c r="AG513" t="n">
        <v>9</v>
      </c>
      <c r="AH513" t="n">
        <v>6</v>
      </c>
      <c r="AI513" t="n">
        <v>6</v>
      </c>
      <c r="AJ513" t="n">
        <v>15</v>
      </c>
      <c r="AK513" t="n">
        <v>16</v>
      </c>
      <c r="AL513" t="n">
        <v>2</v>
      </c>
      <c r="AM513" t="n">
        <v>2</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HYPERLINK("https://creighton-primo.hosted.exlibrisgroup.com/primo-explore/search?tab=default_tab&amp;search_scope=EVERYTHING&amp;vid=01CRU&amp;lang=en_US&amp;offset=0&amp;query=any,contains,991002973309702656","Catalog Record")</f>
        <v/>
      </c>
      <c r="AT513">
        <f>HYPERLINK("http://www.worldcat.org/oclc/550584","WorldCat Record")</f>
        <v/>
      </c>
      <c r="AU513" t="inlineStr">
        <is>
          <t>16539841:eng</t>
        </is>
      </c>
      <c r="AV513" t="inlineStr">
        <is>
          <t>550584</t>
        </is>
      </c>
      <c r="AW513" t="inlineStr">
        <is>
          <t>991002973309702656</t>
        </is>
      </c>
      <c r="AX513" t="inlineStr">
        <is>
          <t>991002973309702656</t>
        </is>
      </c>
      <c r="AY513" t="inlineStr">
        <is>
          <t>2254860310002656</t>
        </is>
      </c>
      <c r="AZ513" t="inlineStr">
        <is>
          <t>BOOK</t>
        </is>
      </c>
      <c r="BC513" t="inlineStr">
        <is>
          <t>32285000638378</t>
        </is>
      </c>
      <c r="BD513" t="inlineStr">
        <is>
          <t>893598124</t>
        </is>
      </c>
    </row>
    <row r="514">
      <c r="A514" t="inlineStr">
        <is>
          <t>No</t>
        </is>
      </c>
      <c r="B514" t="inlineStr">
        <is>
          <t>HM263 .B415</t>
        </is>
      </c>
      <c r="C514" t="inlineStr">
        <is>
          <t>0                      HM 0263000B  415</t>
        </is>
      </c>
      <c r="D514" t="inlineStr">
        <is>
          <t>Public relations.</t>
        </is>
      </c>
      <c r="F514" t="inlineStr">
        <is>
          <t>No</t>
        </is>
      </c>
      <c r="G514" t="inlineStr">
        <is>
          <t>1</t>
        </is>
      </c>
      <c r="H514" t="inlineStr">
        <is>
          <t>No</t>
        </is>
      </c>
      <c r="I514" t="inlineStr">
        <is>
          <t>No</t>
        </is>
      </c>
      <c r="J514" t="inlineStr">
        <is>
          <t>0</t>
        </is>
      </c>
      <c r="K514" t="inlineStr">
        <is>
          <t>Bernays, Edward L., 1891-1995.</t>
        </is>
      </c>
      <c r="L514" t="inlineStr">
        <is>
          <t>Norman, University of Oklahoma Press [1952]</t>
        </is>
      </c>
      <c r="M514" t="inlineStr">
        <is>
          <t>1952</t>
        </is>
      </c>
      <c r="O514" t="inlineStr">
        <is>
          <t>eng</t>
        </is>
      </c>
      <c r="P514" t="inlineStr">
        <is>
          <t>___</t>
        </is>
      </c>
      <c r="R514" t="inlineStr">
        <is>
          <t xml:space="preserve">HM </t>
        </is>
      </c>
      <c r="S514" t="n">
        <v>1</v>
      </c>
      <c r="T514" t="n">
        <v>1</v>
      </c>
      <c r="U514" t="inlineStr">
        <is>
          <t>2010-01-21</t>
        </is>
      </c>
      <c r="V514" t="inlineStr">
        <is>
          <t>2010-01-21</t>
        </is>
      </c>
      <c r="W514" t="inlineStr">
        <is>
          <t>1993-03-23</t>
        </is>
      </c>
      <c r="X514" t="inlineStr">
        <is>
          <t>1993-03-23</t>
        </is>
      </c>
      <c r="Y514" t="n">
        <v>563</v>
      </c>
      <c r="Z514" t="n">
        <v>512</v>
      </c>
      <c r="AA514" t="n">
        <v>602</v>
      </c>
      <c r="AB514" t="n">
        <v>6</v>
      </c>
      <c r="AC514" t="n">
        <v>7</v>
      </c>
      <c r="AD514" t="n">
        <v>23</v>
      </c>
      <c r="AE514" t="n">
        <v>24</v>
      </c>
      <c r="AF514" t="n">
        <v>12</v>
      </c>
      <c r="AG514" t="n">
        <v>12</v>
      </c>
      <c r="AH514" t="n">
        <v>4</v>
      </c>
      <c r="AI514" t="n">
        <v>4</v>
      </c>
      <c r="AJ514" t="n">
        <v>10</v>
      </c>
      <c r="AK514" t="n">
        <v>10</v>
      </c>
      <c r="AL514" t="n">
        <v>4</v>
      </c>
      <c r="AM514" t="n">
        <v>5</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HYPERLINK("https://creighton-primo.hosted.exlibrisgroup.com/primo-explore/search?tab=default_tab&amp;search_scope=EVERYTHING&amp;vid=01CRU&amp;lang=en_US&amp;offset=0&amp;query=any,contains,991002967809702656","Catalog Record")</f>
        <v/>
      </c>
      <c r="AT514">
        <f>HYPERLINK("http://www.worldcat.org/oclc/546945","WorldCat Record")</f>
        <v/>
      </c>
      <c r="AU514" t="inlineStr">
        <is>
          <t>4928040250:eng</t>
        </is>
      </c>
      <c r="AV514" t="inlineStr">
        <is>
          <t>546945</t>
        </is>
      </c>
      <c r="AW514" t="inlineStr">
        <is>
          <t>991002967809702656</t>
        </is>
      </c>
      <c r="AX514" t="inlineStr">
        <is>
          <t>991002967809702656</t>
        </is>
      </c>
      <c r="AY514" t="inlineStr">
        <is>
          <t>2264975480002656</t>
        </is>
      </c>
      <c r="AZ514" t="inlineStr">
        <is>
          <t>BOOK</t>
        </is>
      </c>
      <c r="BC514" t="inlineStr">
        <is>
          <t>32285001578169</t>
        </is>
      </c>
      <c r="BD514" t="inlineStr">
        <is>
          <t>893686019</t>
        </is>
      </c>
    </row>
    <row r="515">
      <c r="A515" t="inlineStr">
        <is>
          <t>No</t>
        </is>
      </c>
      <c r="B515" t="inlineStr">
        <is>
          <t>HM263 .B416</t>
        </is>
      </c>
      <c r="C515" t="inlineStr">
        <is>
          <t>0                      HM 0263000B  416</t>
        </is>
      </c>
      <c r="D515" t="inlineStr">
        <is>
          <t>Your future in a public relations career / by Edward L. Bernays.</t>
        </is>
      </c>
      <c r="F515" t="inlineStr">
        <is>
          <t>No</t>
        </is>
      </c>
      <c r="G515" t="inlineStr">
        <is>
          <t>1</t>
        </is>
      </c>
      <c r="H515" t="inlineStr">
        <is>
          <t>No</t>
        </is>
      </c>
      <c r="I515" t="inlineStr">
        <is>
          <t>No</t>
        </is>
      </c>
      <c r="J515" t="inlineStr">
        <is>
          <t>0</t>
        </is>
      </c>
      <c r="K515" t="inlineStr">
        <is>
          <t>Bernays, Edward L., 1891-1995.</t>
        </is>
      </c>
      <c r="L515" t="inlineStr">
        <is>
          <t>New York : Richards Rosen Press, 1979.</t>
        </is>
      </c>
      <c r="M515" t="inlineStr">
        <is>
          <t>1979</t>
        </is>
      </c>
      <c r="N515" t="inlineStr">
        <is>
          <t>1st ed.</t>
        </is>
      </c>
      <c r="O515" t="inlineStr">
        <is>
          <t>eng</t>
        </is>
      </c>
      <c r="P515" t="inlineStr">
        <is>
          <t>nyu</t>
        </is>
      </c>
      <c r="R515" t="inlineStr">
        <is>
          <t xml:space="preserve">HM </t>
        </is>
      </c>
      <c r="S515" t="n">
        <v>8</v>
      </c>
      <c r="T515" t="n">
        <v>8</v>
      </c>
      <c r="U515" t="inlineStr">
        <is>
          <t>2002-10-21</t>
        </is>
      </c>
      <c r="V515" t="inlineStr">
        <is>
          <t>2002-10-21</t>
        </is>
      </c>
      <c r="W515" t="inlineStr">
        <is>
          <t>1990-04-26</t>
        </is>
      </c>
      <c r="X515" t="inlineStr">
        <is>
          <t>1990-04-26</t>
        </is>
      </c>
      <c r="Y515" t="n">
        <v>124</v>
      </c>
      <c r="Z515" t="n">
        <v>121</v>
      </c>
      <c r="AA515" t="n">
        <v>149</v>
      </c>
      <c r="AB515" t="n">
        <v>1</v>
      </c>
      <c r="AC515" t="n">
        <v>1</v>
      </c>
      <c r="AD515" t="n">
        <v>0</v>
      </c>
      <c r="AE515" t="n">
        <v>0</v>
      </c>
      <c r="AF515" t="n">
        <v>0</v>
      </c>
      <c r="AG515" t="n">
        <v>0</v>
      </c>
      <c r="AH515" t="n">
        <v>0</v>
      </c>
      <c r="AI515" t="n">
        <v>0</v>
      </c>
      <c r="AJ515" t="n">
        <v>0</v>
      </c>
      <c r="AK515" t="n">
        <v>0</v>
      </c>
      <c r="AL515" t="n">
        <v>0</v>
      </c>
      <c r="AM515" t="n">
        <v>0</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HYPERLINK("https://creighton-primo.hosted.exlibrisgroup.com/primo-explore/search?tab=default_tab&amp;search_scope=EVERYTHING&amp;vid=01CRU&amp;lang=en_US&amp;offset=0&amp;query=any,contains,991004749359702656","Catalog Record")</f>
        <v/>
      </c>
      <c r="AT515">
        <f>HYPERLINK("http://www.worldcat.org/oclc/4932862","WorldCat Record")</f>
        <v/>
      </c>
      <c r="AU515" t="inlineStr">
        <is>
          <t>3858929324:eng</t>
        </is>
      </c>
      <c r="AV515" t="inlineStr">
        <is>
          <t>4932862</t>
        </is>
      </c>
      <c r="AW515" t="inlineStr">
        <is>
          <t>991004749359702656</t>
        </is>
      </c>
      <c r="AX515" t="inlineStr">
        <is>
          <t>991004749359702656</t>
        </is>
      </c>
      <c r="AY515" t="inlineStr">
        <is>
          <t>2270633410002656</t>
        </is>
      </c>
      <c r="AZ515" t="inlineStr">
        <is>
          <t>BOOK</t>
        </is>
      </c>
      <c r="BB515" t="inlineStr">
        <is>
          <t>9780823904433</t>
        </is>
      </c>
      <c r="BC515" t="inlineStr">
        <is>
          <t>32285000134477</t>
        </is>
      </c>
      <c r="BD515" t="inlineStr">
        <is>
          <t>893430454</t>
        </is>
      </c>
    </row>
    <row r="516">
      <c r="A516" t="inlineStr">
        <is>
          <t>No</t>
        </is>
      </c>
      <c r="B516" t="inlineStr">
        <is>
          <t>HM263 .B538 1995</t>
        </is>
      </c>
      <c r="C516" t="inlineStr">
        <is>
          <t>0                      HM 0263000B  538         1995</t>
        </is>
      </c>
      <c r="D516" t="inlineStr">
        <is>
          <t>Handbook for public relations writing / Thomas Bivins.</t>
        </is>
      </c>
      <c r="F516" t="inlineStr">
        <is>
          <t>No</t>
        </is>
      </c>
      <c r="G516" t="inlineStr">
        <is>
          <t>1</t>
        </is>
      </c>
      <c r="H516" t="inlineStr">
        <is>
          <t>No</t>
        </is>
      </c>
      <c r="I516" t="inlineStr">
        <is>
          <t>No</t>
        </is>
      </c>
      <c r="J516" t="inlineStr">
        <is>
          <t>0</t>
        </is>
      </c>
      <c r="K516" t="inlineStr">
        <is>
          <t>Bivins, Thomas H. (Thomas Harvey), 1947-</t>
        </is>
      </c>
      <c r="L516" t="inlineStr">
        <is>
          <t>Lincolnwood, Ill., USA : NTC Business Books, c1995.</t>
        </is>
      </c>
      <c r="M516" t="inlineStr">
        <is>
          <t>1995</t>
        </is>
      </c>
      <c r="N516" t="inlineStr">
        <is>
          <t>3rd ed.</t>
        </is>
      </c>
      <c r="O516" t="inlineStr">
        <is>
          <t>eng</t>
        </is>
      </c>
      <c r="P516" t="inlineStr">
        <is>
          <t>ilu</t>
        </is>
      </c>
      <c r="R516" t="inlineStr">
        <is>
          <t xml:space="preserve">HM </t>
        </is>
      </c>
      <c r="S516" t="n">
        <v>8</v>
      </c>
      <c r="T516" t="n">
        <v>8</v>
      </c>
      <c r="U516" t="inlineStr">
        <is>
          <t>2000-08-23</t>
        </is>
      </c>
      <c r="V516" t="inlineStr">
        <is>
          <t>2000-08-23</t>
        </is>
      </c>
      <c r="W516" t="inlineStr">
        <is>
          <t>1995-12-11</t>
        </is>
      </c>
      <c r="X516" t="inlineStr">
        <is>
          <t>1995-12-11</t>
        </is>
      </c>
      <c r="Y516" t="n">
        <v>302</v>
      </c>
      <c r="Z516" t="n">
        <v>250</v>
      </c>
      <c r="AA516" t="n">
        <v>256</v>
      </c>
      <c r="AB516" t="n">
        <v>2</v>
      </c>
      <c r="AC516" t="n">
        <v>2</v>
      </c>
      <c r="AD516" t="n">
        <v>11</v>
      </c>
      <c r="AE516" t="n">
        <v>11</v>
      </c>
      <c r="AF516" t="n">
        <v>5</v>
      </c>
      <c r="AG516" t="n">
        <v>5</v>
      </c>
      <c r="AH516" t="n">
        <v>2</v>
      </c>
      <c r="AI516" t="n">
        <v>2</v>
      </c>
      <c r="AJ516" t="n">
        <v>6</v>
      </c>
      <c r="AK516" t="n">
        <v>6</v>
      </c>
      <c r="AL516" t="n">
        <v>1</v>
      </c>
      <c r="AM516" t="n">
        <v>1</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HYPERLINK("https://creighton-primo.hosted.exlibrisgroup.com/primo-explore/search?tab=default_tab&amp;search_scope=EVERYTHING&amp;vid=01CRU&amp;lang=en_US&amp;offset=0&amp;query=any,contains,991002405169702656","Catalog Record")</f>
        <v/>
      </c>
      <c r="AT516">
        <f>HYPERLINK("http://www.worldcat.org/oclc/31289517","WorldCat Record")</f>
        <v/>
      </c>
      <c r="AU516" t="inlineStr">
        <is>
          <t>9593923432:eng</t>
        </is>
      </c>
      <c r="AV516" t="inlineStr">
        <is>
          <t>31289517</t>
        </is>
      </c>
      <c r="AW516" t="inlineStr">
        <is>
          <t>991002405169702656</t>
        </is>
      </c>
      <c r="AX516" t="inlineStr">
        <is>
          <t>991002405169702656</t>
        </is>
      </c>
      <c r="AY516" t="inlineStr">
        <is>
          <t>2259805440002656</t>
        </is>
      </c>
      <c r="AZ516" t="inlineStr">
        <is>
          <t>BOOK</t>
        </is>
      </c>
      <c r="BB516" t="inlineStr">
        <is>
          <t>9780844234359</t>
        </is>
      </c>
      <c r="BC516" t="inlineStr">
        <is>
          <t>32285002110426</t>
        </is>
      </c>
      <c r="BD516" t="inlineStr">
        <is>
          <t>893898721</t>
        </is>
      </c>
    </row>
    <row r="517">
      <c r="A517" t="inlineStr">
        <is>
          <t>No</t>
        </is>
      </c>
      <c r="B517" t="inlineStr">
        <is>
          <t>HM263 .B67 1988</t>
        </is>
      </c>
      <c r="C517" t="inlineStr">
        <is>
          <t>0                      HM 0263000B  67          1988</t>
        </is>
      </c>
      <c r="D517" t="inlineStr">
        <is>
          <t>Public relations programming and production / E.W. Brody.</t>
        </is>
      </c>
      <c r="F517" t="inlineStr">
        <is>
          <t>No</t>
        </is>
      </c>
      <c r="G517" t="inlineStr">
        <is>
          <t>1</t>
        </is>
      </c>
      <c r="H517" t="inlineStr">
        <is>
          <t>No</t>
        </is>
      </c>
      <c r="I517" t="inlineStr">
        <is>
          <t>No</t>
        </is>
      </c>
      <c r="J517" t="inlineStr">
        <is>
          <t>0</t>
        </is>
      </c>
      <c r="K517" t="inlineStr">
        <is>
          <t>Brody, E. W.</t>
        </is>
      </c>
      <c r="L517" t="inlineStr">
        <is>
          <t>New York : Praeger, 1988.</t>
        </is>
      </c>
      <c r="M517" t="inlineStr">
        <is>
          <t>1988</t>
        </is>
      </c>
      <c r="O517" t="inlineStr">
        <is>
          <t>eng</t>
        </is>
      </c>
      <c r="P517" t="inlineStr">
        <is>
          <t>nyu</t>
        </is>
      </c>
      <c r="R517" t="inlineStr">
        <is>
          <t xml:space="preserve">HM </t>
        </is>
      </c>
      <c r="S517" t="n">
        <v>3</v>
      </c>
      <c r="T517" t="n">
        <v>3</v>
      </c>
      <c r="U517" t="inlineStr">
        <is>
          <t>1999-12-07</t>
        </is>
      </c>
      <c r="V517" t="inlineStr">
        <is>
          <t>1999-12-07</t>
        </is>
      </c>
      <c r="W517" t="inlineStr">
        <is>
          <t>1992-09-08</t>
        </is>
      </c>
      <c r="X517" t="inlineStr">
        <is>
          <t>1992-09-08</t>
        </is>
      </c>
      <c r="Y517" t="n">
        <v>285</v>
      </c>
      <c r="Z517" t="n">
        <v>234</v>
      </c>
      <c r="AA517" t="n">
        <v>239</v>
      </c>
      <c r="AB517" t="n">
        <v>4</v>
      </c>
      <c r="AC517" t="n">
        <v>4</v>
      </c>
      <c r="AD517" t="n">
        <v>12</v>
      </c>
      <c r="AE517" t="n">
        <v>12</v>
      </c>
      <c r="AF517" t="n">
        <v>4</v>
      </c>
      <c r="AG517" t="n">
        <v>4</v>
      </c>
      <c r="AH517" t="n">
        <v>2</v>
      </c>
      <c r="AI517" t="n">
        <v>2</v>
      </c>
      <c r="AJ517" t="n">
        <v>5</v>
      </c>
      <c r="AK517" t="n">
        <v>5</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HYPERLINK("https://creighton-primo.hosted.exlibrisgroup.com/primo-explore/search?tab=default_tab&amp;search_scope=EVERYTHING&amp;vid=01CRU&amp;lang=en_US&amp;offset=0&amp;query=any,contains,991001149099702656","Catalog Record")</f>
        <v/>
      </c>
      <c r="AT517">
        <f>HYPERLINK("http://www.worldcat.org/oclc/16802264","WorldCat Record")</f>
        <v/>
      </c>
      <c r="AU517" t="inlineStr">
        <is>
          <t>2563469:eng</t>
        </is>
      </c>
      <c r="AV517" t="inlineStr">
        <is>
          <t>16802264</t>
        </is>
      </c>
      <c r="AW517" t="inlineStr">
        <is>
          <t>991001149099702656</t>
        </is>
      </c>
      <c r="AX517" t="inlineStr">
        <is>
          <t>991001149099702656</t>
        </is>
      </c>
      <c r="AY517" t="inlineStr">
        <is>
          <t>2269500650002656</t>
        </is>
      </c>
      <c r="AZ517" t="inlineStr">
        <is>
          <t>BOOK</t>
        </is>
      </c>
      <c r="BB517" t="inlineStr">
        <is>
          <t>9780275926823</t>
        </is>
      </c>
      <c r="BC517" t="inlineStr">
        <is>
          <t>32285001268118</t>
        </is>
      </c>
      <c r="BD517" t="inlineStr">
        <is>
          <t>893243901</t>
        </is>
      </c>
    </row>
    <row r="518">
      <c r="A518" t="inlineStr">
        <is>
          <t>No</t>
        </is>
      </c>
      <c r="B518" t="inlineStr">
        <is>
          <t>HM263 .B674 1990</t>
        </is>
      </c>
      <c r="C518" t="inlineStr">
        <is>
          <t>0                      HM 0263000B  674         1990</t>
        </is>
      </c>
      <c r="D518" t="inlineStr">
        <is>
          <t>Public relations writing / E.W. Brody and Dan L. Lattimore.</t>
        </is>
      </c>
      <c r="F518" t="inlineStr">
        <is>
          <t>No</t>
        </is>
      </c>
      <c r="G518" t="inlineStr">
        <is>
          <t>1</t>
        </is>
      </c>
      <c r="H518" t="inlineStr">
        <is>
          <t>No</t>
        </is>
      </c>
      <c r="I518" t="inlineStr">
        <is>
          <t>No</t>
        </is>
      </c>
      <c r="J518" t="inlineStr">
        <is>
          <t>0</t>
        </is>
      </c>
      <c r="K518" t="inlineStr">
        <is>
          <t>Brody, E. W.</t>
        </is>
      </c>
      <c r="L518" t="inlineStr">
        <is>
          <t>New York : Praeger, 1990.</t>
        </is>
      </c>
      <c r="M518" t="inlineStr">
        <is>
          <t>1990</t>
        </is>
      </c>
      <c r="O518" t="inlineStr">
        <is>
          <t>eng</t>
        </is>
      </c>
      <c r="P518" t="inlineStr">
        <is>
          <t>nyu</t>
        </is>
      </c>
      <c r="R518" t="inlineStr">
        <is>
          <t xml:space="preserve">HM </t>
        </is>
      </c>
      <c r="S518" t="n">
        <v>6</v>
      </c>
      <c r="T518" t="n">
        <v>6</v>
      </c>
      <c r="U518" t="inlineStr">
        <is>
          <t>2007-12-03</t>
        </is>
      </c>
      <c r="V518" t="inlineStr">
        <is>
          <t>2007-12-03</t>
        </is>
      </c>
      <c r="W518" t="inlineStr">
        <is>
          <t>1990-10-17</t>
        </is>
      </c>
      <c r="X518" t="inlineStr">
        <is>
          <t>1990-10-17</t>
        </is>
      </c>
      <c r="Y518" t="n">
        <v>180</v>
      </c>
      <c r="Z518" t="n">
        <v>148</v>
      </c>
      <c r="AA518" t="n">
        <v>149</v>
      </c>
      <c r="AB518" t="n">
        <v>3</v>
      </c>
      <c r="AC518" t="n">
        <v>3</v>
      </c>
      <c r="AD518" t="n">
        <v>4</v>
      </c>
      <c r="AE518" t="n">
        <v>4</v>
      </c>
      <c r="AF518" t="n">
        <v>1</v>
      </c>
      <c r="AG518" t="n">
        <v>1</v>
      </c>
      <c r="AH518" t="n">
        <v>0</v>
      </c>
      <c r="AI518" t="n">
        <v>0</v>
      </c>
      <c r="AJ518" t="n">
        <v>1</v>
      </c>
      <c r="AK518" t="n">
        <v>1</v>
      </c>
      <c r="AL518" t="n">
        <v>2</v>
      </c>
      <c r="AM518" t="n">
        <v>2</v>
      </c>
      <c r="AN518" t="n">
        <v>0</v>
      </c>
      <c r="AO518" t="n">
        <v>0</v>
      </c>
      <c r="AP518" t="inlineStr">
        <is>
          <t>No</t>
        </is>
      </c>
      <c r="AQ518" t="inlineStr">
        <is>
          <t>Yes</t>
        </is>
      </c>
      <c r="AR518">
        <f>HYPERLINK("http://catalog.hathitrust.org/Record/007571059","HathiTrust Record")</f>
        <v/>
      </c>
      <c r="AS518">
        <f>HYPERLINK("https://creighton-primo.hosted.exlibrisgroup.com/primo-explore/search?tab=default_tab&amp;search_scope=EVERYTHING&amp;vid=01CRU&amp;lang=en_US&amp;offset=0&amp;query=any,contains,991001565279702656","Catalog Record")</f>
        <v/>
      </c>
      <c r="AT518">
        <f>HYPERLINK("http://www.worldcat.org/oclc/20320289","WorldCat Record")</f>
        <v/>
      </c>
      <c r="AU518" t="inlineStr">
        <is>
          <t>3901337309:eng</t>
        </is>
      </c>
      <c r="AV518" t="inlineStr">
        <is>
          <t>20320289</t>
        </is>
      </c>
      <c r="AW518" t="inlineStr">
        <is>
          <t>991001565279702656</t>
        </is>
      </c>
      <c r="AX518" t="inlineStr">
        <is>
          <t>991001565279702656</t>
        </is>
      </c>
      <c r="AY518" t="inlineStr">
        <is>
          <t>2261944440002656</t>
        </is>
      </c>
      <c r="AZ518" t="inlineStr">
        <is>
          <t>BOOK</t>
        </is>
      </c>
      <c r="BB518" t="inlineStr">
        <is>
          <t>9780275928964</t>
        </is>
      </c>
      <c r="BC518" t="inlineStr">
        <is>
          <t>32285000311521</t>
        </is>
      </c>
      <c r="BD518" t="inlineStr">
        <is>
          <t>893602679</t>
        </is>
      </c>
    </row>
    <row r="519">
      <c r="A519" t="inlineStr">
        <is>
          <t>No</t>
        </is>
      </c>
      <c r="B519" t="inlineStr">
        <is>
          <t>HM263 .C37 1985</t>
        </is>
      </c>
      <c r="C519" t="inlineStr">
        <is>
          <t>0                      HM 0263000C  37          1985</t>
        </is>
      </c>
      <c r="D519" t="inlineStr">
        <is>
          <t>Publicidad imperfecta / Efraim Castillo.</t>
        </is>
      </c>
      <c r="F519" t="inlineStr">
        <is>
          <t>No</t>
        </is>
      </c>
      <c r="G519" t="inlineStr">
        <is>
          <t>1</t>
        </is>
      </c>
      <c r="H519" t="inlineStr">
        <is>
          <t>No</t>
        </is>
      </c>
      <c r="I519" t="inlineStr">
        <is>
          <t>No</t>
        </is>
      </c>
      <c r="J519" t="inlineStr">
        <is>
          <t>0</t>
        </is>
      </c>
      <c r="K519" t="inlineStr">
        <is>
          <t>Castillo, Efraím, 1940-</t>
        </is>
      </c>
      <c r="L519" t="inlineStr">
        <is>
          <t>Santo Domingo, República Dominicana : Taller, c1985.</t>
        </is>
      </c>
      <c r="M519" t="inlineStr">
        <is>
          <t>1985</t>
        </is>
      </c>
      <c r="O519" t="inlineStr">
        <is>
          <t>spa</t>
        </is>
      </c>
      <c r="P519" t="inlineStr">
        <is>
          <t xml:space="preserve">dr </t>
        </is>
      </c>
      <c r="Q519" t="inlineStr">
        <is>
          <t>Biblioteca Taller ; 183</t>
        </is>
      </c>
      <c r="R519" t="inlineStr">
        <is>
          <t xml:space="preserve">HM </t>
        </is>
      </c>
      <c r="S519" t="n">
        <v>1</v>
      </c>
      <c r="T519" t="n">
        <v>1</v>
      </c>
      <c r="U519" t="inlineStr">
        <is>
          <t>2001-08-28</t>
        </is>
      </c>
      <c r="V519" t="inlineStr">
        <is>
          <t>2001-08-28</t>
        </is>
      </c>
      <c r="W519" t="inlineStr">
        <is>
          <t>2001-08-28</t>
        </is>
      </c>
      <c r="X519" t="inlineStr">
        <is>
          <t>2001-08-28</t>
        </is>
      </c>
      <c r="Y519" t="n">
        <v>16</v>
      </c>
      <c r="Z519" t="n">
        <v>14</v>
      </c>
      <c r="AA519" t="n">
        <v>16</v>
      </c>
      <c r="AB519" t="n">
        <v>1</v>
      </c>
      <c r="AC519" t="n">
        <v>1</v>
      </c>
      <c r="AD519" t="n">
        <v>0</v>
      </c>
      <c r="AE519" t="n">
        <v>0</v>
      </c>
      <c r="AF519" t="n">
        <v>0</v>
      </c>
      <c r="AG519" t="n">
        <v>0</v>
      </c>
      <c r="AH519" t="n">
        <v>0</v>
      </c>
      <c r="AI519" t="n">
        <v>0</v>
      </c>
      <c r="AJ519" t="n">
        <v>0</v>
      </c>
      <c r="AK519" t="n">
        <v>0</v>
      </c>
      <c r="AL519" t="n">
        <v>0</v>
      </c>
      <c r="AM519" t="n">
        <v>0</v>
      </c>
      <c r="AN519" t="n">
        <v>0</v>
      </c>
      <c r="AO519" t="n">
        <v>0</v>
      </c>
      <c r="AP519" t="inlineStr">
        <is>
          <t>No</t>
        </is>
      </c>
      <c r="AQ519" t="inlineStr">
        <is>
          <t>Yes</t>
        </is>
      </c>
      <c r="AR519">
        <f>HYPERLINK("http://catalog.hathitrust.org/Record/101043697","HathiTrust Record")</f>
        <v/>
      </c>
      <c r="AS519">
        <f>HYPERLINK("https://creighton-primo.hosted.exlibrisgroup.com/primo-explore/search?tab=default_tab&amp;search_scope=EVERYTHING&amp;vid=01CRU&amp;lang=en_US&amp;offset=0&amp;query=any,contains,991003614079702656","Catalog Record")</f>
        <v/>
      </c>
      <c r="AT519">
        <f>HYPERLINK("http://www.worldcat.org/oclc/17144979","WorldCat Record")</f>
        <v/>
      </c>
      <c r="AU519" t="inlineStr">
        <is>
          <t>13777602:spa</t>
        </is>
      </c>
      <c r="AV519" t="inlineStr">
        <is>
          <t>17144979</t>
        </is>
      </c>
      <c r="AW519" t="inlineStr">
        <is>
          <t>991003614079702656</t>
        </is>
      </c>
      <c r="AX519" t="inlineStr">
        <is>
          <t>991003614079702656</t>
        </is>
      </c>
      <c r="AY519" t="inlineStr">
        <is>
          <t>2255583200002656</t>
        </is>
      </c>
      <c r="AZ519" t="inlineStr">
        <is>
          <t>BOOK</t>
        </is>
      </c>
      <c r="BC519" t="inlineStr">
        <is>
          <t>32285004382270</t>
        </is>
      </c>
      <c r="BD519" t="inlineStr">
        <is>
          <t>893686722</t>
        </is>
      </c>
    </row>
    <row r="520">
      <c r="A520" t="inlineStr">
        <is>
          <t>No</t>
        </is>
      </c>
      <c r="B520" t="inlineStr">
        <is>
          <t>HM263 .C4 1972</t>
        </is>
      </c>
      <c r="C520" t="inlineStr">
        <is>
          <t>0                      HM 0263000C  4           1972</t>
        </is>
      </c>
      <c r="D520" t="inlineStr">
        <is>
          <t>Propaganda and dictatorship : a collection of papers.</t>
        </is>
      </c>
      <c r="F520" t="inlineStr">
        <is>
          <t>No</t>
        </is>
      </c>
      <c r="G520" t="inlineStr">
        <is>
          <t>1</t>
        </is>
      </c>
      <c r="H520" t="inlineStr">
        <is>
          <t>No</t>
        </is>
      </c>
      <c r="I520" t="inlineStr">
        <is>
          <t>No</t>
        </is>
      </c>
      <c r="J520" t="inlineStr">
        <is>
          <t>0</t>
        </is>
      </c>
      <c r="K520" t="inlineStr">
        <is>
          <t>Childs, Harwood L. (Harwood Lawrence), 1898-1972, editor.</t>
        </is>
      </c>
      <c r="L520" t="inlineStr">
        <is>
          <t>New York : Arno Press, 1972, [c1936]</t>
        </is>
      </c>
      <c r="M520" t="inlineStr">
        <is>
          <t>1972</t>
        </is>
      </c>
      <c r="O520" t="inlineStr">
        <is>
          <t>eng</t>
        </is>
      </c>
      <c r="P520" t="inlineStr">
        <is>
          <t>nyu</t>
        </is>
      </c>
      <c r="Q520" t="inlineStr">
        <is>
          <t>International propaganda and communications</t>
        </is>
      </c>
      <c r="R520" t="inlineStr">
        <is>
          <t xml:space="preserve">HM </t>
        </is>
      </c>
      <c r="S520" t="n">
        <v>1</v>
      </c>
      <c r="T520" t="n">
        <v>1</v>
      </c>
      <c r="U520" t="inlineStr">
        <is>
          <t>2001-02-23</t>
        </is>
      </c>
      <c r="V520" t="inlineStr">
        <is>
          <t>2001-02-23</t>
        </is>
      </c>
      <c r="W520" t="inlineStr">
        <is>
          <t>1997-02-05</t>
        </is>
      </c>
      <c r="X520" t="inlineStr">
        <is>
          <t>1997-02-05</t>
        </is>
      </c>
      <c r="Y520" t="n">
        <v>131</v>
      </c>
      <c r="Z520" t="n">
        <v>109</v>
      </c>
      <c r="AA520" t="n">
        <v>609</v>
      </c>
      <c r="AB520" t="n">
        <v>2</v>
      </c>
      <c r="AC520" t="n">
        <v>7</v>
      </c>
      <c r="AD520" t="n">
        <v>4</v>
      </c>
      <c r="AE520" t="n">
        <v>31</v>
      </c>
      <c r="AF520" t="n">
        <v>3</v>
      </c>
      <c r="AG520" t="n">
        <v>11</v>
      </c>
      <c r="AH520" t="n">
        <v>1</v>
      </c>
      <c r="AI520" t="n">
        <v>7</v>
      </c>
      <c r="AJ520" t="n">
        <v>1</v>
      </c>
      <c r="AK520" t="n">
        <v>9</v>
      </c>
      <c r="AL520" t="n">
        <v>1</v>
      </c>
      <c r="AM520" t="n">
        <v>5</v>
      </c>
      <c r="AN520" t="n">
        <v>0</v>
      </c>
      <c r="AO520" t="n">
        <v>5</v>
      </c>
      <c r="AP520" t="inlineStr">
        <is>
          <t>No</t>
        </is>
      </c>
      <c r="AQ520" t="inlineStr">
        <is>
          <t>No</t>
        </is>
      </c>
      <c r="AS520">
        <f>HYPERLINK("https://creighton-primo.hosted.exlibrisgroup.com/primo-explore/search?tab=default_tab&amp;search_scope=EVERYTHING&amp;vid=01CRU&amp;lang=en_US&amp;offset=0&amp;query=any,contains,991002655269702656","Catalog Record")</f>
        <v/>
      </c>
      <c r="AT520">
        <f>HYPERLINK("http://www.worldcat.org/oclc/388564","WorldCat Record")</f>
        <v/>
      </c>
      <c r="AU520" t="inlineStr">
        <is>
          <t>53965750:eng</t>
        </is>
      </c>
      <c r="AV520" t="inlineStr">
        <is>
          <t>388564</t>
        </is>
      </c>
      <c r="AW520" t="inlineStr">
        <is>
          <t>991002655269702656</t>
        </is>
      </c>
      <c r="AX520" t="inlineStr">
        <is>
          <t>991002655269702656</t>
        </is>
      </c>
      <c r="AY520" t="inlineStr">
        <is>
          <t>2254838140002656</t>
        </is>
      </c>
      <c r="AZ520" t="inlineStr">
        <is>
          <t>BOOK</t>
        </is>
      </c>
      <c r="BB520" t="inlineStr">
        <is>
          <t>9780405047428</t>
        </is>
      </c>
      <c r="BC520" t="inlineStr">
        <is>
          <t>32285002423290</t>
        </is>
      </c>
      <c r="BD520" t="inlineStr">
        <is>
          <t>893517563</t>
        </is>
      </c>
    </row>
    <row r="521">
      <c r="A521" t="inlineStr">
        <is>
          <t>No</t>
        </is>
      </c>
      <c r="B521" t="inlineStr">
        <is>
          <t>HM263 .C576</t>
        </is>
      </c>
      <c r="C521" t="inlineStr">
        <is>
          <t>0                      HM 0263000C  576</t>
        </is>
      </c>
      <c r="D521" t="inlineStr">
        <is>
          <t>The practical handbook of public relations / Robert S. Cole.</t>
        </is>
      </c>
      <c r="F521" t="inlineStr">
        <is>
          <t>No</t>
        </is>
      </c>
      <c r="G521" t="inlineStr">
        <is>
          <t>1</t>
        </is>
      </c>
      <c r="H521" t="inlineStr">
        <is>
          <t>No</t>
        </is>
      </c>
      <c r="I521" t="inlineStr">
        <is>
          <t>No</t>
        </is>
      </c>
      <c r="J521" t="inlineStr">
        <is>
          <t>0</t>
        </is>
      </c>
      <c r="K521" t="inlineStr">
        <is>
          <t>Cole, Robert S.</t>
        </is>
      </c>
      <c r="L521" t="inlineStr">
        <is>
          <t>Englewood Cliffs, N.J. : Prentice Hall, 1981.</t>
        </is>
      </c>
      <c r="M521" t="inlineStr">
        <is>
          <t>1981</t>
        </is>
      </c>
      <c r="O521" t="inlineStr">
        <is>
          <t>eng</t>
        </is>
      </c>
      <c r="P521" t="inlineStr">
        <is>
          <t>nju</t>
        </is>
      </c>
      <c r="Q521" t="inlineStr">
        <is>
          <t>A Spectrum book</t>
        </is>
      </c>
      <c r="R521" t="inlineStr">
        <is>
          <t xml:space="preserve">HM </t>
        </is>
      </c>
      <c r="S521" t="n">
        <v>4</v>
      </c>
      <c r="T521" t="n">
        <v>4</v>
      </c>
      <c r="U521" t="inlineStr">
        <is>
          <t>2007-12-03</t>
        </is>
      </c>
      <c r="V521" t="inlineStr">
        <is>
          <t>2007-12-03</t>
        </is>
      </c>
      <c r="W521" t="inlineStr">
        <is>
          <t>1992-09-08</t>
        </is>
      </c>
      <c r="X521" t="inlineStr">
        <is>
          <t>1992-09-08</t>
        </is>
      </c>
      <c r="Y521" t="n">
        <v>478</v>
      </c>
      <c r="Z521" t="n">
        <v>432</v>
      </c>
      <c r="AA521" t="n">
        <v>434</v>
      </c>
      <c r="AB521" t="n">
        <v>3</v>
      </c>
      <c r="AC521" t="n">
        <v>3</v>
      </c>
      <c r="AD521" t="n">
        <v>16</v>
      </c>
      <c r="AE521" t="n">
        <v>16</v>
      </c>
      <c r="AF521" t="n">
        <v>7</v>
      </c>
      <c r="AG521" t="n">
        <v>7</v>
      </c>
      <c r="AH521" t="n">
        <v>2</v>
      </c>
      <c r="AI521" t="n">
        <v>2</v>
      </c>
      <c r="AJ521" t="n">
        <v>7</v>
      </c>
      <c r="AK521" t="n">
        <v>7</v>
      </c>
      <c r="AL521" t="n">
        <v>2</v>
      </c>
      <c r="AM521" t="n">
        <v>2</v>
      </c>
      <c r="AN521" t="n">
        <v>0</v>
      </c>
      <c r="AO521" t="n">
        <v>0</v>
      </c>
      <c r="AP521" t="inlineStr">
        <is>
          <t>No</t>
        </is>
      </c>
      <c r="AQ521" t="inlineStr">
        <is>
          <t>Yes</t>
        </is>
      </c>
      <c r="AR521">
        <f>HYPERLINK("http://catalog.hathitrust.org/Record/007990310","HathiTrust Record")</f>
        <v/>
      </c>
      <c r="AS521">
        <f>HYPERLINK("https://creighton-primo.hosted.exlibrisgroup.com/primo-explore/search?tab=default_tab&amp;search_scope=EVERYTHING&amp;vid=01CRU&amp;lang=en_US&amp;offset=0&amp;query=any,contains,991005036199702656","Catalog Record")</f>
        <v/>
      </c>
      <c r="AT521">
        <f>HYPERLINK("http://www.worldcat.org/oclc/6761695","WorldCat Record")</f>
        <v/>
      </c>
      <c r="AU521" t="inlineStr">
        <is>
          <t>23833397:eng</t>
        </is>
      </c>
      <c r="AV521" t="inlineStr">
        <is>
          <t>6761695</t>
        </is>
      </c>
      <c r="AW521" t="inlineStr">
        <is>
          <t>991005036199702656</t>
        </is>
      </c>
      <c r="AX521" t="inlineStr">
        <is>
          <t>991005036199702656</t>
        </is>
      </c>
      <c r="AY521" t="inlineStr">
        <is>
          <t>2261213600002656</t>
        </is>
      </c>
      <c r="AZ521" t="inlineStr">
        <is>
          <t>BOOK</t>
        </is>
      </c>
      <c r="BB521" t="inlineStr">
        <is>
          <t>9780136911548</t>
        </is>
      </c>
      <c r="BC521" t="inlineStr">
        <is>
          <t>32285001268126</t>
        </is>
      </c>
      <c r="BD521" t="inlineStr">
        <is>
          <t>893418292</t>
        </is>
      </c>
    </row>
    <row r="522">
      <c r="A522" t="inlineStr">
        <is>
          <t>No</t>
        </is>
      </c>
      <c r="B522" t="inlineStr">
        <is>
          <t>HM263 .C785 1994</t>
        </is>
      </c>
      <c r="C522" t="inlineStr">
        <is>
          <t>0                      HM 0263000C  785         1994</t>
        </is>
      </c>
      <c r="D522" t="inlineStr">
        <is>
          <t>The unseen power : public relations, a history / Scott M. Cutlip.</t>
        </is>
      </c>
      <c r="F522" t="inlineStr">
        <is>
          <t>No</t>
        </is>
      </c>
      <c r="G522" t="inlineStr">
        <is>
          <t>1</t>
        </is>
      </c>
      <c r="H522" t="inlineStr">
        <is>
          <t>No</t>
        </is>
      </c>
      <c r="I522" t="inlineStr">
        <is>
          <t>No</t>
        </is>
      </c>
      <c r="J522" t="inlineStr">
        <is>
          <t>0</t>
        </is>
      </c>
      <c r="K522" t="inlineStr">
        <is>
          <t>Cutlip, Scott M.</t>
        </is>
      </c>
      <c r="L522" t="inlineStr">
        <is>
          <t>Hillsdale, N.J. : L. Erlbaum Associates, c1994.</t>
        </is>
      </c>
      <c r="M522" t="inlineStr">
        <is>
          <t>1994</t>
        </is>
      </c>
      <c r="O522" t="inlineStr">
        <is>
          <t>eng</t>
        </is>
      </c>
      <c r="P522" t="inlineStr">
        <is>
          <t>nju</t>
        </is>
      </c>
      <c r="Q522" t="inlineStr">
        <is>
          <t>LEA's communication series</t>
        </is>
      </c>
      <c r="R522" t="inlineStr">
        <is>
          <t xml:space="preserve">HM </t>
        </is>
      </c>
      <c r="S522" t="n">
        <v>4</v>
      </c>
      <c r="T522" t="n">
        <v>4</v>
      </c>
      <c r="U522" t="inlineStr">
        <is>
          <t>2003-05-27</t>
        </is>
      </c>
      <c r="V522" t="inlineStr">
        <is>
          <t>2003-05-27</t>
        </is>
      </c>
      <c r="W522" t="inlineStr">
        <is>
          <t>1994-09-21</t>
        </is>
      </c>
      <c r="X522" t="inlineStr">
        <is>
          <t>1994-09-21</t>
        </is>
      </c>
      <c r="Y522" t="n">
        <v>487</v>
      </c>
      <c r="Z522" t="n">
        <v>401</v>
      </c>
      <c r="AA522" t="n">
        <v>427</v>
      </c>
      <c r="AB522" t="n">
        <v>6</v>
      </c>
      <c r="AC522" t="n">
        <v>7</v>
      </c>
      <c r="AD522" t="n">
        <v>30</v>
      </c>
      <c r="AE522" t="n">
        <v>31</v>
      </c>
      <c r="AF522" t="n">
        <v>14</v>
      </c>
      <c r="AG522" t="n">
        <v>14</v>
      </c>
      <c r="AH522" t="n">
        <v>6</v>
      </c>
      <c r="AI522" t="n">
        <v>6</v>
      </c>
      <c r="AJ522" t="n">
        <v>13</v>
      </c>
      <c r="AK522" t="n">
        <v>13</v>
      </c>
      <c r="AL522" t="n">
        <v>5</v>
      </c>
      <c r="AM522" t="n">
        <v>6</v>
      </c>
      <c r="AN522" t="n">
        <v>0</v>
      </c>
      <c r="AO522" t="n">
        <v>0</v>
      </c>
      <c r="AP522" t="inlineStr">
        <is>
          <t>No</t>
        </is>
      </c>
      <c r="AQ522" t="inlineStr">
        <is>
          <t>Yes</t>
        </is>
      </c>
      <c r="AR522">
        <f>HYPERLINK("http://catalog.hathitrust.org/Record/002882503","HathiTrust Record")</f>
        <v/>
      </c>
      <c r="AS522">
        <f>HYPERLINK("https://creighton-primo.hosted.exlibrisgroup.com/primo-explore/search?tab=default_tab&amp;search_scope=EVERYTHING&amp;vid=01CRU&amp;lang=en_US&amp;offset=0&amp;query=any,contains,991002200709702656","Catalog Record")</f>
        <v/>
      </c>
      <c r="AT522">
        <f>HYPERLINK("http://www.worldcat.org/oclc/28294513","WorldCat Record")</f>
        <v/>
      </c>
      <c r="AU522" t="inlineStr">
        <is>
          <t>52673658:eng</t>
        </is>
      </c>
      <c r="AV522" t="inlineStr">
        <is>
          <t>28294513</t>
        </is>
      </c>
      <c r="AW522" t="inlineStr">
        <is>
          <t>991002200709702656</t>
        </is>
      </c>
      <c r="AX522" t="inlineStr">
        <is>
          <t>991002200709702656</t>
        </is>
      </c>
      <c r="AY522" t="inlineStr">
        <is>
          <t>2258740260002656</t>
        </is>
      </c>
      <c r="AZ522" t="inlineStr">
        <is>
          <t>BOOK</t>
        </is>
      </c>
      <c r="BB522" t="inlineStr">
        <is>
          <t>9780805814644</t>
        </is>
      </c>
      <c r="BC522" t="inlineStr">
        <is>
          <t>32285001946358</t>
        </is>
      </c>
      <c r="BD522" t="inlineStr">
        <is>
          <t>893408807</t>
        </is>
      </c>
    </row>
    <row r="523">
      <c r="A523" t="inlineStr">
        <is>
          <t>No</t>
        </is>
      </c>
      <c r="B523" t="inlineStr">
        <is>
          <t>HM263 .D45</t>
        </is>
      </c>
      <c r="C523" t="inlineStr">
        <is>
          <t>0                      HM 0263000D  45</t>
        </is>
      </c>
      <c r="D523" t="inlineStr">
        <is>
          <t>The strategy of desire.</t>
        </is>
      </c>
      <c r="F523" t="inlineStr">
        <is>
          <t>No</t>
        </is>
      </c>
      <c r="G523" t="inlineStr">
        <is>
          <t>1</t>
        </is>
      </c>
      <c r="H523" t="inlineStr">
        <is>
          <t>No</t>
        </is>
      </c>
      <c r="I523" t="inlineStr">
        <is>
          <t>No</t>
        </is>
      </c>
      <c r="J523" t="inlineStr">
        <is>
          <t>0</t>
        </is>
      </c>
      <c r="K523" t="inlineStr">
        <is>
          <t>Dichter, Ernest, 1907-1991.</t>
        </is>
      </c>
      <c r="L523" t="inlineStr">
        <is>
          <t>Garden City, N.Y., Doubleday, 1960.</t>
        </is>
      </c>
      <c r="M523" t="inlineStr">
        <is>
          <t>1960</t>
        </is>
      </c>
      <c r="N523" t="inlineStr">
        <is>
          <t>[1st ed.]</t>
        </is>
      </c>
      <c r="O523" t="inlineStr">
        <is>
          <t>eng</t>
        </is>
      </c>
      <c r="P523" t="inlineStr">
        <is>
          <t>nyu</t>
        </is>
      </c>
      <c r="R523" t="inlineStr">
        <is>
          <t xml:space="preserve">HM </t>
        </is>
      </c>
      <c r="S523" t="n">
        <v>1</v>
      </c>
      <c r="T523" t="n">
        <v>1</v>
      </c>
      <c r="U523" t="inlineStr">
        <is>
          <t>2001-09-11</t>
        </is>
      </c>
      <c r="V523" t="inlineStr">
        <is>
          <t>2001-09-11</t>
        </is>
      </c>
      <c r="W523" t="inlineStr">
        <is>
          <t>1997-08-01</t>
        </is>
      </c>
      <c r="X523" t="inlineStr">
        <is>
          <t>1997-08-01</t>
        </is>
      </c>
      <c r="Y523" t="n">
        <v>322</v>
      </c>
      <c r="Z523" t="n">
        <v>292</v>
      </c>
      <c r="AA523" t="n">
        <v>373</v>
      </c>
      <c r="AB523" t="n">
        <v>3</v>
      </c>
      <c r="AC523" t="n">
        <v>4</v>
      </c>
      <c r="AD523" t="n">
        <v>16</v>
      </c>
      <c r="AE523" t="n">
        <v>19</v>
      </c>
      <c r="AF523" t="n">
        <v>5</v>
      </c>
      <c r="AG523" t="n">
        <v>5</v>
      </c>
      <c r="AH523" t="n">
        <v>3</v>
      </c>
      <c r="AI523" t="n">
        <v>4</v>
      </c>
      <c r="AJ523" t="n">
        <v>9</v>
      </c>
      <c r="AK523" t="n">
        <v>10</v>
      </c>
      <c r="AL523" t="n">
        <v>2</v>
      </c>
      <c r="AM523" t="n">
        <v>3</v>
      </c>
      <c r="AN523" t="n">
        <v>0</v>
      </c>
      <c r="AO523" t="n">
        <v>0</v>
      </c>
      <c r="AP523" t="inlineStr">
        <is>
          <t>No</t>
        </is>
      </c>
      <c r="AQ523" t="inlineStr">
        <is>
          <t>No</t>
        </is>
      </c>
      <c r="AR523">
        <f>HYPERLINK("http://catalog.hathitrust.org/Record/001349330","HathiTrust Record")</f>
        <v/>
      </c>
      <c r="AS523">
        <f>HYPERLINK("https://creighton-primo.hosted.exlibrisgroup.com/primo-explore/search?tab=default_tab&amp;search_scope=EVERYTHING&amp;vid=01CRU&amp;lang=en_US&amp;offset=0&amp;query=any,contains,991002973339702656","Catalog Record")</f>
        <v/>
      </c>
      <c r="AT523">
        <f>HYPERLINK("http://www.worldcat.org/oclc/550586","WorldCat Record")</f>
        <v/>
      </c>
      <c r="AU523" t="inlineStr">
        <is>
          <t>155864461:eng</t>
        </is>
      </c>
      <c r="AV523" t="inlineStr">
        <is>
          <t>550586</t>
        </is>
      </c>
      <c r="AW523" t="inlineStr">
        <is>
          <t>991002973339702656</t>
        </is>
      </c>
      <c r="AX523" t="inlineStr">
        <is>
          <t>991002973339702656</t>
        </is>
      </c>
      <c r="AY523" t="inlineStr">
        <is>
          <t>2254879610002656</t>
        </is>
      </c>
      <c r="AZ523" t="inlineStr">
        <is>
          <t>BOOK</t>
        </is>
      </c>
      <c r="BC523" t="inlineStr">
        <is>
          <t>32285003018644</t>
        </is>
      </c>
      <c r="BD523" t="inlineStr">
        <is>
          <t>893239749</t>
        </is>
      </c>
    </row>
    <row r="524">
      <c r="A524" t="inlineStr">
        <is>
          <t>No</t>
        </is>
      </c>
      <c r="B524" t="inlineStr">
        <is>
          <t>HM263 .D6</t>
        </is>
      </c>
      <c r="C524" t="inlineStr">
        <is>
          <t>0                      HM 0263000D  6</t>
        </is>
      </c>
      <c r="D524" t="inlineStr">
        <is>
          <t>Propaganda : its psychology and technique / by Leonard W. Doob.</t>
        </is>
      </c>
      <c r="F524" t="inlineStr">
        <is>
          <t>No</t>
        </is>
      </c>
      <c r="G524" t="inlineStr">
        <is>
          <t>1</t>
        </is>
      </c>
      <c r="H524" t="inlineStr">
        <is>
          <t>No</t>
        </is>
      </c>
      <c r="I524" t="inlineStr">
        <is>
          <t>No</t>
        </is>
      </c>
      <c r="J524" t="inlineStr">
        <is>
          <t>0</t>
        </is>
      </c>
      <c r="K524" t="inlineStr">
        <is>
          <t>Doob, Leonard W. (Leonard William), 1909-2000.</t>
        </is>
      </c>
      <c r="L524" t="inlineStr">
        <is>
          <t>New York : H. Holt and company, [c1935]</t>
        </is>
      </c>
      <c r="M524" t="inlineStr">
        <is>
          <t>1935</t>
        </is>
      </c>
      <c r="O524" t="inlineStr">
        <is>
          <t>eng</t>
        </is>
      </c>
      <c r="P524" t="inlineStr">
        <is>
          <t>nyu</t>
        </is>
      </c>
      <c r="R524" t="inlineStr">
        <is>
          <t xml:space="preserve">HM </t>
        </is>
      </c>
      <c r="S524" t="n">
        <v>6</v>
      </c>
      <c r="T524" t="n">
        <v>6</v>
      </c>
      <c r="U524" t="inlineStr">
        <is>
          <t>2000-03-20</t>
        </is>
      </c>
      <c r="V524" t="inlineStr">
        <is>
          <t>2000-03-20</t>
        </is>
      </c>
      <c r="W524" t="inlineStr">
        <is>
          <t>1990-09-06</t>
        </is>
      </c>
      <c r="X524" t="inlineStr">
        <is>
          <t>1990-09-06</t>
        </is>
      </c>
      <c r="Y524" t="n">
        <v>546</v>
      </c>
      <c r="Z524" t="n">
        <v>488</v>
      </c>
      <c r="AA524" t="n">
        <v>493</v>
      </c>
      <c r="AB524" t="n">
        <v>5</v>
      </c>
      <c r="AC524" t="n">
        <v>5</v>
      </c>
      <c r="AD524" t="n">
        <v>20</v>
      </c>
      <c r="AE524" t="n">
        <v>20</v>
      </c>
      <c r="AF524" t="n">
        <v>7</v>
      </c>
      <c r="AG524" t="n">
        <v>7</v>
      </c>
      <c r="AH524" t="n">
        <v>3</v>
      </c>
      <c r="AI524" t="n">
        <v>3</v>
      </c>
      <c r="AJ524" t="n">
        <v>10</v>
      </c>
      <c r="AK524" t="n">
        <v>10</v>
      </c>
      <c r="AL524" t="n">
        <v>4</v>
      </c>
      <c r="AM524" t="n">
        <v>4</v>
      </c>
      <c r="AN524" t="n">
        <v>0</v>
      </c>
      <c r="AO524" t="n">
        <v>0</v>
      </c>
      <c r="AP524" t="inlineStr">
        <is>
          <t>No</t>
        </is>
      </c>
      <c r="AQ524" t="inlineStr">
        <is>
          <t>Yes</t>
        </is>
      </c>
      <c r="AR524">
        <f>HYPERLINK("http://catalog.hathitrust.org/Record/001109457","HathiTrust Record")</f>
        <v/>
      </c>
      <c r="AS524">
        <f>HYPERLINK("https://creighton-primo.hosted.exlibrisgroup.com/primo-explore/search?tab=default_tab&amp;search_scope=EVERYTHING&amp;vid=01CRU&amp;lang=en_US&amp;offset=0&amp;query=any,contains,991001990889702656","Catalog Record")</f>
        <v/>
      </c>
      <c r="AT524">
        <f>HYPERLINK("http://www.worldcat.org/oclc/255524","WorldCat Record")</f>
        <v/>
      </c>
      <c r="AU524" t="inlineStr">
        <is>
          <t>2756117084:eng</t>
        </is>
      </c>
      <c r="AV524" t="inlineStr">
        <is>
          <t>255524</t>
        </is>
      </c>
      <c r="AW524" t="inlineStr">
        <is>
          <t>991001990889702656</t>
        </is>
      </c>
      <c r="AX524" t="inlineStr">
        <is>
          <t>991001990889702656</t>
        </is>
      </c>
      <c r="AY524" t="inlineStr">
        <is>
          <t>2268859520002656</t>
        </is>
      </c>
      <c r="AZ524" t="inlineStr">
        <is>
          <t>BOOK</t>
        </is>
      </c>
      <c r="BC524" t="inlineStr">
        <is>
          <t>32285000300839</t>
        </is>
      </c>
      <c r="BD524" t="inlineStr">
        <is>
          <t>893322442</t>
        </is>
      </c>
    </row>
    <row r="525">
      <c r="A525" t="inlineStr">
        <is>
          <t>No</t>
        </is>
      </c>
      <c r="B525" t="inlineStr">
        <is>
          <t>HM263 .E33 1983</t>
        </is>
      </c>
      <c r="C525" t="inlineStr">
        <is>
          <t>0                      HM 0263000E  33          1983</t>
        </is>
      </c>
      <c r="D525" t="inlineStr">
        <is>
          <t>Public relations/publicity : a key link in communications / Lois B. Ehrenkranz, Gilbert R. Kahn.</t>
        </is>
      </c>
      <c r="F525" t="inlineStr">
        <is>
          <t>No</t>
        </is>
      </c>
      <c r="G525" t="inlineStr">
        <is>
          <t>1</t>
        </is>
      </c>
      <c r="H525" t="inlineStr">
        <is>
          <t>No</t>
        </is>
      </c>
      <c r="I525" t="inlineStr">
        <is>
          <t>No</t>
        </is>
      </c>
      <c r="J525" t="inlineStr">
        <is>
          <t>0</t>
        </is>
      </c>
      <c r="K525" t="inlineStr">
        <is>
          <t>Ehrenkranz, Lois B.</t>
        </is>
      </c>
      <c r="L525" t="inlineStr">
        <is>
          <t>New York : Fairchild Publications, c1983.</t>
        </is>
      </c>
      <c r="M525" t="inlineStr">
        <is>
          <t>1983</t>
        </is>
      </c>
      <c r="O525" t="inlineStr">
        <is>
          <t>eng</t>
        </is>
      </c>
      <c r="P525" t="inlineStr">
        <is>
          <t>nyu</t>
        </is>
      </c>
      <c r="R525" t="inlineStr">
        <is>
          <t xml:space="preserve">HM </t>
        </is>
      </c>
      <c r="S525" t="n">
        <v>9</v>
      </c>
      <c r="T525" t="n">
        <v>9</v>
      </c>
      <c r="U525" t="inlineStr">
        <is>
          <t>2007-12-03</t>
        </is>
      </c>
      <c r="V525" t="inlineStr">
        <is>
          <t>2007-12-03</t>
        </is>
      </c>
      <c r="W525" t="inlineStr">
        <is>
          <t>1990-04-26</t>
        </is>
      </c>
      <c r="X525" t="inlineStr">
        <is>
          <t>1990-04-26</t>
        </is>
      </c>
      <c r="Y525" t="n">
        <v>199</v>
      </c>
      <c r="Z525" t="n">
        <v>176</v>
      </c>
      <c r="AA525" t="n">
        <v>181</v>
      </c>
      <c r="AB525" t="n">
        <v>4</v>
      </c>
      <c r="AC525" t="n">
        <v>4</v>
      </c>
      <c r="AD525" t="n">
        <v>6</v>
      </c>
      <c r="AE525" t="n">
        <v>6</v>
      </c>
      <c r="AF525" t="n">
        <v>2</v>
      </c>
      <c r="AG525" t="n">
        <v>2</v>
      </c>
      <c r="AH525" t="n">
        <v>1</v>
      </c>
      <c r="AI525" t="n">
        <v>1</v>
      </c>
      <c r="AJ525" t="n">
        <v>1</v>
      </c>
      <c r="AK525" t="n">
        <v>1</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HYPERLINK("https://creighton-primo.hosted.exlibrisgroup.com/primo-explore/search?tab=default_tab&amp;search_scope=EVERYTHING&amp;vid=01CRU&amp;lang=en_US&amp;offset=0&amp;query=any,contains,991000249439702656","Catalog Record")</f>
        <v/>
      </c>
      <c r="AT525">
        <f>HYPERLINK("http://www.worldcat.org/oclc/9741038","WorldCat Record")</f>
        <v/>
      </c>
      <c r="AU525" t="inlineStr">
        <is>
          <t>1131078274:eng</t>
        </is>
      </c>
      <c r="AV525" t="inlineStr">
        <is>
          <t>9741038</t>
        </is>
      </c>
      <c r="AW525" t="inlineStr">
        <is>
          <t>991000249439702656</t>
        </is>
      </c>
      <c r="AX525" t="inlineStr">
        <is>
          <t>991000249439702656</t>
        </is>
      </c>
      <c r="AY525" t="inlineStr">
        <is>
          <t>2256543360002656</t>
        </is>
      </c>
      <c r="AZ525" t="inlineStr">
        <is>
          <t>BOOK</t>
        </is>
      </c>
      <c r="BB525" t="inlineStr">
        <is>
          <t>9780870054495</t>
        </is>
      </c>
      <c r="BC525" t="inlineStr">
        <is>
          <t>32285000134485</t>
        </is>
      </c>
      <c r="BD525" t="inlineStr">
        <is>
          <t>893896741</t>
        </is>
      </c>
    </row>
    <row r="526">
      <c r="A526" t="inlineStr">
        <is>
          <t>No</t>
        </is>
      </c>
      <c r="B526" t="inlineStr">
        <is>
          <t>HM263 .F84 1989</t>
        </is>
      </c>
      <c r="C526" t="inlineStr">
        <is>
          <t>0                      HM 0263000F  84          1989</t>
        </is>
      </c>
      <c r="D526" t="inlineStr">
        <is>
          <t>Publicity stunt! : great staged events that made the news / Candice Jacobson Fuhrman.</t>
        </is>
      </c>
      <c r="F526" t="inlineStr">
        <is>
          <t>No</t>
        </is>
      </c>
      <c r="G526" t="inlineStr">
        <is>
          <t>1</t>
        </is>
      </c>
      <c r="H526" t="inlineStr">
        <is>
          <t>No</t>
        </is>
      </c>
      <c r="I526" t="inlineStr">
        <is>
          <t>No</t>
        </is>
      </c>
      <c r="J526" t="inlineStr">
        <is>
          <t>0</t>
        </is>
      </c>
      <c r="K526" t="inlineStr">
        <is>
          <t>Fuhrman, Candice Jacobson.</t>
        </is>
      </c>
      <c r="L526" t="inlineStr">
        <is>
          <t>San Francisco : Chronicle Books, c1989.</t>
        </is>
      </c>
      <c r="M526" t="inlineStr">
        <is>
          <t>1989</t>
        </is>
      </c>
      <c r="O526" t="inlineStr">
        <is>
          <t>eng</t>
        </is>
      </c>
      <c r="P526" t="inlineStr">
        <is>
          <t>cau</t>
        </is>
      </c>
      <c r="R526" t="inlineStr">
        <is>
          <t xml:space="preserve">HM </t>
        </is>
      </c>
      <c r="S526" t="n">
        <v>7</v>
      </c>
      <c r="T526" t="n">
        <v>7</v>
      </c>
      <c r="U526" t="inlineStr">
        <is>
          <t>1993-02-13</t>
        </is>
      </c>
      <c r="V526" t="inlineStr">
        <is>
          <t>1993-02-13</t>
        </is>
      </c>
      <c r="W526" t="inlineStr">
        <is>
          <t>1990-08-15</t>
        </is>
      </c>
      <c r="X526" t="inlineStr">
        <is>
          <t>1990-08-15</t>
        </is>
      </c>
      <c r="Y526" t="n">
        <v>222</v>
      </c>
      <c r="Z526" t="n">
        <v>194</v>
      </c>
      <c r="AA526" t="n">
        <v>194</v>
      </c>
      <c r="AB526" t="n">
        <v>4</v>
      </c>
      <c r="AC526" t="n">
        <v>4</v>
      </c>
      <c r="AD526" t="n">
        <v>4</v>
      </c>
      <c r="AE526" t="n">
        <v>4</v>
      </c>
      <c r="AF526" t="n">
        <v>0</v>
      </c>
      <c r="AG526" t="n">
        <v>0</v>
      </c>
      <c r="AH526" t="n">
        <v>0</v>
      </c>
      <c r="AI526" t="n">
        <v>0</v>
      </c>
      <c r="AJ526" t="n">
        <v>3</v>
      </c>
      <c r="AK526" t="n">
        <v>3</v>
      </c>
      <c r="AL526" t="n">
        <v>1</v>
      </c>
      <c r="AM526" t="n">
        <v>1</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HYPERLINK("https://creighton-primo.hosted.exlibrisgroup.com/primo-explore/search?tab=default_tab&amp;search_scope=EVERYTHING&amp;vid=01CRU&amp;lang=en_US&amp;offset=0&amp;query=any,contains,991001499329702656","Catalog Record")</f>
        <v/>
      </c>
      <c r="AT526">
        <f>HYPERLINK("http://www.worldcat.org/oclc/19778956","WorldCat Record")</f>
        <v/>
      </c>
      <c r="AU526" t="inlineStr">
        <is>
          <t>21586491:eng</t>
        </is>
      </c>
      <c r="AV526" t="inlineStr">
        <is>
          <t>19778956</t>
        </is>
      </c>
      <c r="AW526" t="inlineStr">
        <is>
          <t>991001499329702656</t>
        </is>
      </c>
      <c r="AX526" t="inlineStr">
        <is>
          <t>991001499329702656</t>
        </is>
      </c>
      <c r="AY526" t="inlineStr">
        <is>
          <t>2264653940002656</t>
        </is>
      </c>
      <c r="AZ526" t="inlineStr">
        <is>
          <t>BOOK</t>
        </is>
      </c>
      <c r="BB526" t="inlineStr">
        <is>
          <t>9780877015093</t>
        </is>
      </c>
      <c r="BC526" t="inlineStr">
        <is>
          <t>32285000243856</t>
        </is>
      </c>
      <c r="BD526" t="inlineStr">
        <is>
          <t>893516237</t>
        </is>
      </c>
    </row>
    <row r="527">
      <c r="A527" t="inlineStr">
        <is>
          <t>No</t>
        </is>
      </c>
      <c r="B527" t="inlineStr">
        <is>
          <t>HM263 .H2413 1972</t>
        </is>
      </c>
      <c r="C527" t="inlineStr">
        <is>
          <t>0                      HM 0263000H  2413        1972</t>
        </is>
      </c>
      <c r="D527" t="inlineStr">
        <is>
          <t>Propaganda and national power.</t>
        </is>
      </c>
      <c r="F527" t="inlineStr">
        <is>
          <t>No</t>
        </is>
      </c>
      <c r="G527" t="inlineStr">
        <is>
          <t>1</t>
        </is>
      </c>
      <c r="H527" t="inlineStr">
        <is>
          <t>No</t>
        </is>
      </c>
      <c r="I527" t="inlineStr">
        <is>
          <t>No</t>
        </is>
      </c>
      <c r="J527" t="inlineStr">
        <is>
          <t>0</t>
        </is>
      </c>
      <c r="K527" t="inlineStr">
        <is>
          <t>Hadamovsky, Eugen, 1904-</t>
        </is>
      </c>
      <c r="L527" t="inlineStr">
        <is>
          <t>New York : Arno Press, 1972.</t>
        </is>
      </c>
      <c r="M527" t="inlineStr">
        <is>
          <t>1972</t>
        </is>
      </c>
      <c r="O527" t="inlineStr">
        <is>
          <t>eng</t>
        </is>
      </c>
      <c r="P527" t="inlineStr">
        <is>
          <t>nyu</t>
        </is>
      </c>
      <c r="Q527" t="inlineStr">
        <is>
          <t>International propaganda and communications</t>
        </is>
      </c>
      <c r="R527" t="inlineStr">
        <is>
          <t xml:space="preserve">HM </t>
        </is>
      </c>
      <c r="S527" t="n">
        <v>3</v>
      </c>
      <c r="T527" t="n">
        <v>3</v>
      </c>
      <c r="U527" t="inlineStr">
        <is>
          <t>2003-02-24</t>
        </is>
      </c>
      <c r="V527" t="inlineStr">
        <is>
          <t>2003-02-24</t>
        </is>
      </c>
      <c r="W527" t="inlineStr">
        <is>
          <t>1994-03-29</t>
        </is>
      </c>
      <c r="X527" t="inlineStr">
        <is>
          <t>1994-03-29</t>
        </is>
      </c>
      <c r="Y527" t="n">
        <v>247</v>
      </c>
      <c r="Z527" t="n">
        <v>218</v>
      </c>
      <c r="AA527" t="n">
        <v>224</v>
      </c>
      <c r="AB527" t="n">
        <v>5</v>
      </c>
      <c r="AC527" t="n">
        <v>5</v>
      </c>
      <c r="AD527" t="n">
        <v>15</v>
      </c>
      <c r="AE527" t="n">
        <v>15</v>
      </c>
      <c r="AF527" t="n">
        <v>4</v>
      </c>
      <c r="AG527" t="n">
        <v>4</v>
      </c>
      <c r="AH527" t="n">
        <v>6</v>
      </c>
      <c r="AI527" t="n">
        <v>6</v>
      </c>
      <c r="AJ527" t="n">
        <v>5</v>
      </c>
      <c r="AK527" t="n">
        <v>5</v>
      </c>
      <c r="AL527" t="n">
        <v>4</v>
      </c>
      <c r="AM527" t="n">
        <v>4</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HYPERLINK("https://creighton-primo.hosted.exlibrisgroup.com/primo-explore/search?tab=default_tab&amp;search_scope=EVERYTHING&amp;vid=01CRU&amp;lang=en_US&amp;offset=0&amp;query=any,contains,991002655379702656","Catalog Record")</f>
        <v/>
      </c>
      <c r="AT527">
        <f>HYPERLINK("http://www.worldcat.org/oclc/388570","WorldCat Record")</f>
        <v/>
      </c>
      <c r="AU527" t="inlineStr">
        <is>
          <t>1517485:eng</t>
        </is>
      </c>
      <c r="AV527" t="inlineStr">
        <is>
          <t>388570</t>
        </is>
      </c>
      <c r="AW527" t="inlineStr">
        <is>
          <t>991002655379702656</t>
        </is>
      </c>
      <c r="AX527" t="inlineStr">
        <is>
          <t>991002655379702656</t>
        </is>
      </c>
      <c r="AY527" t="inlineStr">
        <is>
          <t>2254824130002656</t>
        </is>
      </c>
      <c r="AZ527" t="inlineStr">
        <is>
          <t>BOOK</t>
        </is>
      </c>
      <c r="BB527" t="inlineStr">
        <is>
          <t>9780405047480</t>
        </is>
      </c>
      <c r="BC527" t="inlineStr">
        <is>
          <t>32285001872687</t>
        </is>
      </c>
      <c r="BD527" t="inlineStr">
        <is>
          <t>893530288</t>
        </is>
      </c>
    </row>
    <row r="528">
      <c r="A528" t="inlineStr">
        <is>
          <t>No</t>
        </is>
      </c>
      <c r="B528" t="inlineStr">
        <is>
          <t>HM263 .H437 1988</t>
        </is>
      </c>
      <c r="C528" t="inlineStr">
        <is>
          <t>0                      HM 0263000H  437         1988</t>
        </is>
      </c>
      <c r="D528" t="inlineStr">
        <is>
          <t>Public relations cases / Jerry A. Hendrix.</t>
        </is>
      </c>
      <c r="F528" t="inlineStr">
        <is>
          <t>No</t>
        </is>
      </c>
      <c r="G528" t="inlineStr">
        <is>
          <t>1</t>
        </is>
      </c>
      <c r="H528" t="inlineStr">
        <is>
          <t>No</t>
        </is>
      </c>
      <c r="I528" t="inlineStr">
        <is>
          <t>No</t>
        </is>
      </c>
      <c r="J528" t="inlineStr">
        <is>
          <t>0</t>
        </is>
      </c>
      <c r="K528" t="inlineStr">
        <is>
          <t>Hendrix, Jerry A.</t>
        </is>
      </c>
      <c r="L528" t="inlineStr">
        <is>
          <t>Belmont, Calif. : Wadsworth Pub. Co., c1988.</t>
        </is>
      </c>
      <c r="M528" t="inlineStr">
        <is>
          <t>1988</t>
        </is>
      </c>
      <c r="O528" t="inlineStr">
        <is>
          <t>eng</t>
        </is>
      </c>
      <c r="P528" t="inlineStr">
        <is>
          <t>cau</t>
        </is>
      </c>
      <c r="R528" t="inlineStr">
        <is>
          <t xml:space="preserve">HM </t>
        </is>
      </c>
      <c r="S528" t="n">
        <v>8</v>
      </c>
      <c r="T528" t="n">
        <v>8</v>
      </c>
      <c r="U528" t="inlineStr">
        <is>
          <t>1994-02-09</t>
        </is>
      </c>
      <c r="V528" t="inlineStr">
        <is>
          <t>1994-02-09</t>
        </is>
      </c>
      <c r="W528" t="inlineStr">
        <is>
          <t>1992-09-08</t>
        </is>
      </c>
      <c r="X528" t="inlineStr">
        <is>
          <t>1992-09-08</t>
        </is>
      </c>
      <c r="Y528" t="n">
        <v>161</v>
      </c>
      <c r="Z528" t="n">
        <v>126</v>
      </c>
      <c r="AA528" t="n">
        <v>425</v>
      </c>
      <c r="AB528" t="n">
        <v>2</v>
      </c>
      <c r="AC528" t="n">
        <v>3</v>
      </c>
      <c r="AD528" t="n">
        <v>6</v>
      </c>
      <c r="AE528" t="n">
        <v>21</v>
      </c>
      <c r="AF528" t="n">
        <v>5</v>
      </c>
      <c r="AG528" t="n">
        <v>12</v>
      </c>
      <c r="AH528" t="n">
        <v>1</v>
      </c>
      <c r="AI528" t="n">
        <v>4</v>
      </c>
      <c r="AJ528" t="n">
        <v>0</v>
      </c>
      <c r="AK528" t="n">
        <v>8</v>
      </c>
      <c r="AL528" t="n">
        <v>1</v>
      </c>
      <c r="AM528" t="n">
        <v>2</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HYPERLINK("https://creighton-primo.hosted.exlibrisgroup.com/primo-explore/search?tab=default_tab&amp;search_scope=EVERYTHING&amp;vid=01CRU&amp;lang=en_US&amp;offset=0&amp;query=any,contains,991001102309702656","Catalog Record")</f>
        <v/>
      </c>
      <c r="AT528">
        <f>HYPERLINK("http://www.worldcat.org/oclc/16354875","WorldCat Record")</f>
        <v/>
      </c>
      <c r="AU528" t="inlineStr">
        <is>
          <t>3749144694:eng</t>
        </is>
      </c>
      <c r="AV528" t="inlineStr">
        <is>
          <t>16354875</t>
        </is>
      </c>
      <c r="AW528" t="inlineStr">
        <is>
          <t>991001102309702656</t>
        </is>
      </c>
      <c r="AX528" t="inlineStr">
        <is>
          <t>991001102309702656</t>
        </is>
      </c>
      <c r="AY528" t="inlineStr">
        <is>
          <t>2254887520002656</t>
        </is>
      </c>
      <c r="AZ528" t="inlineStr">
        <is>
          <t>BOOK</t>
        </is>
      </c>
      <c r="BB528" t="inlineStr">
        <is>
          <t>9780534086473</t>
        </is>
      </c>
      <c r="BC528" t="inlineStr">
        <is>
          <t>32285001268142</t>
        </is>
      </c>
      <c r="BD528" t="inlineStr">
        <is>
          <t>893865961</t>
        </is>
      </c>
    </row>
    <row r="529">
      <c r="A529" t="inlineStr">
        <is>
          <t>No</t>
        </is>
      </c>
      <c r="B529" t="inlineStr">
        <is>
          <t>HM263 .J69 1999</t>
        </is>
      </c>
      <c r="C529" t="inlineStr">
        <is>
          <t>0                      HM 0263000J  69          1999</t>
        </is>
      </c>
      <c r="D529" t="inlineStr">
        <is>
          <t>Propaganda and persuasion / Gareth S. Jowett, Victoria O'Donnell.</t>
        </is>
      </c>
      <c r="F529" t="inlineStr">
        <is>
          <t>No</t>
        </is>
      </c>
      <c r="G529" t="inlineStr">
        <is>
          <t>1</t>
        </is>
      </c>
      <c r="H529" t="inlineStr">
        <is>
          <t>No</t>
        </is>
      </c>
      <c r="I529" t="inlineStr">
        <is>
          <t>Yes</t>
        </is>
      </c>
      <c r="J529" t="inlineStr">
        <is>
          <t>0</t>
        </is>
      </c>
      <c r="K529" t="inlineStr">
        <is>
          <t>Jowett, Garth.</t>
        </is>
      </c>
      <c r="L529" t="inlineStr">
        <is>
          <t>Thousand Oaks : Sage Publications, c1999.</t>
        </is>
      </c>
      <c r="M529" t="inlineStr">
        <is>
          <t>1999</t>
        </is>
      </c>
      <c r="N529" t="inlineStr">
        <is>
          <t>3rd ed.</t>
        </is>
      </c>
      <c r="O529" t="inlineStr">
        <is>
          <t>eng</t>
        </is>
      </c>
      <c r="P529" t="inlineStr">
        <is>
          <t>cau</t>
        </is>
      </c>
      <c r="R529" t="inlineStr">
        <is>
          <t xml:space="preserve">HM </t>
        </is>
      </c>
      <c r="S529" t="n">
        <v>8</v>
      </c>
      <c r="T529" t="n">
        <v>8</v>
      </c>
      <c r="U529" t="inlineStr">
        <is>
          <t>2010-12-07</t>
        </is>
      </c>
      <c r="V529" t="inlineStr">
        <is>
          <t>2010-12-07</t>
        </is>
      </c>
      <c r="W529" t="inlineStr">
        <is>
          <t>2000-09-12</t>
        </is>
      </c>
      <c r="X529" t="inlineStr">
        <is>
          <t>2000-09-12</t>
        </is>
      </c>
      <c r="Y529" t="n">
        <v>467</v>
      </c>
      <c r="Z529" t="n">
        <v>349</v>
      </c>
      <c r="AA529" t="n">
        <v>927</v>
      </c>
      <c r="AB529" t="n">
        <v>4</v>
      </c>
      <c r="AC529" t="n">
        <v>10</v>
      </c>
      <c r="AD529" t="n">
        <v>23</v>
      </c>
      <c r="AE529" t="n">
        <v>52</v>
      </c>
      <c r="AF529" t="n">
        <v>9</v>
      </c>
      <c r="AG529" t="n">
        <v>24</v>
      </c>
      <c r="AH529" t="n">
        <v>7</v>
      </c>
      <c r="AI529" t="n">
        <v>9</v>
      </c>
      <c r="AJ529" t="n">
        <v>10</v>
      </c>
      <c r="AK529" t="n">
        <v>21</v>
      </c>
      <c r="AL529" t="n">
        <v>3</v>
      </c>
      <c r="AM529" t="n">
        <v>9</v>
      </c>
      <c r="AN529" t="n">
        <v>1</v>
      </c>
      <c r="AO529" t="n">
        <v>1</v>
      </c>
      <c r="AP529" t="inlineStr">
        <is>
          <t>No</t>
        </is>
      </c>
      <c r="AQ529" t="inlineStr">
        <is>
          <t>No</t>
        </is>
      </c>
      <c r="AS529">
        <f>HYPERLINK("https://creighton-primo.hosted.exlibrisgroup.com/primo-explore/search?tab=default_tab&amp;search_scope=EVERYTHING&amp;vid=01CRU&amp;lang=en_US&amp;offset=0&amp;query=any,contains,991003244659702656","Catalog Record")</f>
        <v/>
      </c>
      <c r="AT529">
        <f>HYPERLINK("http://www.worldcat.org/oclc/40595582","WorldCat Record")</f>
        <v/>
      </c>
      <c r="AU529" t="inlineStr">
        <is>
          <t>5386889:eng</t>
        </is>
      </c>
      <c r="AV529" t="inlineStr">
        <is>
          <t>40595582</t>
        </is>
      </c>
      <c r="AW529" t="inlineStr">
        <is>
          <t>991003244659702656</t>
        </is>
      </c>
      <c r="AX529" t="inlineStr">
        <is>
          <t>991003244659702656</t>
        </is>
      </c>
      <c r="AY529" t="inlineStr">
        <is>
          <t>2262202170002656</t>
        </is>
      </c>
      <c r="AZ529" t="inlineStr">
        <is>
          <t>BOOK</t>
        </is>
      </c>
      <c r="BB529" t="inlineStr">
        <is>
          <t>9780761911463</t>
        </is>
      </c>
      <c r="BC529" t="inlineStr">
        <is>
          <t>32285003761326</t>
        </is>
      </c>
      <c r="BD529" t="inlineStr">
        <is>
          <t>893530997</t>
        </is>
      </c>
    </row>
    <row r="530">
      <c r="A530" t="inlineStr">
        <is>
          <t>No</t>
        </is>
      </c>
      <c r="B530" t="inlineStr">
        <is>
          <t>HM263 .L46 1991</t>
        </is>
      </c>
      <c r="C530" t="inlineStr">
        <is>
          <t>0                      HM 0263000L  46          1991</t>
        </is>
      </c>
      <c r="D530" t="inlineStr">
        <is>
          <t>Lesly's handbook of public relations and communications / Philip Lesly, editor.</t>
        </is>
      </c>
      <c r="F530" t="inlineStr">
        <is>
          <t>No</t>
        </is>
      </c>
      <c r="G530" t="inlineStr">
        <is>
          <t>1</t>
        </is>
      </c>
      <c r="H530" t="inlineStr">
        <is>
          <t>No</t>
        </is>
      </c>
      <c r="I530" t="inlineStr">
        <is>
          <t>No</t>
        </is>
      </c>
      <c r="J530" t="inlineStr">
        <is>
          <t>0</t>
        </is>
      </c>
      <c r="L530" t="inlineStr">
        <is>
          <t>New York, NY : AMACOM, c1991.</t>
        </is>
      </c>
      <c r="M530" t="inlineStr">
        <is>
          <t>1991</t>
        </is>
      </c>
      <c r="N530" t="inlineStr">
        <is>
          <t>4th ed.</t>
        </is>
      </c>
      <c r="O530" t="inlineStr">
        <is>
          <t>eng</t>
        </is>
      </c>
      <c r="P530" t="inlineStr">
        <is>
          <t>nyu</t>
        </is>
      </c>
      <c r="R530" t="inlineStr">
        <is>
          <t xml:space="preserve">HM </t>
        </is>
      </c>
      <c r="S530" t="n">
        <v>11</v>
      </c>
      <c r="T530" t="n">
        <v>11</v>
      </c>
      <c r="U530" t="inlineStr">
        <is>
          <t>1999-04-16</t>
        </is>
      </c>
      <c r="V530" t="inlineStr">
        <is>
          <t>1999-04-16</t>
        </is>
      </c>
      <c r="W530" t="inlineStr">
        <is>
          <t>1991-04-30</t>
        </is>
      </c>
      <c r="X530" t="inlineStr">
        <is>
          <t>1991-04-30</t>
        </is>
      </c>
      <c r="Y530" t="n">
        <v>187</v>
      </c>
      <c r="Z530" t="n">
        <v>165</v>
      </c>
      <c r="AA530" t="n">
        <v>540</v>
      </c>
      <c r="AB530" t="n">
        <v>1</v>
      </c>
      <c r="AC530" t="n">
        <v>4</v>
      </c>
      <c r="AD530" t="n">
        <v>7</v>
      </c>
      <c r="AE530" t="n">
        <v>25</v>
      </c>
      <c r="AF530" t="n">
        <v>3</v>
      </c>
      <c r="AG530" t="n">
        <v>10</v>
      </c>
      <c r="AH530" t="n">
        <v>3</v>
      </c>
      <c r="AI530" t="n">
        <v>6</v>
      </c>
      <c r="AJ530" t="n">
        <v>3</v>
      </c>
      <c r="AK530" t="n">
        <v>13</v>
      </c>
      <c r="AL530" t="n">
        <v>0</v>
      </c>
      <c r="AM530" t="n">
        <v>3</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HYPERLINK("https://creighton-primo.hosted.exlibrisgroup.com/primo-explore/search?tab=default_tab&amp;search_scope=EVERYTHING&amp;vid=01CRU&amp;lang=en_US&amp;offset=0&amp;query=any,contains,991001759009702656","Catalog Record")</f>
        <v/>
      </c>
      <c r="AT530">
        <f>HYPERLINK("http://www.worldcat.org/oclc/22242550","WorldCat Record")</f>
        <v/>
      </c>
      <c r="AU530" t="inlineStr">
        <is>
          <t>3901272286:eng</t>
        </is>
      </c>
      <c r="AV530" t="inlineStr">
        <is>
          <t>22242550</t>
        </is>
      </c>
      <c r="AW530" t="inlineStr">
        <is>
          <t>991001759009702656</t>
        </is>
      </c>
      <c r="AX530" t="inlineStr">
        <is>
          <t>991001759009702656</t>
        </is>
      </c>
      <c r="AY530" t="inlineStr">
        <is>
          <t>2272142300002656</t>
        </is>
      </c>
      <c r="AZ530" t="inlineStr">
        <is>
          <t>BOOK</t>
        </is>
      </c>
      <c r="BB530" t="inlineStr">
        <is>
          <t>9780814401088</t>
        </is>
      </c>
      <c r="BC530" t="inlineStr">
        <is>
          <t>32285000538420</t>
        </is>
      </c>
      <c r="BD530" t="inlineStr">
        <is>
          <t>893244380</t>
        </is>
      </c>
    </row>
    <row r="531">
      <c r="A531" t="inlineStr">
        <is>
          <t>No</t>
        </is>
      </c>
      <c r="B531" t="inlineStr">
        <is>
          <t>HM263 .M34 1997</t>
        </is>
      </c>
      <c r="C531" t="inlineStr">
        <is>
          <t>0                      HM 0263000M  34          1997</t>
        </is>
      </c>
      <c r="D531" t="inlineStr">
        <is>
          <t>Managing systematic and ethical public relations campaigns / Mark P. McElreath.</t>
        </is>
      </c>
      <c r="F531" t="inlineStr">
        <is>
          <t>No</t>
        </is>
      </c>
      <c r="G531" t="inlineStr">
        <is>
          <t>1</t>
        </is>
      </c>
      <c r="H531" t="inlineStr">
        <is>
          <t>No</t>
        </is>
      </c>
      <c r="I531" t="inlineStr">
        <is>
          <t>No</t>
        </is>
      </c>
      <c r="J531" t="inlineStr">
        <is>
          <t>0</t>
        </is>
      </c>
      <c r="K531" t="inlineStr">
        <is>
          <t>McElreath, Mark P.</t>
        </is>
      </c>
      <c r="L531" t="inlineStr">
        <is>
          <t>Madison : Brown &amp; Benchmark Publishers, c1997.</t>
        </is>
      </c>
      <c r="M531" t="inlineStr">
        <is>
          <t>1997</t>
        </is>
      </c>
      <c r="O531" t="inlineStr">
        <is>
          <t>eng</t>
        </is>
      </c>
      <c r="P531" t="inlineStr">
        <is>
          <t>wiu</t>
        </is>
      </c>
      <c r="R531" t="inlineStr">
        <is>
          <t xml:space="preserve">HM </t>
        </is>
      </c>
      <c r="S531" t="n">
        <v>5</v>
      </c>
      <c r="T531" t="n">
        <v>5</v>
      </c>
      <c r="U531" t="inlineStr">
        <is>
          <t>2006-04-10</t>
        </is>
      </c>
      <c r="V531" t="inlineStr">
        <is>
          <t>2006-04-10</t>
        </is>
      </c>
      <c r="W531" t="inlineStr">
        <is>
          <t>1997-12-11</t>
        </is>
      </c>
      <c r="X531" t="inlineStr">
        <is>
          <t>1997-12-11</t>
        </is>
      </c>
      <c r="Y531" t="n">
        <v>84</v>
      </c>
      <c r="Z531" t="n">
        <v>44</v>
      </c>
      <c r="AA531" t="n">
        <v>100</v>
      </c>
      <c r="AB531" t="n">
        <v>1</v>
      </c>
      <c r="AC531" t="n">
        <v>1</v>
      </c>
      <c r="AD531" t="n">
        <v>1</v>
      </c>
      <c r="AE531" t="n">
        <v>4</v>
      </c>
      <c r="AF531" t="n">
        <v>0</v>
      </c>
      <c r="AG531" t="n">
        <v>2</v>
      </c>
      <c r="AH531" t="n">
        <v>0</v>
      </c>
      <c r="AI531" t="n">
        <v>0</v>
      </c>
      <c r="AJ531" t="n">
        <v>1</v>
      </c>
      <c r="AK531" t="n">
        <v>2</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HYPERLINK("https://creighton-primo.hosted.exlibrisgroup.com/primo-explore/search?tab=default_tab&amp;search_scope=EVERYTHING&amp;vid=01CRU&amp;lang=en_US&amp;offset=0&amp;query=any,contains,991002744619702656","Catalog Record")</f>
        <v/>
      </c>
      <c r="AT531">
        <f>HYPERLINK("http://www.worldcat.org/oclc/36017350","WorldCat Record")</f>
        <v/>
      </c>
      <c r="AU531" t="inlineStr">
        <is>
          <t>40793373:eng</t>
        </is>
      </c>
      <c r="AV531" t="inlineStr">
        <is>
          <t>36017350</t>
        </is>
      </c>
      <c r="AW531" t="inlineStr">
        <is>
          <t>991002744619702656</t>
        </is>
      </c>
      <c r="AX531" t="inlineStr">
        <is>
          <t>991002744619702656</t>
        </is>
      </c>
      <c r="AY531" t="inlineStr">
        <is>
          <t>2262305230002656</t>
        </is>
      </c>
      <c r="AZ531" t="inlineStr">
        <is>
          <t>BOOK</t>
        </is>
      </c>
      <c r="BB531" t="inlineStr">
        <is>
          <t>9780697288820</t>
        </is>
      </c>
      <c r="BC531" t="inlineStr">
        <is>
          <t>32285003282927</t>
        </is>
      </c>
      <c r="BD531" t="inlineStr">
        <is>
          <t>893792852</t>
        </is>
      </c>
    </row>
    <row r="532">
      <c r="A532" t="inlineStr">
        <is>
          <t>No</t>
        </is>
      </c>
      <c r="B532" t="inlineStr">
        <is>
          <t>HM263 .M625</t>
        </is>
      </c>
      <c r="C532" t="inlineStr">
        <is>
          <t>0                      HM 0263000M  625</t>
        </is>
      </c>
      <c r="D532" t="inlineStr">
        <is>
          <t>Public relations careers: in business and the community, by Patrick Monaghan.</t>
        </is>
      </c>
      <c r="F532" t="inlineStr">
        <is>
          <t>No</t>
        </is>
      </c>
      <c r="G532" t="inlineStr">
        <is>
          <t>1</t>
        </is>
      </c>
      <c r="H532" t="inlineStr">
        <is>
          <t>No</t>
        </is>
      </c>
      <c r="I532" t="inlineStr">
        <is>
          <t>No</t>
        </is>
      </c>
      <c r="J532" t="inlineStr">
        <is>
          <t>0</t>
        </is>
      </c>
      <c r="K532" t="inlineStr">
        <is>
          <t>Monaghan, Patrick C.</t>
        </is>
      </c>
      <c r="L532" t="inlineStr">
        <is>
          <t>New York, Fairchild Publications [1972]</t>
        </is>
      </c>
      <c r="M532" t="inlineStr">
        <is>
          <t>1972</t>
        </is>
      </c>
      <c r="O532" t="inlineStr">
        <is>
          <t>eng</t>
        </is>
      </c>
      <c r="P532" t="inlineStr">
        <is>
          <t>nyu</t>
        </is>
      </c>
      <c r="R532" t="inlineStr">
        <is>
          <t xml:space="preserve">HM </t>
        </is>
      </c>
      <c r="S532" t="n">
        <v>3</v>
      </c>
      <c r="T532" t="n">
        <v>3</v>
      </c>
      <c r="U532" t="inlineStr">
        <is>
          <t>2003-12-02</t>
        </is>
      </c>
      <c r="V532" t="inlineStr">
        <is>
          <t>2003-12-02</t>
        </is>
      </c>
      <c r="W532" t="inlineStr">
        <is>
          <t>1997-08-01</t>
        </is>
      </c>
      <c r="X532" t="inlineStr">
        <is>
          <t>1997-08-01</t>
        </is>
      </c>
      <c r="Y532" t="n">
        <v>161</v>
      </c>
      <c r="Z532" t="n">
        <v>152</v>
      </c>
      <c r="AA532" t="n">
        <v>158</v>
      </c>
      <c r="AB532" t="n">
        <v>2</v>
      </c>
      <c r="AC532" t="n">
        <v>2</v>
      </c>
      <c r="AD532" t="n">
        <v>6</v>
      </c>
      <c r="AE532" t="n">
        <v>6</v>
      </c>
      <c r="AF532" t="n">
        <v>2</v>
      </c>
      <c r="AG532" t="n">
        <v>2</v>
      </c>
      <c r="AH532" t="n">
        <v>1</v>
      </c>
      <c r="AI532" t="n">
        <v>1</v>
      </c>
      <c r="AJ532" t="n">
        <v>4</v>
      </c>
      <c r="AK532" t="n">
        <v>4</v>
      </c>
      <c r="AL532" t="n">
        <v>1</v>
      </c>
      <c r="AM532" t="n">
        <v>1</v>
      </c>
      <c r="AN532" t="n">
        <v>0</v>
      </c>
      <c r="AO532" t="n">
        <v>0</v>
      </c>
      <c r="AP532" t="inlineStr">
        <is>
          <t>No</t>
        </is>
      </c>
      <c r="AQ532" t="inlineStr">
        <is>
          <t>Yes</t>
        </is>
      </c>
      <c r="AR532">
        <f>HYPERLINK("http://catalog.hathitrust.org/Record/102071427","HathiTrust Record")</f>
        <v/>
      </c>
      <c r="AS532">
        <f>HYPERLINK("https://creighton-primo.hosted.exlibrisgroup.com/primo-explore/search?tab=default_tab&amp;search_scope=EVERYTHING&amp;vid=01CRU&amp;lang=en_US&amp;offset=0&amp;query=any,contains,991002592069702656","Catalog Record")</f>
        <v/>
      </c>
      <c r="AT532">
        <f>HYPERLINK("http://www.worldcat.org/oclc/376058","WorldCat Record")</f>
        <v/>
      </c>
      <c r="AU532" t="inlineStr">
        <is>
          <t>1467559:eng</t>
        </is>
      </c>
      <c r="AV532" t="inlineStr">
        <is>
          <t>376058</t>
        </is>
      </c>
      <c r="AW532" t="inlineStr">
        <is>
          <t>991002592069702656</t>
        </is>
      </c>
      <c r="AX532" t="inlineStr">
        <is>
          <t>991002592069702656</t>
        </is>
      </c>
      <c r="AY532" t="inlineStr">
        <is>
          <t>2263511040002656</t>
        </is>
      </c>
      <c r="AZ532" t="inlineStr">
        <is>
          <t>BOOK</t>
        </is>
      </c>
      <c r="BB532" t="inlineStr">
        <is>
          <t>9780870050862</t>
        </is>
      </c>
      <c r="BC532" t="inlineStr">
        <is>
          <t>32285003018834</t>
        </is>
      </c>
      <c r="BD532" t="inlineStr">
        <is>
          <t>893317009</t>
        </is>
      </c>
    </row>
    <row r="533">
      <c r="A533" t="inlineStr">
        <is>
          <t>No</t>
        </is>
      </c>
      <c r="B533" t="inlineStr">
        <is>
          <t>HM263 .M636 1985</t>
        </is>
      </c>
      <c r="C533" t="inlineStr">
        <is>
          <t>0                      HM 0263000M  636         1985</t>
        </is>
      </c>
      <c r="D533" t="inlineStr">
        <is>
          <t>Public relations, principles, cases, and problems / H. Frazier Moore, Frank B. Kalupa.</t>
        </is>
      </c>
      <c r="F533" t="inlineStr">
        <is>
          <t>No</t>
        </is>
      </c>
      <c r="G533" t="inlineStr">
        <is>
          <t>1</t>
        </is>
      </c>
      <c r="H533" t="inlineStr">
        <is>
          <t>No</t>
        </is>
      </c>
      <c r="I533" t="inlineStr">
        <is>
          <t>No</t>
        </is>
      </c>
      <c r="J533" t="inlineStr">
        <is>
          <t>0</t>
        </is>
      </c>
      <c r="K533" t="inlineStr">
        <is>
          <t>Moore, H. Frazier.</t>
        </is>
      </c>
      <c r="L533" t="inlineStr">
        <is>
          <t>Homewood, Ill. : R.D. Irwin, 1985.</t>
        </is>
      </c>
      <c r="M533" t="inlineStr">
        <is>
          <t>1985</t>
        </is>
      </c>
      <c r="N533" t="inlineStr">
        <is>
          <t>9th ed.</t>
        </is>
      </c>
      <c r="O533" t="inlineStr">
        <is>
          <t>eng</t>
        </is>
      </c>
      <c r="P533" t="inlineStr">
        <is>
          <t>ilu</t>
        </is>
      </c>
      <c r="R533" t="inlineStr">
        <is>
          <t xml:space="preserve">HM </t>
        </is>
      </c>
      <c r="S533" t="n">
        <v>3</v>
      </c>
      <c r="T533" t="n">
        <v>3</v>
      </c>
      <c r="U533" t="inlineStr">
        <is>
          <t>1992-09-14</t>
        </is>
      </c>
      <c r="V533" t="inlineStr">
        <is>
          <t>1992-09-14</t>
        </is>
      </c>
      <c r="W533" t="inlineStr">
        <is>
          <t>1992-02-27</t>
        </is>
      </c>
      <c r="X533" t="inlineStr">
        <is>
          <t>1992-02-27</t>
        </is>
      </c>
      <c r="Y533" t="n">
        <v>190</v>
      </c>
      <c r="Z533" t="n">
        <v>141</v>
      </c>
      <c r="AA533" t="n">
        <v>671</v>
      </c>
      <c r="AB533" t="n">
        <v>1</v>
      </c>
      <c r="AC533" t="n">
        <v>7</v>
      </c>
      <c r="AD533" t="n">
        <v>4</v>
      </c>
      <c r="AE533" t="n">
        <v>33</v>
      </c>
      <c r="AF533" t="n">
        <v>2</v>
      </c>
      <c r="AG533" t="n">
        <v>14</v>
      </c>
      <c r="AH533" t="n">
        <v>1</v>
      </c>
      <c r="AI533" t="n">
        <v>6</v>
      </c>
      <c r="AJ533" t="n">
        <v>1</v>
      </c>
      <c r="AK533" t="n">
        <v>11</v>
      </c>
      <c r="AL533" t="n">
        <v>0</v>
      </c>
      <c r="AM533" t="n">
        <v>6</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HYPERLINK("https://creighton-primo.hosted.exlibrisgroup.com/primo-explore/search?tab=default_tab&amp;search_scope=EVERYTHING&amp;vid=01CRU&amp;lang=en_US&amp;offset=0&amp;query=any,contains,991000719659702656","Catalog Record")</f>
        <v/>
      </c>
      <c r="AT533">
        <f>HYPERLINK("http://www.worldcat.org/oclc/12664409","WorldCat Record")</f>
        <v/>
      </c>
      <c r="AU533" t="inlineStr">
        <is>
          <t>2168345:eng</t>
        </is>
      </c>
      <c r="AV533" t="inlineStr">
        <is>
          <t>12664409</t>
        </is>
      </c>
      <c r="AW533" t="inlineStr">
        <is>
          <t>991000719659702656</t>
        </is>
      </c>
      <c r="AX533" t="inlineStr">
        <is>
          <t>991000719659702656</t>
        </is>
      </c>
      <c r="AY533" t="inlineStr">
        <is>
          <t>2264939850002656</t>
        </is>
      </c>
      <c r="AZ533" t="inlineStr">
        <is>
          <t>BOOK</t>
        </is>
      </c>
      <c r="BB533" t="inlineStr">
        <is>
          <t>9780256031850</t>
        </is>
      </c>
      <c r="BC533" t="inlineStr">
        <is>
          <t>32285000978923</t>
        </is>
      </c>
      <c r="BD533" t="inlineStr">
        <is>
          <t>893243512</t>
        </is>
      </c>
    </row>
    <row r="534">
      <c r="A534" t="inlineStr">
        <is>
          <t>No</t>
        </is>
      </c>
      <c r="B534" t="inlineStr">
        <is>
          <t>HM263 .N49</t>
        </is>
      </c>
      <c r="C534" t="inlineStr">
        <is>
          <t>0                      HM 0263000N  49</t>
        </is>
      </c>
      <c r="D534" t="inlineStr">
        <is>
          <t>This is PR : the realities of public relations / Doug Newsom, Alan Scott.</t>
        </is>
      </c>
      <c r="F534" t="inlineStr">
        <is>
          <t>No</t>
        </is>
      </c>
      <c r="G534" t="inlineStr">
        <is>
          <t>1</t>
        </is>
      </c>
      <c r="H534" t="inlineStr">
        <is>
          <t>No</t>
        </is>
      </c>
      <c r="I534" t="inlineStr">
        <is>
          <t>No</t>
        </is>
      </c>
      <c r="J534" t="inlineStr">
        <is>
          <t>0</t>
        </is>
      </c>
      <c r="K534" t="inlineStr">
        <is>
          <t>Newsom, Doug.</t>
        </is>
      </c>
      <c r="L534" t="inlineStr">
        <is>
          <t>Belmont, Calif. : Wadsworth Pub. Co., c1976.</t>
        </is>
      </c>
      <c r="M534" t="inlineStr">
        <is>
          <t>1976</t>
        </is>
      </c>
      <c r="O534" t="inlineStr">
        <is>
          <t>eng</t>
        </is>
      </c>
      <c r="P534" t="inlineStr">
        <is>
          <t>cau</t>
        </is>
      </c>
      <c r="R534" t="inlineStr">
        <is>
          <t xml:space="preserve">HM </t>
        </is>
      </c>
      <c r="S534" t="n">
        <v>9</v>
      </c>
      <c r="T534" t="n">
        <v>9</v>
      </c>
      <c r="U534" t="inlineStr">
        <is>
          <t>2006-04-10</t>
        </is>
      </c>
      <c r="V534" t="inlineStr">
        <is>
          <t>2006-04-10</t>
        </is>
      </c>
      <c r="W534" t="inlineStr">
        <is>
          <t>1990-09-06</t>
        </is>
      </c>
      <c r="X534" t="inlineStr">
        <is>
          <t>1990-09-06</t>
        </is>
      </c>
      <c r="Y534" t="n">
        <v>342</v>
      </c>
      <c r="Z534" t="n">
        <v>315</v>
      </c>
      <c r="AA534" t="n">
        <v>763</v>
      </c>
      <c r="AB534" t="n">
        <v>5</v>
      </c>
      <c r="AC534" t="n">
        <v>8</v>
      </c>
      <c r="AD534" t="n">
        <v>17</v>
      </c>
      <c r="AE534" t="n">
        <v>34</v>
      </c>
      <c r="AF534" t="n">
        <v>6</v>
      </c>
      <c r="AG534" t="n">
        <v>16</v>
      </c>
      <c r="AH534" t="n">
        <v>5</v>
      </c>
      <c r="AI534" t="n">
        <v>5</v>
      </c>
      <c r="AJ534" t="n">
        <v>9</v>
      </c>
      <c r="AK534" t="n">
        <v>16</v>
      </c>
      <c r="AL534" t="n">
        <v>4</v>
      </c>
      <c r="AM534" t="n">
        <v>7</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HYPERLINK("https://creighton-primo.hosted.exlibrisgroup.com/primo-explore/search?tab=default_tab&amp;search_scope=EVERYTHING&amp;vid=01CRU&amp;lang=en_US&amp;offset=0&amp;query=any,contains,991004091459702656","Catalog Record")</f>
        <v/>
      </c>
      <c r="AT534">
        <f>HYPERLINK("http://www.worldcat.org/oclc/2345822","WorldCat Record")</f>
        <v/>
      </c>
      <c r="AU534" t="inlineStr">
        <is>
          <t>4922723229:eng</t>
        </is>
      </c>
      <c r="AV534" t="inlineStr">
        <is>
          <t>2345822</t>
        </is>
      </c>
      <c r="AW534" t="inlineStr">
        <is>
          <t>991004091459702656</t>
        </is>
      </c>
      <c r="AX534" t="inlineStr">
        <is>
          <t>991004091459702656</t>
        </is>
      </c>
      <c r="AY534" t="inlineStr">
        <is>
          <t>2262015980002656</t>
        </is>
      </c>
      <c r="AZ534" t="inlineStr">
        <is>
          <t>BOOK</t>
        </is>
      </c>
      <c r="BB534" t="inlineStr">
        <is>
          <t>9780534004217</t>
        </is>
      </c>
      <c r="BC534" t="inlineStr">
        <is>
          <t>32285000300813</t>
        </is>
      </c>
      <c r="BD534" t="inlineStr">
        <is>
          <t>893699831</t>
        </is>
      </c>
    </row>
    <row r="535">
      <c r="A535" t="inlineStr">
        <is>
          <t>No</t>
        </is>
      </c>
      <c r="B535" t="inlineStr">
        <is>
          <t>HM263 .N64 1979</t>
        </is>
      </c>
      <c r="C535" t="inlineStr">
        <is>
          <t>0                      HM 0263000N  64          1979</t>
        </is>
      </c>
      <c r="D535" t="inlineStr">
        <is>
          <t>Fundamentals of public relations : professional guidelines, concepts, and integrations / Lawrence W. Nolte ; Dennis L. Wilcox, consulting editor.</t>
        </is>
      </c>
      <c r="F535" t="inlineStr">
        <is>
          <t>No</t>
        </is>
      </c>
      <c r="G535" t="inlineStr">
        <is>
          <t>1</t>
        </is>
      </c>
      <c r="H535" t="inlineStr">
        <is>
          <t>No</t>
        </is>
      </c>
      <c r="I535" t="inlineStr">
        <is>
          <t>No</t>
        </is>
      </c>
      <c r="J535" t="inlineStr">
        <is>
          <t>0</t>
        </is>
      </c>
      <c r="K535" t="inlineStr">
        <is>
          <t>Nolte, Lawrence W.</t>
        </is>
      </c>
      <c r="L535" t="inlineStr">
        <is>
          <t>New York : Pergamon Press, c1979.</t>
        </is>
      </c>
      <c r="M535" t="inlineStr">
        <is>
          <t>1979</t>
        </is>
      </c>
      <c r="N535" t="inlineStr">
        <is>
          <t>2d ed.</t>
        </is>
      </c>
      <c r="O535" t="inlineStr">
        <is>
          <t>eng</t>
        </is>
      </c>
      <c r="P535" t="inlineStr">
        <is>
          <t>nyu</t>
        </is>
      </c>
      <c r="R535" t="inlineStr">
        <is>
          <t xml:space="preserve">HM </t>
        </is>
      </c>
      <c r="S535" t="n">
        <v>4</v>
      </c>
      <c r="T535" t="n">
        <v>4</v>
      </c>
      <c r="U535" t="inlineStr">
        <is>
          <t>1997-04-17</t>
        </is>
      </c>
      <c r="V535" t="inlineStr">
        <is>
          <t>1997-04-17</t>
        </is>
      </c>
      <c r="W535" t="inlineStr">
        <is>
          <t>1992-09-08</t>
        </is>
      </c>
      <c r="X535" t="inlineStr">
        <is>
          <t>1992-09-08</t>
        </is>
      </c>
      <c r="Y535" t="n">
        <v>253</v>
      </c>
      <c r="Z535" t="n">
        <v>196</v>
      </c>
      <c r="AA535" t="n">
        <v>368</v>
      </c>
      <c r="AB535" t="n">
        <v>3</v>
      </c>
      <c r="AC535" t="n">
        <v>5</v>
      </c>
      <c r="AD535" t="n">
        <v>7</v>
      </c>
      <c r="AE535" t="n">
        <v>12</v>
      </c>
      <c r="AF535" t="n">
        <v>1</v>
      </c>
      <c r="AG535" t="n">
        <v>3</v>
      </c>
      <c r="AH535" t="n">
        <v>1</v>
      </c>
      <c r="AI535" t="n">
        <v>1</v>
      </c>
      <c r="AJ535" t="n">
        <v>3</v>
      </c>
      <c r="AK535" t="n">
        <v>5</v>
      </c>
      <c r="AL535" t="n">
        <v>2</v>
      </c>
      <c r="AM535" t="n">
        <v>4</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HYPERLINK("https://creighton-primo.hosted.exlibrisgroup.com/primo-explore/search?tab=default_tab&amp;search_scope=EVERYTHING&amp;vid=01CRU&amp;lang=en_US&amp;offset=0&amp;query=any,contains,991004759509702656","Catalog Record")</f>
        <v/>
      </c>
      <c r="AT535">
        <f>HYPERLINK("http://www.worldcat.org/oclc/4985602","WorldCat Record")</f>
        <v/>
      </c>
      <c r="AU535" t="inlineStr">
        <is>
          <t>867234882:eng</t>
        </is>
      </c>
      <c r="AV535" t="inlineStr">
        <is>
          <t>4985602</t>
        </is>
      </c>
      <c r="AW535" t="inlineStr">
        <is>
          <t>991004759509702656</t>
        </is>
      </c>
      <c r="AX535" t="inlineStr">
        <is>
          <t>991004759509702656</t>
        </is>
      </c>
      <c r="AY535" t="inlineStr">
        <is>
          <t>2266717990002656</t>
        </is>
      </c>
      <c r="AZ535" t="inlineStr">
        <is>
          <t>BOOK</t>
        </is>
      </c>
      <c r="BB535" t="inlineStr">
        <is>
          <t>9780080224701</t>
        </is>
      </c>
      <c r="BC535" t="inlineStr">
        <is>
          <t>32285001268217</t>
        </is>
      </c>
      <c r="BD535" t="inlineStr">
        <is>
          <t>893612744</t>
        </is>
      </c>
    </row>
    <row r="536">
      <c r="A536" t="inlineStr">
        <is>
          <t>No</t>
        </is>
      </c>
      <c r="B536" t="inlineStr">
        <is>
          <t>HM263 .N68 1984</t>
        </is>
      </c>
      <c r="C536" t="inlineStr">
        <is>
          <t>0                      HM 0263000N  68          1984</t>
        </is>
      </c>
      <c r="D536" t="inlineStr">
        <is>
          <t>Public relations / James S. Norris.</t>
        </is>
      </c>
      <c r="F536" t="inlineStr">
        <is>
          <t>No</t>
        </is>
      </c>
      <c r="G536" t="inlineStr">
        <is>
          <t>1</t>
        </is>
      </c>
      <c r="H536" t="inlineStr">
        <is>
          <t>No</t>
        </is>
      </c>
      <c r="I536" t="inlineStr">
        <is>
          <t>No</t>
        </is>
      </c>
      <c r="J536" t="inlineStr">
        <is>
          <t>0</t>
        </is>
      </c>
      <c r="K536" t="inlineStr">
        <is>
          <t>Norris, James S., 1915-</t>
        </is>
      </c>
      <c r="L536" t="inlineStr">
        <is>
          <t>Englewood Cliffs, N.J. : Prentice-Hall, c1984.</t>
        </is>
      </c>
      <c r="M536" t="inlineStr">
        <is>
          <t>1984</t>
        </is>
      </c>
      <c r="O536" t="inlineStr">
        <is>
          <t>eng</t>
        </is>
      </c>
      <c r="P536" t="inlineStr">
        <is>
          <t>nju</t>
        </is>
      </c>
      <c r="R536" t="inlineStr">
        <is>
          <t xml:space="preserve">HM </t>
        </is>
      </c>
      <c r="S536" t="n">
        <v>13</v>
      </c>
      <c r="T536" t="n">
        <v>13</v>
      </c>
      <c r="U536" t="inlineStr">
        <is>
          <t>2001-04-17</t>
        </is>
      </c>
      <c r="V536" t="inlineStr">
        <is>
          <t>2001-04-17</t>
        </is>
      </c>
      <c r="W536" t="inlineStr">
        <is>
          <t>1993-04-05</t>
        </is>
      </c>
      <c r="X536" t="inlineStr">
        <is>
          <t>1993-04-05</t>
        </is>
      </c>
      <c r="Y536" t="n">
        <v>149</v>
      </c>
      <c r="Z536" t="n">
        <v>94</v>
      </c>
      <c r="AA536" t="n">
        <v>94</v>
      </c>
      <c r="AB536" t="n">
        <v>1</v>
      </c>
      <c r="AC536" t="n">
        <v>1</v>
      </c>
      <c r="AD536" t="n">
        <v>1</v>
      </c>
      <c r="AE536" t="n">
        <v>1</v>
      </c>
      <c r="AF536" t="n">
        <v>1</v>
      </c>
      <c r="AG536" t="n">
        <v>1</v>
      </c>
      <c r="AH536" t="n">
        <v>0</v>
      </c>
      <c r="AI536" t="n">
        <v>0</v>
      </c>
      <c r="AJ536" t="n">
        <v>0</v>
      </c>
      <c r="AK536" t="n">
        <v>0</v>
      </c>
      <c r="AL536" t="n">
        <v>0</v>
      </c>
      <c r="AM536" t="n">
        <v>0</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HYPERLINK("https://creighton-primo.hosted.exlibrisgroup.com/primo-explore/search?tab=default_tab&amp;search_scope=EVERYTHING&amp;vid=01CRU&amp;lang=en_US&amp;offset=0&amp;query=any,contains,991000266189702656","Catalog Record")</f>
        <v/>
      </c>
      <c r="AT536">
        <f>HYPERLINK("http://www.worldcat.org/oclc/9830184","WorldCat Record")</f>
        <v/>
      </c>
      <c r="AU536" t="inlineStr">
        <is>
          <t>43301723:eng</t>
        </is>
      </c>
      <c r="AV536" t="inlineStr">
        <is>
          <t>9830184</t>
        </is>
      </c>
      <c r="AW536" t="inlineStr">
        <is>
          <t>991000266189702656</t>
        </is>
      </c>
      <c r="AX536" t="inlineStr">
        <is>
          <t>991000266189702656</t>
        </is>
      </c>
      <c r="AY536" t="inlineStr">
        <is>
          <t>2255149020002656</t>
        </is>
      </c>
      <c r="AZ536" t="inlineStr">
        <is>
          <t>BOOK</t>
        </is>
      </c>
      <c r="BB536" t="inlineStr">
        <is>
          <t>9780137384013</t>
        </is>
      </c>
      <c r="BC536" t="inlineStr">
        <is>
          <t>32285001499564</t>
        </is>
      </c>
      <c r="BD536" t="inlineStr">
        <is>
          <t>893333345</t>
        </is>
      </c>
    </row>
    <row r="537">
      <c r="A537" t="inlineStr">
        <is>
          <t>No</t>
        </is>
      </c>
      <c r="B537" t="inlineStr">
        <is>
          <t>HM263 .P73 1985</t>
        </is>
      </c>
      <c r="C537" t="inlineStr">
        <is>
          <t>0                      HM 0263000P  73          1985</t>
        </is>
      </c>
      <c r="D537" t="inlineStr">
        <is>
          <t>The Practice of public relations / edited by Wilfred Howard.</t>
        </is>
      </c>
      <c r="F537" t="inlineStr">
        <is>
          <t>No</t>
        </is>
      </c>
      <c r="G537" t="inlineStr">
        <is>
          <t>1</t>
        </is>
      </c>
      <c r="H537" t="inlineStr">
        <is>
          <t>No</t>
        </is>
      </c>
      <c r="I537" t="inlineStr">
        <is>
          <t>No</t>
        </is>
      </c>
      <c r="J537" t="inlineStr">
        <is>
          <t>0</t>
        </is>
      </c>
      <c r="L537" t="inlineStr">
        <is>
          <t>London : Heinemann on behalf of CAM Foundation and Institute of Marketing, 1985.</t>
        </is>
      </c>
      <c r="M537" t="inlineStr">
        <is>
          <t>1985</t>
        </is>
      </c>
      <c r="N537" t="inlineStr">
        <is>
          <t>2nd ed.</t>
        </is>
      </c>
      <c r="O537" t="inlineStr">
        <is>
          <t>eng</t>
        </is>
      </c>
      <c r="P537" t="inlineStr">
        <is>
          <t>enk</t>
        </is>
      </c>
      <c r="R537" t="inlineStr">
        <is>
          <t xml:space="preserve">HM </t>
        </is>
      </c>
      <c r="S537" t="n">
        <v>5</v>
      </c>
      <c r="T537" t="n">
        <v>5</v>
      </c>
      <c r="U537" t="inlineStr">
        <is>
          <t>2000-10-19</t>
        </is>
      </c>
      <c r="V537" t="inlineStr">
        <is>
          <t>2000-10-19</t>
        </is>
      </c>
      <c r="W537" t="inlineStr">
        <is>
          <t>1992-09-08</t>
        </is>
      </c>
      <c r="X537" t="inlineStr">
        <is>
          <t>1992-09-08</t>
        </is>
      </c>
      <c r="Y537" t="n">
        <v>56</v>
      </c>
      <c r="Z537" t="n">
        <v>9</v>
      </c>
      <c r="AA537" t="n">
        <v>67</v>
      </c>
      <c r="AB537" t="n">
        <v>2</v>
      </c>
      <c r="AC537" t="n">
        <v>3</v>
      </c>
      <c r="AD537" t="n">
        <v>1</v>
      </c>
      <c r="AE537" t="n">
        <v>3</v>
      </c>
      <c r="AF537" t="n">
        <v>0</v>
      </c>
      <c r="AG537" t="n">
        <v>1</v>
      </c>
      <c r="AH537" t="n">
        <v>0</v>
      </c>
      <c r="AI537" t="n">
        <v>1</v>
      </c>
      <c r="AJ537" t="n">
        <v>0</v>
      </c>
      <c r="AK537" t="n">
        <v>0</v>
      </c>
      <c r="AL537" t="n">
        <v>1</v>
      </c>
      <c r="AM537" t="n">
        <v>2</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HYPERLINK("https://creighton-primo.hosted.exlibrisgroup.com/primo-explore/search?tab=default_tab&amp;search_scope=EVERYTHING&amp;vid=01CRU&amp;lang=en_US&amp;offset=0&amp;query=any,contains,991000623199702656","Catalog Record")</f>
        <v/>
      </c>
      <c r="AT537">
        <f>HYPERLINK("http://www.worldcat.org/oclc/11976044","WorldCat Record")</f>
        <v/>
      </c>
      <c r="AU537" t="inlineStr">
        <is>
          <t>906499361:eng</t>
        </is>
      </c>
      <c r="AV537" t="inlineStr">
        <is>
          <t>11976044</t>
        </is>
      </c>
      <c r="AW537" t="inlineStr">
        <is>
          <t>991000623199702656</t>
        </is>
      </c>
      <c r="AX537" t="inlineStr">
        <is>
          <t>991000623199702656</t>
        </is>
      </c>
      <c r="AY537" t="inlineStr">
        <is>
          <t>2258228810002656</t>
        </is>
      </c>
      <c r="AZ537" t="inlineStr">
        <is>
          <t>BOOK</t>
        </is>
      </c>
      <c r="BB537" t="inlineStr">
        <is>
          <t>9780434907854</t>
        </is>
      </c>
      <c r="BC537" t="inlineStr">
        <is>
          <t>32285001268258</t>
        </is>
      </c>
      <c r="BD537" t="inlineStr">
        <is>
          <t>893515444</t>
        </is>
      </c>
    </row>
    <row r="538">
      <c r="A538" t="inlineStr">
        <is>
          <t>No</t>
        </is>
      </c>
      <c r="B538" t="inlineStr">
        <is>
          <t>HM263 .P763435 1998</t>
        </is>
      </c>
      <c r="C538" t="inlineStr">
        <is>
          <t>0                      HM 0263000P  763435      1998</t>
        </is>
      </c>
      <c r="D538" t="inlineStr">
        <is>
          <t>Propaganda in the 20th century : contributions to its history / edited by Jürgen Wilke.</t>
        </is>
      </c>
      <c r="F538" t="inlineStr">
        <is>
          <t>No</t>
        </is>
      </c>
      <c r="G538" t="inlineStr">
        <is>
          <t>1</t>
        </is>
      </c>
      <c r="H538" t="inlineStr">
        <is>
          <t>No</t>
        </is>
      </c>
      <c r="I538" t="inlineStr">
        <is>
          <t>No</t>
        </is>
      </c>
      <c r="J538" t="inlineStr">
        <is>
          <t>0</t>
        </is>
      </c>
      <c r="L538" t="inlineStr">
        <is>
          <t>Cresskill, N.J. : Hampton Press, c1998.</t>
        </is>
      </c>
      <c r="M538" t="inlineStr">
        <is>
          <t>1998</t>
        </is>
      </c>
      <c r="O538" t="inlineStr">
        <is>
          <t>eng</t>
        </is>
      </c>
      <c r="P538" t="inlineStr">
        <is>
          <t>nju</t>
        </is>
      </c>
      <c r="Q538" t="inlineStr">
        <is>
          <t>International Association for Media and Communication Research</t>
        </is>
      </c>
      <c r="R538" t="inlineStr">
        <is>
          <t xml:space="preserve">HM </t>
        </is>
      </c>
      <c r="S538" t="n">
        <v>5</v>
      </c>
      <c r="T538" t="n">
        <v>5</v>
      </c>
      <c r="U538" t="inlineStr">
        <is>
          <t>2007-12-09</t>
        </is>
      </c>
      <c r="V538" t="inlineStr">
        <is>
          <t>2007-12-09</t>
        </is>
      </c>
      <c r="W538" t="inlineStr">
        <is>
          <t>2001-05-23</t>
        </is>
      </c>
      <c r="X538" t="inlineStr">
        <is>
          <t>2001-05-23</t>
        </is>
      </c>
      <c r="Y538" t="n">
        <v>216</v>
      </c>
      <c r="Z538" t="n">
        <v>164</v>
      </c>
      <c r="AA538" t="n">
        <v>166</v>
      </c>
      <c r="AB538" t="n">
        <v>3</v>
      </c>
      <c r="AC538" t="n">
        <v>3</v>
      </c>
      <c r="AD538" t="n">
        <v>13</v>
      </c>
      <c r="AE538" t="n">
        <v>13</v>
      </c>
      <c r="AF538" t="n">
        <v>3</v>
      </c>
      <c r="AG538" t="n">
        <v>3</v>
      </c>
      <c r="AH538" t="n">
        <v>2</v>
      </c>
      <c r="AI538" t="n">
        <v>2</v>
      </c>
      <c r="AJ538" t="n">
        <v>9</v>
      </c>
      <c r="AK538" t="n">
        <v>9</v>
      </c>
      <c r="AL538" t="n">
        <v>2</v>
      </c>
      <c r="AM538" t="n">
        <v>2</v>
      </c>
      <c r="AN538" t="n">
        <v>0</v>
      </c>
      <c r="AO538" t="n">
        <v>0</v>
      </c>
      <c r="AP538" t="inlineStr">
        <is>
          <t>No</t>
        </is>
      </c>
      <c r="AQ538" t="inlineStr">
        <is>
          <t>Yes</t>
        </is>
      </c>
      <c r="AR538">
        <f>HYPERLINK("http://catalog.hathitrust.org/Record/003982514","HathiTrust Record")</f>
        <v/>
      </c>
      <c r="AS538">
        <f>HYPERLINK("https://creighton-primo.hosted.exlibrisgroup.com/primo-explore/search?tab=default_tab&amp;search_scope=EVERYTHING&amp;vid=01CRU&amp;lang=en_US&amp;offset=0&amp;query=any,contains,991003505329702656","Catalog Record")</f>
        <v/>
      </c>
      <c r="AT538">
        <f>HYPERLINK("http://www.worldcat.org/oclc/38356518","WorldCat Record")</f>
        <v/>
      </c>
      <c r="AU538" t="inlineStr">
        <is>
          <t>41445429:eng</t>
        </is>
      </c>
      <c r="AV538" t="inlineStr">
        <is>
          <t>38356518</t>
        </is>
      </c>
      <c r="AW538" t="inlineStr">
        <is>
          <t>991003505329702656</t>
        </is>
      </c>
      <c r="AX538" t="inlineStr">
        <is>
          <t>991003505329702656</t>
        </is>
      </c>
      <c r="AY538" t="inlineStr">
        <is>
          <t>2269595080002656</t>
        </is>
      </c>
      <c r="AZ538" t="inlineStr">
        <is>
          <t>BOOK</t>
        </is>
      </c>
      <c r="BB538" t="inlineStr">
        <is>
          <t>9781572731202</t>
        </is>
      </c>
      <c r="BC538" t="inlineStr">
        <is>
          <t>32285004318530</t>
        </is>
      </c>
      <c r="BD538" t="inlineStr">
        <is>
          <t>893524876</t>
        </is>
      </c>
    </row>
    <row r="539">
      <c r="A539" t="inlineStr">
        <is>
          <t>No</t>
        </is>
      </c>
      <c r="B539" t="inlineStr">
        <is>
          <t>HM263 .R27</t>
        </is>
      </c>
      <c r="C539" t="inlineStr">
        <is>
          <t>0                      HM 0263000R  27</t>
        </is>
      </c>
      <c r="D539" t="inlineStr">
        <is>
          <t>Language and public policy / Hugh Rank, editor.</t>
        </is>
      </c>
      <c r="F539" t="inlineStr">
        <is>
          <t>No</t>
        </is>
      </c>
      <c r="G539" t="inlineStr">
        <is>
          <t>1</t>
        </is>
      </c>
      <c r="H539" t="inlineStr">
        <is>
          <t>No</t>
        </is>
      </c>
      <c r="I539" t="inlineStr">
        <is>
          <t>No</t>
        </is>
      </c>
      <c r="J539" t="inlineStr">
        <is>
          <t>0</t>
        </is>
      </c>
      <c r="K539" t="inlineStr">
        <is>
          <t>Rank, Hugh, compiler.</t>
        </is>
      </c>
      <c r="L539" t="inlineStr">
        <is>
          <t>Urbana, Ill. : National Council of Teachers of English, [1974]</t>
        </is>
      </c>
      <c r="M539" t="inlineStr">
        <is>
          <t>1974</t>
        </is>
      </c>
      <c r="O539" t="inlineStr">
        <is>
          <t>eng</t>
        </is>
      </c>
      <c r="P539" t="inlineStr">
        <is>
          <t>ilu</t>
        </is>
      </c>
      <c r="R539" t="inlineStr">
        <is>
          <t xml:space="preserve">HM </t>
        </is>
      </c>
      <c r="S539" t="n">
        <v>4</v>
      </c>
      <c r="T539" t="n">
        <v>4</v>
      </c>
      <c r="U539" t="inlineStr">
        <is>
          <t>2000-03-26</t>
        </is>
      </c>
      <c r="V539" t="inlineStr">
        <is>
          <t>2000-03-26</t>
        </is>
      </c>
      <c r="W539" t="inlineStr">
        <is>
          <t>1997-08-01</t>
        </is>
      </c>
      <c r="X539" t="inlineStr">
        <is>
          <t>1997-08-01</t>
        </is>
      </c>
      <c r="Y539" t="n">
        <v>493</v>
      </c>
      <c r="Z539" t="n">
        <v>447</v>
      </c>
      <c r="AA539" t="n">
        <v>450</v>
      </c>
      <c r="AB539" t="n">
        <v>3</v>
      </c>
      <c r="AC539" t="n">
        <v>3</v>
      </c>
      <c r="AD539" t="n">
        <v>16</v>
      </c>
      <c r="AE539" t="n">
        <v>16</v>
      </c>
      <c r="AF539" t="n">
        <v>6</v>
      </c>
      <c r="AG539" t="n">
        <v>6</v>
      </c>
      <c r="AH539" t="n">
        <v>3</v>
      </c>
      <c r="AI539" t="n">
        <v>3</v>
      </c>
      <c r="AJ539" t="n">
        <v>8</v>
      </c>
      <c r="AK539" t="n">
        <v>8</v>
      </c>
      <c r="AL539" t="n">
        <v>2</v>
      </c>
      <c r="AM539" t="n">
        <v>2</v>
      </c>
      <c r="AN539" t="n">
        <v>1</v>
      </c>
      <c r="AO539" t="n">
        <v>1</v>
      </c>
      <c r="AP539" t="inlineStr">
        <is>
          <t>No</t>
        </is>
      </c>
      <c r="AQ539" t="inlineStr">
        <is>
          <t>Yes</t>
        </is>
      </c>
      <c r="AR539">
        <f>HYPERLINK("http://catalog.hathitrust.org/Record/000036950","HathiTrust Record")</f>
        <v/>
      </c>
      <c r="AS539">
        <f>HYPERLINK("https://creighton-primo.hosted.exlibrisgroup.com/primo-explore/search?tab=default_tab&amp;search_scope=EVERYTHING&amp;vid=01CRU&amp;lang=en_US&amp;offset=0&amp;query=any,contains,991003566179702656","Catalog Record")</f>
        <v/>
      </c>
      <c r="AT539">
        <f>HYPERLINK("http://www.worldcat.org/oclc/1138810","WorldCat Record")</f>
        <v/>
      </c>
      <c r="AU539" t="inlineStr">
        <is>
          <t>2058814:eng</t>
        </is>
      </c>
      <c r="AV539" t="inlineStr">
        <is>
          <t>1138810</t>
        </is>
      </c>
      <c r="AW539" t="inlineStr">
        <is>
          <t>991003566179702656</t>
        </is>
      </c>
      <c r="AX539" t="inlineStr">
        <is>
          <t>991003566179702656</t>
        </is>
      </c>
      <c r="AY539" t="inlineStr">
        <is>
          <t>2270533220002656</t>
        </is>
      </c>
      <c r="AZ539" t="inlineStr">
        <is>
          <t>BOOK</t>
        </is>
      </c>
      <c r="BC539" t="inlineStr">
        <is>
          <t>32285003018883</t>
        </is>
      </c>
      <c r="BD539" t="inlineStr">
        <is>
          <t>893524958</t>
        </is>
      </c>
    </row>
    <row r="540">
      <c r="A540" t="inlineStr">
        <is>
          <t>No</t>
        </is>
      </c>
      <c r="B540" t="inlineStr">
        <is>
          <t>HM263 .R365 1987</t>
        </is>
      </c>
      <c r="C540" t="inlineStr">
        <is>
          <t>0                      HM 0263000R  365         1987</t>
        </is>
      </c>
      <c r="D540" t="inlineStr">
        <is>
          <t>High visibility / Irving J. Rein, Philip Kotler, Martin R. Stoller.</t>
        </is>
      </c>
      <c r="F540" t="inlineStr">
        <is>
          <t>No</t>
        </is>
      </c>
      <c r="G540" t="inlineStr">
        <is>
          <t>1</t>
        </is>
      </c>
      <c r="H540" t="inlineStr">
        <is>
          <t>No</t>
        </is>
      </c>
      <c r="I540" t="inlineStr">
        <is>
          <t>No</t>
        </is>
      </c>
      <c r="J540" t="inlineStr">
        <is>
          <t>0</t>
        </is>
      </c>
      <c r="K540" t="inlineStr">
        <is>
          <t>Rein, Irving J.</t>
        </is>
      </c>
      <c r="L540" t="inlineStr">
        <is>
          <t>New York : Dodd, Mead, c1987.</t>
        </is>
      </c>
      <c r="M540" t="inlineStr">
        <is>
          <t>1987</t>
        </is>
      </c>
      <c r="N540" t="inlineStr">
        <is>
          <t>1st ed.</t>
        </is>
      </c>
      <c r="O540" t="inlineStr">
        <is>
          <t>eng</t>
        </is>
      </c>
      <c r="P540" t="inlineStr">
        <is>
          <t>nyu</t>
        </is>
      </c>
      <c r="R540" t="inlineStr">
        <is>
          <t xml:space="preserve">HM </t>
        </is>
      </c>
      <c r="S540" t="n">
        <v>2</v>
      </c>
      <c r="T540" t="n">
        <v>2</v>
      </c>
      <c r="U540" t="inlineStr">
        <is>
          <t>2000-11-14</t>
        </is>
      </c>
      <c r="V540" t="inlineStr">
        <is>
          <t>2000-11-14</t>
        </is>
      </c>
      <c r="W540" t="inlineStr">
        <is>
          <t>1992-04-20</t>
        </is>
      </c>
      <c r="X540" t="inlineStr">
        <is>
          <t>1992-04-20</t>
        </is>
      </c>
      <c r="Y540" t="n">
        <v>300</v>
      </c>
      <c r="Z540" t="n">
        <v>263</v>
      </c>
      <c r="AA540" t="n">
        <v>275</v>
      </c>
      <c r="AB540" t="n">
        <v>2</v>
      </c>
      <c r="AC540" t="n">
        <v>2</v>
      </c>
      <c r="AD540" t="n">
        <v>7</v>
      </c>
      <c r="AE540" t="n">
        <v>7</v>
      </c>
      <c r="AF540" t="n">
        <v>3</v>
      </c>
      <c r="AG540" t="n">
        <v>3</v>
      </c>
      <c r="AH540" t="n">
        <v>1</v>
      </c>
      <c r="AI540" t="n">
        <v>1</v>
      </c>
      <c r="AJ540" t="n">
        <v>4</v>
      </c>
      <c r="AK540" t="n">
        <v>4</v>
      </c>
      <c r="AL540" t="n">
        <v>1</v>
      </c>
      <c r="AM540" t="n">
        <v>1</v>
      </c>
      <c r="AN540" t="n">
        <v>0</v>
      </c>
      <c r="AO540" t="n">
        <v>0</v>
      </c>
      <c r="AP540" t="inlineStr">
        <is>
          <t>No</t>
        </is>
      </c>
      <c r="AQ540" t="inlineStr">
        <is>
          <t>Yes</t>
        </is>
      </c>
      <c r="AR540">
        <f>HYPERLINK("http://catalog.hathitrust.org/Record/000820109","HathiTrust Record")</f>
        <v/>
      </c>
      <c r="AS540">
        <f>HYPERLINK("https://creighton-primo.hosted.exlibrisgroup.com/primo-explore/search?tab=default_tab&amp;search_scope=EVERYTHING&amp;vid=01CRU&amp;lang=en_US&amp;offset=0&amp;query=any,contains,991000995419702656","Catalog Record")</f>
        <v/>
      </c>
      <c r="AT540">
        <f>HYPERLINK("http://www.worldcat.org/oclc/15133094","WorldCat Record")</f>
        <v/>
      </c>
      <c r="AU540" t="inlineStr">
        <is>
          <t>793980451:eng</t>
        </is>
      </c>
      <c r="AV540" t="inlineStr">
        <is>
          <t>15133094</t>
        </is>
      </c>
      <c r="AW540" t="inlineStr">
        <is>
          <t>991000995419702656</t>
        </is>
      </c>
      <c r="AX540" t="inlineStr">
        <is>
          <t>991000995419702656</t>
        </is>
      </c>
      <c r="AY540" t="inlineStr">
        <is>
          <t>2261940650002656</t>
        </is>
      </c>
      <c r="AZ540" t="inlineStr">
        <is>
          <t>BOOK</t>
        </is>
      </c>
      <c r="BB540" t="inlineStr">
        <is>
          <t>9780396088318</t>
        </is>
      </c>
      <c r="BC540" t="inlineStr">
        <is>
          <t>32285001063287</t>
        </is>
      </c>
      <c r="BD540" t="inlineStr">
        <is>
          <t>893791068</t>
        </is>
      </c>
    </row>
    <row r="541">
      <c r="A541" t="inlineStr">
        <is>
          <t>No</t>
        </is>
      </c>
      <c r="B541" t="inlineStr">
        <is>
          <t>HM263 .R597</t>
        </is>
      </c>
      <c r="C541" t="inlineStr">
        <is>
          <t>0                      HM 0263000R  597</t>
        </is>
      </c>
      <c r="D541" t="inlineStr">
        <is>
          <t>The management of public relations : analysis and planning external relations / Robert D. Ross.</t>
        </is>
      </c>
      <c r="F541" t="inlineStr">
        <is>
          <t>No</t>
        </is>
      </c>
      <c r="G541" t="inlineStr">
        <is>
          <t>1</t>
        </is>
      </c>
      <c r="H541" t="inlineStr">
        <is>
          <t>No</t>
        </is>
      </c>
      <c r="I541" t="inlineStr">
        <is>
          <t>No</t>
        </is>
      </c>
      <c r="J541" t="inlineStr">
        <is>
          <t>0</t>
        </is>
      </c>
      <c r="K541" t="inlineStr">
        <is>
          <t>Ross, Robert D. (Robert Davis), 1908-</t>
        </is>
      </c>
      <c r="L541" t="inlineStr">
        <is>
          <t>New York : Wiley, c1977.</t>
        </is>
      </c>
      <c r="M541" t="inlineStr">
        <is>
          <t>1977</t>
        </is>
      </c>
      <c r="O541" t="inlineStr">
        <is>
          <t>eng</t>
        </is>
      </c>
      <c r="P541" t="inlineStr">
        <is>
          <t>nyu</t>
        </is>
      </c>
      <c r="Q541" t="inlineStr">
        <is>
          <t>Wiley series on marketing management</t>
        </is>
      </c>
      <c r="R541" t="inlineStr">
        <is>
          <t xml:space="preserve">HM </t>
        </is>
      </c>
      <c r="S541" t="n">
        <v>4</v>
      </c>
      <c r="T541" t="n">
        <v>4</v>
      </c>
      <c r="U541" t="inlineStr">
        <is>
          <t>2000-12-02</t>
        </is>
      </c>
      <c r="V541" t="inlineStr">
        <is>
          <t>2000-12-02</t>
        </is>
      </c>
      <c r="W541" t="inlineStr">
        <is>
          <t>1993-10-28</t>
        </is>
      </c>
      <c r="X541" t="inlineStr">
        <is>
          <t>1993-10-28</t>
        </is>
      </c>
      <c r="Y541" t="n">
        <v>382</v>
      </c>
      <c r="Z541" t="n">
        <v>306</v>
      </c>
      <c r="AA541" t="n">
        <v>329</v>
      </c>
      <c r="AB541" t="n">
        <v>3</v>
      </c>
      <c r="AC541" t="n">
        <v>4</v>
      </c>
      <c r="AD541" t="n">
        <v>11</v>
      </c>
      <c r="AE541" t="n">
        <v>14</v>
      </c>
      <c r="AF541" t="n">
        <v>5</v>
      </c>
      <c r="AG541" t="n">
        <v>6</v>
      </c>
      <c r="AH541" t="n">
        <v>0</v>
      </c>
      <c r="AI541" t="n">
        <v>1</v>
      </c>
      <c r="AJ541" t="n">
        <v>5</v>
      </c>
      <c r="AK541" t="n">
        <v>6</v>
      </c>
      <c r="AL541" t="n">
        <v>2</v>
      </c>
      <c r="AM541" t="n">
        <v>3</v>
      </c>
      <c r="AN541" t="n">
        <v>0</v>
      </c>
      <c r="AO541" t="n">
        <v>0</v>
      </c>
      <c r="AP541" t="inlineStr">
        <is>
          <t>No</t>
        </is>
      </c>
      <c r="AQ541" t="inlineStr">
        <is>
          <t>Yes</t>
        </is>
      </c>
      <c r="AR541">
        <f>HYPERLINK("http://catalog.hathitrust.org/Record/007550794","HathiTrust Record")</f>
        <v/>
      </c>
      <c r="AS541">
        <f>HYPERLINK("https://creighton-primo.hosted.exlibrisgroup.com/primo-explore/search?tab=default_tab&amp;search_scope=EVERYTHING&amp;vid=01CRU&amp;lang=en_US&amp;offset=0&amp;query=any,contains,991004325569702656","Catalog Record")</f>
        <v/>
      </c>
      <c r="AT541">
        <f>HYPERLINK("http://www.worldcat.org/oclc/3034626","WorldCat Record")</f>
        <v/>
      </c>
      <c r="AU541" t="inlineStr">
        <is>
          <t>2872491:eng</t>
        </is>
      </c>
      <c r="AV541" t="inlineStr">
        <is>
          <t>3034626</t>
        </is>
      </c>
      <c r="AW541" t="inlineStr">
        <is>
          <t>991004325569702656</t>
        </is>
      </c>
      <c r="AX541" t="inlineStr">
        <is>
          <t>991004325569702656</t>
        </is>
      </c>
      <c r="AY541" t="inlineStr">
        <is>
          <t>2261340970002656</t>
        </is>
      </c>
      <c r="AZ541" t="inlineStr">
        <is>
          <t>BOOK</t>
        </is>
      </c>
      <c r="BB541" t="inlineStr">
        <is>
          <t>9780471031093</t>
        </is>
      </c>
      <c r="BC541" t="inlineStr">
        <is>
          <t>32285001795284</t>
        </is>
      </c>
      <c r="BD541" t="inlineStr">
        <is>
          <t>893436143</t>
        </is>
      </c>
    </row>
    <row r="542">
      <c r="A542" t="inlineStr">
        <is>
          <t>No</t>
        </is>
      </c>
      <c r="B542" t="inlineStr">
        <is>
          <t>HM263 .S247 1998</t>
        </is>
      </c>
      <c r="C542" t="inlineStr">
        <is>
          <t>0                      HM 0263000S  247         1998</t>
        </is>
      </c>
      <c r="D542" t="inlineStr">
        <is>
          <t>Making the news : a guide for nonprofits and activists / Jason Salzman.</t>
        </is>
      </c>
      <c r="F542" t="inlineStr">
        <is>
          <t>No</t>
        </is>
      </c>
      <c r="G542" t="inlineStr">
        <is>
          <t>1</t>
        </is>
      </c>
      <c r="H542" t="inlineStr">
        <is>
          <t>No</t>
        </is>
      </c>
      <c r="I542" t="inlineStr">
        <is>
          <t>No</t>
        </is>
      </c>
      <c r="J542" t="inlineStr">
        <is>
          <t>0</t>
        </is>
      </c>
      <c r="K542" t="inlineStr">
        <is>
          <t>Salzman, Jason.</t>
        </is>
      </c>
      <c r="L542" t="inlineStr">
        <is>
          <t>Boulder, Colo. : Westview Press, 1998.</t>
        </is>
      </c>
      <c r="M542" t="inlineStr">
        <is>
          <t>1998</t>
        </is>
      </c>
      <c r="O542" t="inlineStr">
        <is>
          <t>eng</t>
        </is>
      </c>
      <c r="P542" t="inlineStr">
        <is>
          <t>cou</t>
        </is>
      </c>
      <c r="R542" t="inlineStr">
        <is>
          <t xml:space="preserve">HM </t>
        </is>
      </c>
      <c r="S542" t="n">
        <v>6</v>
      </c>
      <c r="T542" t="n">
        <v>6</v>
      </c>
      <c r="U542" t="inlineStr">
        <is>
          <t>2000-12-05</t>
        </is>
      </c>
      <c r="V542" t="inlineStr">
        <is>
          <t>2000-12-05</t>
        </is>
      </c>
      <c r="W542" t="inlineStr">
        <is>
          <t>1999-01-18</t>
        </is>
      </c>
      <c r="X542" t="inlineStr">
        <is>
          <t>1999-01-18</t>
        </is>
      </c>
      <c r="Y542" t="n">
        <v>354</v>
      </c>
      <c r="Z542" t="n">
        <v>296</v>
      </c>
      <c r="AA542" t="n">
        <v>418</v>
      </c>
      <c r="AB542" t="n">
        <v>2</v>
      </c>
      <c r="AC542" t="n">
        <v>4</v>
      </c>
      <c r="AD542" t="n">
        <v>11</v>
      </c>
      <c r="AE542" t="n">
        <v>21</v>
      </c>
      <c r="AF542" t="n">
        <v>5</v>
      </c>
      <c r="AG542" t="n">
        <v>7</v>
      </c>
      <c r="AH542" t="n">
        <v>2</v>
      </c>
      <c r="AI542" t="n">
        <v>4</v>
      </c>
      <c r="AJ542" t="n">
        <v>7</v>
      </c>
      <c r="AK542" t="n">
        <v>12</v>
      </c>
      <c r="AL542" t="n">
        <v>1</v>
      </c>
      <c r="AM542" t="n">
        <v>3</v>
      </c>
      <c r="AN542" t="n">
        <v>0</v>
      </c>
      <c r="AO542" t="n">
        <v>1</v>
      </c>
      <c r="AP542" t="inlineStr">
        <is>
          <t>No</t>
        </is>
      </c>
      <c r="AQ542" t="inlineStr">
        <is>
          <t>Yes</t>
        </is>
      </c>
      <c r="AR542">
        <f>HYPERLINK("http://catalog.hathitrust.org/Record/003968163","HathiTrust Record")</f>
        <v/>
      </c>
      <c r="AS542">
        <f>HYPERLINK("https://creighton-primo.hosted.exlibrisgroup.com/primo-explore/search?tab=default_tab&amp;search_scope=EVERYTHING&amp;vid=01CRU&amp;lang=en_US&amp;offset=0&amp;query=any,contains,991002903869702656","Catalog Record")</f>
        <v/>
      </c>
      <c r="AT542">
        <f>HYPERLINK("http://www.worldcat.org/oclc/38295172","WorldCat Record")</f>
        <v/>
      </c>
      <c r="AU542" t="inlineStr">
        <is>
          <t>4161444021:eng</t>
        </is>
      </c>
      <c r="AV542" t="inlineStr">
        <is>
          <t>38295172</t>
        </is>
      </c>
      <c r="AW542" t="inlineStr">
        <is>
          <t>991002903869702656</t>
        </is>
      </c>
      <c r="AX542" t="inlineStr">
        <is>
          <t>991002903869702656</t>
        </is>
      </c>
      <c r="AY542" t="inlineStr">
        <is>
          <t>2263005950002656</t>
        </is>
      </c>
      <c r="AZ542" t="inlineStr">
        <is>
          <t>BOOK</t>
        </is>
      </c>
      <c r="BB542" t="inlineStr">
        <is>
          <t>9780813368986</t>
        </is>
      </c>
      <c r="BC542" t="inlineStr">
        <is>
          <t>32285003512984</t>
        </is>
      </c>
      <c r="BD542" t="inlineStr">
        <is>
          <t>893415788</t>
        </is>
      </c>
    </row>
    <row r="543">
      <c r="A543" t="inlineStr">
        <is>
          <t>No</t>
        </is>
      </c>
      <c r="B543" t="inlineStr">
        <is>
          <t>HM263 .S533 1986</t>
        </is>
      </c>
      <c r="C543" t="inlineStr">
        <is>
          <t>0                      HM 0263000S  533         1986</t>
        </is>
      </c>
      <c r="D543" t="inlineStr">
        <is>
          <t>Public relations : concepts and practices / Raymond Simon.</t>
        </is>
      </c>
      <c r="F543" t="inlineStr">
        <is>
          <t>No</t>
        </is>
      </c>
      <c r="G543" t="inlineStr">
        <is>
          <t>1</t>
        </is>
      </c>
      <c r="H543" t="inlineStr">
        <is>
          <t>No</t>
        </is>
      </c>
      <c r="I543" t="inlineStr">
        <is>
          <t>No</t>
        </is>
      </c>
      <c r="J543" t="inlineStr">
        <is>
          <t>0</t>
        </is>
      </c>
      <c r="K543" t="inlineStr">
        <is>
          <t>Simon, Raymond.</t>
        </is>
      </c>
      <c r="L543" t="inlineStr">
        <is>
          <t>New York : Macmillan ; London : Collier Macmillan, c1986.</t>
        </is>
      </c>
      <c r="M543" t="inlineStr">
        <is>
          <t>1986</t>
        </is>
      </c>
      <c r="N543" t="inlineStr">
        <is>
          <t>3rd ed.</t>
        </is>
      </c>
      <c r="O543" t="inlineStr">
        <is>
          <t>eng</t>
        </is>
      </c>
      <c r="P543" t="inlineStr">
        <is>
          <t>nyu</t>
        </is>
      </c>
      <c r="R543" t="inlineStr">
        <is>
          <t xml:space="preserve">HM </t>
        </is>
      </c>
      <c r="S543" t="n">
        <v>3</v>
      </c>
      <c r="T543" t="n">
        <v>3</v>
      </c>
      <c r="U543" t="inlineStr">
        <is>
          <t>2003-12-09</t>
        </is>
      </c>
      <c r="V543" t="inlineStr">
        <is>
          <t>2003-12-09</t>
        </is>
      </c>
      <c r="W543" t="inlineStr">
        <is>
          <t>1992-09-08</t>
        </is>
      </c>
      <c r="X543" t="inlineStr">
        <is>
          <t>1992-09-08</t>
        </is>
      </c>
      <c r="Y543" t="n">
        <v>41</v>
      </c>
      <c r="Z543" t="n">
        <v>32</v>
      </c>
      <c r="AA543" t="n">
        <v>300</v>
      </c>
      <c r="AB543" t="n">
        <v>1</v>
      </c>
      <c r="AC543" t="n">
        <v>2</v>
      </c>
      <c r="AD543" t="n">
        <v>2</v>
      </c>
      <c r="AE543" t="n">
        <v>11</v>
      </c>
      <c r="AF543" t="n">
        <v>1</v>
      </c>
      <c r="AG543" t="n">
        <v>6</v>
      </c>
      <c r="AH543" t="n">
        <v>0</v>
      </c>
      <c r="AI543" t="n">
        <v>3</v>
      </c>
      <c r="AJ543" t="n">
        <v>2</v>
      </c>
      <c r="AK543" t="n">
        <v>7</v>
      </c>
      <c r="AL543" t="n">
        <v>0</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HYPERLINK("https://creighton-primo.hosted.exlibrisgroup.com/primo-explore/search?tab=default_tab&amp;search_scope=EVERYTHING&amp;vid=01CRU&amp;lang=en_US&amp;offset=0&amp;query=any,contains,991001002019702656","Catalog Record")</f>
        <v/>
      </c>
      <c r="AT543">
        <f>HYPERLINK("http://www.worldcat.org/oclc/15213068","WorldCat Record")</f>
        <v/>
      </c>
      <c r="AU543" t="inlineStr">
        <is>
          <t>2452735218:eng</t>
        </is>
      </c>
      <c r="AV543" t="inlineStr">
        <is>
          <t>15213068</t>
        </is>
      </c>
      <c r="AW543" t="inlineStr">
        <is>
          <t>991001002019702656</t>
        </is>
      </c>
      <c r="AX543" t="inlineStr">
        <is>
          <t>991001002019702656</t>
        </is>
      </c>
      <c r="AY543" t="inlineStr">
        <is>
          <t>2267485620002656</t>
        </is>
      </c>
      <c r="AZ543" t="inlineStr">
        <is>
          <t>BOOK</t>
        </is>
      </c>
      <c r="BB543" t="inlineStr">
        <is>
          <t>9780024110701</t>
        </is>
      </c>
      <c r="BC543" t="inlineStr">
        <is>
          <t>32285001268324</t>
        </is>
      </c>
      <c r="BD543" t="inlineStr">
        <is>
          <t>893708908</t>
        </is>
      </c>
    </row>
    <row r="544">
      <c r="A544" t="inlineStr">
        <is>
          <t>No</t>
        </is>
      </c>
      <c r="B544" t="inlineStr">
        <is>
          <t>HM263 .S648 1997</t>
        </is>
      </c>
      <c r="C544" t="inlineStr">
        <is>
          <t>0                      HM 0263000S  648         1997</t>
        </is>
      </c>
      <c r="D544" t="inlineStr">
        <is>
          <t>Propaganda and democracy : the American experience of media and mass persuasion / J. Michael Sproule.</t>
        </is>
      </c>
      <c r="F544" t="inlineStr">
        <is>
          <t>No</t>
        </is>
      </c>
      <c r="G544" t="inlineStr">
        <is>
          <t>1</t>
        </is>
      </c>
      <c r="H544" t="inlineStr">
        <is>
          <t>No</t>
        </is>
      </c>
      <c r="I544" t="inlineStr">
        <is>
          <t>No</t>
        </is>
      </c>
      <c r="J544" t="inlineStr">
        <is>
          <t>0</t>
        </is>
      </c>
      <c r="K544" t="inlineStr">
        <is>
          <t>Sproule, J. Michael, 1949-</t>
        </is>
      </c>
      <c r="L544" t="inlineStr">
        <is>
          <t>Cambridge, U.K. ; New York, NY : Cambridge University Press, 1997.</t>
        </is>
      </c>
      <c r="M544" t="inlineStr">
        <is>
          <t>1997</t>
        </is>
      </c>
      <c r="O544" t="inlineStr">
        <is>
          <t>eng</t>
        </is>
      </c>
      <c r="P544" t="inlineStr">
        <is>
          <t>enk</t>
        </is>
      </c>
      <c r="Q544" t="inlineStr">
        <is>
          <t>Cambridge studies in the history of mass communications</t>
        </is>
      </c>
      <c r="R544" t="inlineStr">
        <is>
          <t xml:space="preserve">HM </t>
        </is>
      </c>
      <c r="S544" t="n">
        <v>4</v>
      </c>
      <c r="T544" t="n">
        <v>4</v>
      </c>
      <c r="U544" t="inlineStr">
        <is>
          <t>2003-02-24</t>
        </is>
      </c>
      <c r="V544" t="inlineStr">
        <is>
          <t>2003-02-24</t>
        </is>
      </c>
      <c r="W544" t="inlineStr">
        <is>
          <t>1997-10-22</t>
        </is>
      </c>
      <c r="X544" t="inlineStr">
        <is>
          <t>1997-10-22</t>
        </is>
      </c>
      <c r="Y544" t="n">
        <v>467</v>
      </c>
      <c r="Z544" t="n">
        <v>372</v>
      </c>
      <c r="AA544" t="n">
        <v>389</v>
      </c>
      <c r="AB544" t="n">
        <v>4</v>
      </c>
      <c r="AC544" t="n">
        <v>4</v>
      </c>
      <c r="AD544" t="n">
        <v>28</v>
      </c>
      <c r="AE544" t="n">
        <v>28</v>
      </c>
      <c r="AF544" t="n">
        <v>14</v>
      </c>
      <c r="AG544" t="n">
        <v>14</v>
      </c>
      <c r="AH544" t="n">
        <v>5</v>
      </c>
      <c r="AI544" t="n">
        <v>5</v>
      </c>
      <c r="AJ544" t="n">
        <v>14</v>
      </c>
      <c r="AK544" t="n">
        <v>14</v>
      </c>
      <c r="AL544" t="n">
        <v>3</v>
      </c>
      <c r="AM544" t="n">
        <v>3</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HYPERLINK("https://creighton-primo.hosted.exlibrisgroup.com/primo-explore/search?tab=default_tab&amp;search_scope=EVERYTHING&amp;vid=01CRU&amp;lang=en_US&amp;offset=0&amp;query=any,contains,991002658689702656","Catalog Record")</f>
        <v/>
      </c>
      <c r="AT544">
        <f>HYPERLINK("http://www.worldcat.org/oclc/34753241","WorldCat Record")</f>
        <v/>
      </c>
      <c r="AU544" t="inlineStr">
        <is>
          <t>806896796:eng</t>
        </is>
      </c>
      <c r="AV544" t="inlineStr">
        <is>
          <t>34753241</t>
        </is>
      </c>
      <c r="AW544" t="inlineStr">
        <is>
          <t>991002658689702656</t>
        </is>
      </c>
      <c r="AX544" t="inlineStr">
        <is>
          <t>991002658689702656</t>
        </is>
      </c>
      <c r="AY544" t="inlineStr">
        <is>
          <t>2267095450002656</t>
        </is>
      </c>
      <c r="AZ544" t="inlineStr">
        <is>
          <t>BOOK</t>
        </is>
      </c>
      <c r="BB544" t="inlineStr">
        <is>
          <t>9780521470223</t>
        </is>
      </c>
      <c r="BC544" t="inlineStr">
        <is>
          <t>32285003257440</t>
        </is>
      </c>
      <c r="BD544" t="inlineStr">
        <is>
          <t>893627238</t>
        </is>
      </c>
    </row>
    <row r="545">
      <c r="A545" t="inlineStr">
        <is>
          <t>No</t>
        </is>
      </c>
      <c r="B545" t="inlineStr">
        <is>
          <t>HM263 .S83</t>
        </is>
      </c>
      <c r="C545" t="inlineStr">
        <is>
          <t>0                      HM 0263000S  83</t>
        </is>
      </c>
      <c r="D545" t="inlineStr">
        <is>
          <t>The mass communicators; public relations, public opinion, and mass media.</t>
        </is>
      </c>
      <c r="F545" t="inlineStr">
        <is>
          <t>No</t>
        </is>
      </c>
      <c r="G545" t="inlineStr">
        <is>
          <t>1</t>
        </is>
      </c>
      <c r="H545" t="inlineStr">
        <is>
          <t>No</t>
        </is>
      </c>
      <c r="I545" t="inlineStr">
        <is>
          <t>No</t>
        </is>
      </c>
      <c r="J545" t="inlineStr">
        <is>
          <t>0</t>
        </is>
      </c>
      <c r="K545" t="inlineStr">
        <is>
          <t>Steinberg, Charles S. (Charles Side), 1913-1978.</t>
        </is>
      </c>
      <c r="L545" t="inlineStr">
        <is>
          <t>New York, Harper [1958]</t>
        </is>
      </c>
      <c r="M545" t="inlineStr">
        <is>
          <t>1958</t>
        </is>
      </c>
      <c r="O545" t="inlineStr">
        <is>
          <t>eng</t>
        </is>
      </c>
      <c r="P545" t="inlineStr">
        <is>
          <t>nyu</t>
        </is>
      </c>
      <c r="R545" t="inlineStr">
        <is>
          <t xml:space="preserve">HM </t>
        </is>
      </c>
      <c r="S545" t="n">
        <v>2</v>
      </c>
      <c r="T545" t="n">
        <v>2</v>
      </c>
      <c r="U545" t="inlineStr">
        <is>
          <t>2000-12-05</t>
        </is>
      </c>
      <c r="V545" t="inlineStr">
        <is>
          <t>2000-12-05</t>
        </is>
      </c>
      <c r="W545" t="inlineStr">
        <is>
          <t>1997-08-04</t>
        </is>
      </c>
      <c r="X545" t="inlineStr">
        <is>
          <t>1997-08-04</t>
        </is>
      </c>
      <c r="Y545" t="n">
        <v>411</v>
      </c>
      <c r="Z545" t="n">
        <v>349</v>
      </c>
      <c r="AA545" t="n">
        <v>413</v>
      </c>
      <c r="AB545" t="n">
        <v>4</v>
      </c>
      <c r="AC545" t="n">
        <v>5</v>
      </c>
      <c r="AD545" t="n">
        <v>16</v>
      </c>
      <c r="AE545" t="n">
        <v>18</v>
      </c>
      <c r="AF545" t="n">
        <v>6</v>
      </c>
      <c r="AG545" t="n">
        <v>7</v>
      </c>
      <c r="AH545" t="n">
        <v>3</v>
      </c>
      <c r="AI545" t="n">
        <v>4</v>
      </c>
      <c r="AJ545" t="n">
        <v>8</v>
      </c>
      <c r="AK545" t="n">
        <v>8</v>
      </c>
      <c r="AL545" t="n">
        <v>3</v>
      </c>
      <c r="AM545" t="n">
        <v>4</v>
      </c>
      <c r="AN545" t="n">
        <v>0</v>
      </c>
      <c r="AO545" t="n">
        <v>0</v>
      </c>
      <c r="AP545" t="inlineStr">
        <is>
          <t>No</t>
        </is>
      </c>
      <c r="AQ545" t="inlineStr">
        <is>
          <t>No</t>
        </is>
      </c>
      <c r="AR545">
        <f>HYPERLINK("http://catalog.hathitrust.org/Record/001108121","HathiTrust Record")</f>
        <v/>
      </c>
      <c r="AS545">
        <f>HYPERLINK("https://creighton-primo.hosted.exlibrisgroup.com/primo-explore/search?tab=default_tab&amp;search_scope=EVERYTHING&amp;vid=01CRU&amp;lang=en_US&amp;offset=0&amp;query=any,contains,991002973449702656","Catalog Record")</f>
        <v/>
      </c>
      <c r="AT545">
        <f>HYPERLINK("http://www.worldcat.org/oclc/550692","WorldCat Record")</f>
        <v/>
      </c>
      <c r="AU545" t="inlineStr">
        <is>
          <t>1595621:eng</t>
        </is>
      </c>
      <c r="AV545" t="inlineStr">
        <is>
          <t>550692</t>
        </is>
      </c>
      <c r="AW545" t="inlineStr">
        <is>
          <t>991002973449702656</t>
        </is>
      </c>
      <c r="AX545" t="inlineStr">
        <is>
          <t>991002973449702656</t>
        </is>
      </c>
      <c r="AY545" t="inlineStr">
        <is>
          <t>2258081280002656</t>
        </is>
      </c>
      <c r="AZ545" t="inlineStr">
        <is>
          <t>BOOK</t>
        </is>
      </c>
      <c r="BC545" t="inlineStr">
        <is>
          <t>32285003019022</t>
        </is>
      </c>
      <c r="BD545" t="inlineStr">
        <is>
          <t>893323592</t>
        </is>
      </c>
    </row>
    <row r="546">
      <c r="A546" t="inlineStr">
        <is>
          <t>No</t>
        </is>
      </c>
      <c r="B546" t="inlineStr">
        <is>
          <t>HM263 .T47 1977</t>
        </is>
      </c>
      <c r="C546" t="inlineStr">
        <is>
          <t>0                      HM 0263000T  47          1977</t>
        </is>
      </c>
      <c r="D546" t="inlineStr">
        <is>
          <t>Mass persuasion in history : an historical analysis of the development of propaganda techniques / Oliver Thomson.</t>
        </is>
      </c>
      <c r="F546" t="inlineStr">
        <is>
          <t>No</t>
        </is>
      </c>
      <c r="G546" t="inlineStr">
        <is>
          <t>1</t>
        </is>
      </c>
      <c r="H546" t="inlineStr">
        <is>
          <t>No</t>
        </is>
      </c>
      <c r="I546" t="inlineStr">
        <is>
          <t>No</t>
        </is>
      </c>
      <c r="J546" t="inlineStr">
        <is>
          <t>0</t>
        </is>
      </c>
      <c r="K546" t="inlineStr">
        <is>
          <t>Thomson, Oliver.</t>
        </is>
      </c>
      <c r="L546" t="inlineStr">
        <is>
          <t>Edinburgh : Paul Harris, 1977.</t>
        </is>
      </c>
      <c r="M546" t="inlineStr">
        <is>
          <t>1977</t>
        </is>
      </c>
      <c r="O546" t="inlineStr">
        <is>
          <t>eng</t>
        </is>
      </c>
      <c r="P546" t="inlineStr">
        <is>
          <t>stk</t>
        </is>
      </c>
      <c r="R546" t="inlineStr">
        <is>
          <t xml:space="preserve">HM </t>
        </is>
      </c>
      <c r="S546" t="n">
        <v>6</v>
      </c>
      <c r="T546" t="n">
        <v>6</v>
      </c>
      <c r="U546" t="inlineStr">
        <is>
          <t>2003-02-24</t>
        </is>
      </c>
      <c r="V546" t="inlineStr">
        <is>
          <t>2003-02-24</t>
        </is>
      </c>
      <c r="W546" t="inlineStr">
        <is>
          <t>1992-09-08</t>
        </is>
      </c>
      <c r="X546" t="inlineStr">
        <is>
          <t>1992-09-08</t>
        </is>
      </c>
      <c r="Y546" t="n">
        <v>326</v>
      </c>
      <c r="Z546" t="n">
        <v>207</v>
      </c>
      <c r="AA546" t="n">
        <v>471</v>
      </c>
      <c r="AB546" t="n">
        <v>4</v>
      </c>
      <c r="AC546" t="n">
        <v>5</v>
      </c>
      <c r="AD546" t="n">
        <v>7</v>
      </c>
      <c r="AE546" t="n">
        <v>24</v>
      </c>
      <c r="AF546" t="n">
        <v>1</v>
      </c>
      <c r="AG546" t="n">
        <v>10</v>
      </c>
      <c r="AH546" t="n">
        <v>0</v>
      </c>
      <c r="AI546" t="n">
        <v>6</v>
      </c>
      <c r="AJ546" t="n">
        <v>4</v>
      </c>
      <c r="AK546" t="n">
        <v>10</v>
      </c>
      <c r="AL546" t="n">
        <v>3</v>
      </c>
      <c r="AM546" t="n">
        <v>4</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HYPERLINK("https://creighton-primo.hosted.exlibrisgroup.com/primo-explore/search?tab=default_tab&amp;search_scope=EVERYTHING&amp;vid=01CRU&amp;lang=en_US&amp;offset=0&amp;query=any,contains,991004392039702656","Catalog Record")</f>
        <v/>
      </c>
      <c r="AT546">
        <f>HYPERLINK("http://www.worldcat.org/oclc/3269914","WorldCat Record")</f>
        <v/>
      </c>
      <c r="AU546" t="inlineStr">
        <is>
          <t>8173904:eng</t>
        </is>
      </c>
      <c r="AV546" t="inlineStr">
        <is>
          <t>3269914</t>
        </is>
      </c>
      <c r="AW546" t="inlineStr">
        <is>
          <t>991004392039702656</t>
        </is>
      </c>
      <c r="AX546" t="inlineStr">
        <is>
          <t>991004392039702656</t>
        </is>
      </c>
      <c r="AY546" t="inlineStr">
        <is>
          <t>2267511660002656</t>
        </is>
      </c>
      <c r="AZ546" t="inlineStr">
        <is>
          <t>BOOK</t>
        </is>
      </c>
      <c r="BB546" t="inlineStr">
        <is>
          <t>9780904505160</t>
        </is>
      </c>
      <c r="BC546" t="inlineStr">
        <is>
          <t>32285001268357</t>
        </is>
      </c>
      <c r="BD546" t="inlineStr">
        <is>
          <t>893331540</t>
        </is>
      </c>
    </row>
    <row r="547">
      <c r="A547" t="inlineStr">
        <is>
          <t>No</t>
        </is>
      </c>
      <c r="B547" t="inlineStr">
        <is>
          <t>HM263 .T94 1998</t>
        </is>
      </c>
      <c r="C547" t="inlineStr">
        <is>
          <t>0                      HM 0263000T  94          1998</t>
        </is>
      </c>
      <c r="D547" t="inlineStr">
        <is>
          <t>The father of spin : Edward L. Bernays &amp; the birth of public relations / Larry Tye.</t>
        </is>
      </c>
      <c r="F547" t="inlineStr">
        <is>
          <t>No</t>
        </is>
      </c>
      <c r="G547" t="inlineStr">
        <is>
          <t>1</t>
        </is>
      </c>
      <c r="H547" t="inlineStr">
        <is>
          <t>No</t>
        </is>
      </c>
      <c r="I547" t="inlineStr">
        <is>
          <t>No</t>
        </is>
      </c>
      <c r="J547" t="inlineStr">
        <is>
          <t>0</t>
        </is>
      </c>
      <c r="K547" t="inlineStr">
        <is>
          <t>Tye, Larry.</t>
        </is>
      </c>
      <c r="L547" t="inlineStr">
        <is>
          <t>New York : Crown Publishers, 1998.</t>
        </is>
      </c>
      <c r="M547" t="inlineStr">
        <is>
          <t>1998</t>
        </is>
      </c>
      <c r="O547" t="inlineStr">
        <is>
          <t>eng</t>
        </is>
      </c>
      <c r="P547" t="inlineStr">
        <is>
          <t>nyu</t>
        </is>
      </c>
      <c r="R547" t="inlineStr">
        <is>
          <t xml:space="preserve">HM </t>
        </is>
      </c>
      <c r="S547" t="n">
        <v>5</v>
      </c>
      <c r="T547" t="n">
        <v>5</v>
      </c>
      <c r="U547" t="inlineStr">
        <is>
          <t>2010-03-28</t>
        </is>
      </c>
      <c r="V547" t="inlineStr">
        <is>
          <t>2010-03-28</t>
        </is>
      </c>
      <c r="W547" t="inlineStr">
        <is>
          <t>1999-01-21</t>
        </is>
      </c>
      <c r="X547" t="inlineStr">
        <is>
          <t>1999-01-21</t>
        </is>
      </c>
      <c r="Y547" t="n">
        <v>757</v>
      </c>
      <c r="Z547" t="n">
        <v>704</v>
      </c>
      <c r="AA547" t="n">
        <v>854</v>
      </c>
      <c r="AB547" t="n">
        <v>5</v>
      </c>
      <c r="AC547" t="n">
        <v>6</v>
      </c>
      <c r="AD547" t="n">
        <v>29</v>
      </c>
      <c r="AE547" t="n">
        <v>32</v>
      </c>
      <c r="AF547" t="n">
        <v>11</v>
      </c>
      <c r="AG547" t="n">
        <v>12</v>
      </c>
      <c r="AH547" t="n">
        <v>10</v>
      </c>
      <c r="AI547" t="n">
        <v>10</v>
      </c>
      <c r="AJ547" t="n">
        <v>12</v>
      </c>
      <c r="AK547" t="n">
        <v>13</v>
      </c>
      <c r="AL547" t="n">
        <v>4</v>
      </c>
      <c r="AM547" t="n">
        <v>5</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HYPERLINK("https://creighton-primo.hosted.exlibrisgroup.com/primo-explore/search?tab=default_tab&amp;search_scope=EVERYTHING&amp;vid=01CRU&amp;lang=en_US&amp;offset=0&amp;query=any,contains,991002876039702656","Catalog Record")</f>
        <v/>
      </c>
      <c r="AT547">
        <f>HYPERLINK("http://www.worldcat.org/oclc/37902406","WorldCat Record")</f>
        <v/>
      </c>
      <c r="AU547" t="inlineStr">
        <is>
          <t>554129:eng</t>
        </is>
      </c>
      <c r="AV547" t="inlineStr">
        <is>
          <t>37902406</t>
        </is>
      </c>
      <c r="AW547" t="inlineStr">
        <is>
          <t>991002876039702656</t>
        </is>
      </c>
      <c r="AX547" t="inlineStr">
        <is>
          <t>991002876039702656</t>
        </is>
      </c>
      <c r="AY547" t="inlineStr">
        <is>
          <t>2257622460002656</t>
        </is>
      </c>
      <c r="AZ547" t="inlineStr">
        <is>
          <t>BOOK</t>
        </is>
      </c>
      <c r="BB547" t="inlineStr">
        <is>
          <t>9780517704356</t>
        </is>
      </c>
      <c r="BC547" t="inlineStr">
        <is>
          <t>32285003514717</t>
        </is>
      </c>
      <c r="BD547" t="inlineStr">
        <is>
          <t>893239616</t>
        </is>
      </c>
    </row>
    <row r="548">
      <c r="A548" t="inlineStr">
        <is>
          <t>No</t>
        </is>
      </c>
      <c r="B548" t="inlineStr">
        <is>
          <t>HM271 .A73 1986</t>
        </is>
      </c>
      <c r="C548" t="inlineStr">
        <is>
          <t>0                      HM 0271000A  73          1986</t>
        </is>
      </c>
      <c r="D548" t="inlineStr">
        <is>
          <t>Social choice and multicriterion decision-making / Kenneth J. Arrow and Hervé Raynaud.</t>
        </is>
      </c>
      <c r="F548" t="inlineStr">
        <is>
          <t>No</t>
        </is>
      </c>
      <c r="G548" t="inlineStr">
        <is>
          <t>1</t>
        </is>
      </c>
      <c r="H548" t="inlineStr">
        <is>
          <t>No</t>
        </is>
      </c>
      <c r="I548" t="inlineStr">
        <is>
          <t>No</t>
        </is>
      </c>
      <c r="J548" t="inlineStr">
        <is>
          <t>0</t>
        </is>
      </c>
      <c r="K548" t="inlineStr">
        <is>
          <t>Arrow, Kenneth J. (Kenneth Joseph), 1921-2017.</t>
        </is>
      </c>
      <c r="L548" t="inlineStr">
        <is>
          <t>Cambridge, Mass. : MIT Press, c1986.</t>
        </is>
      </c>
      <c r="M548" t="inlineStr">
        <is>
          <t>1986</t>
        </is>
      </c>
      <c r="O548" t="inlineStr">
        <is>
          <t>eng</t>
        </is>
      </c>
      <c r="P548" t="inlineStr">
        <is>
          <t>mau</t>
        </is>
      </c>
      <c r="R548" t="inlineStr">
        <is>
          <t xml:space="preserve">HM </t>
        </is>
      </c>
      <c r="S548" t="n">
        <v>1</v>
      </c>
      <c r="T548" t="n">
        <v>1</v>
      </c>
      <c r="U548" t="inlineStr">
        <is>
          <t>2002-10-25</t>
        </is>
      </c>
      <c r="V548" t="inlineStr">
        <is>
          <t>2002-10-25</t>
        </is>
      </c>
      <c r="W548" t="inlineStr">
        <is>
          <t>1992-09-08</t>
        </is>
      </c>
      <c r="X548" t="inlineStr">
        <is>
          <t>1992-09-08</t>
        </is>
      </c>
      <c r="Y548" t="n">
        <v>445</v>
      </c>
      <c r="Z548" t="n">
        <v>312</v>
      </c>
      <c r="AA548" t="n">
        <v>312</v>
      </c>
      <c r="AB548" t="n">
        <v>3</v>
      </c>
      <c r="AC548" t="n">
        <v>3</v>
      </c>
      <c r="AD548" t="n">
        <v>12</v>
      </c>
      <c r="AE548" t="n">
        <v>12</v>
      </c>
      <c r="AF548" t="n">
        <v>2</v>
      </c>
      <c r="AG548" t="n">
        <v>2</v>
      </c>
      <c r="AH548" t="n">
        <v>2</v>
      </c>
      <c r="AI548" t="n">
        <v>2</v>
      </c>
      <c r="AJ548" t="n">
        <v>6</v>
      </c>
      <c r="AK548" t="n">
        <v>6</v>
      </c>
      <c r="AL548" t="n">
        <v>2</v>
      </c>
      <c r="AM548" t="n">
        <v>2</v>
      </c>
      <c r="AN548" t="n">
        <v>2</v>
      </c>
      <c r="AO548" t="n">
        <v>2</v>
      </c>
      <c r="AP548" t="inlineStr">
        <is>
          <t>No</t>
        </is>
      </c>
      <c r="AQ548" t="inlineStr">
        <is>
          <t>No</t>
        </is>
      </c>
      <c r="AS548">
        <f>HYPERLINK("https://creighton-primo.hosted.exlibrisgroup.com/primo-explore/search?tab=default_tab&amp;search_scope=EVERYTHING&amp;vid=01CRU&amp;lang=en_US&amp;offset=0&amp;query=any,contains,991000700879702656","Catalog Record")</f>
        <v/>
      </c>
      <c r="AT548">
        <f>HYPERLINK("http://www.worldcat.org/oclc/12549493","WorldCat Record")</f>
        <v/>
      </c>
      <c r="AU548" t="inlineStr">
        <is>
          <t>5269010:eng</t>
        </is>
      </c>
      <c r="AV548" t="inlineStr">
        <is>
          <t>12549493</t>
        </is>
      </c>
      <c r="AW548" t="inlineStr">
        <is>
          <t>991000700879702656</t>
        </is>
      </c>
      <c r="AX548" t="inlineStr">
        <is>
          <t>991000700879702656</t>
        </is>
      </c>
      <c r="AY548" t="inlineStr">
        <is>
          <t>2263510800002656</t>
        </is>
      </c>
      <c r="AZ548" t="inlineStr">
        <is>
          <t>BOOK</t>
        </is>
      </c>
      <c r="BB548" t="inlineStr">
        <is>
          <t>9780262010870</t>
        </is>
      </c>
      <c r="BC548" t="inlineStr">
        <is>
          <t>32285001268373</t>
        </is>
      </c>
      <c r="BD548" t="inlineStr">
        <is>
          <t>893345895</t>
        </is>
      </c>
    </row>
    <row r="549">
      <c r="A549" t="inlineStr">
        <is>
          <t>No</t>
        </is>
      </c>
      <c r="B549" t="inlineStr">
        <is>
          <t>HM271 .F65 1985</t>
        </is>
      </c>
      <c r="C549" t="inlineStr">
        <is>
          <t>0                      HM 0271000F  65          1985</t>
        </is>
      </c>
      <c r="D549" t="inlineStr">
        <is>
          <t>Nationalism, ethnocentrism and personality : social science and critical theory / H.D. Forbes.</t>
        </is>
      </c>
      <c r="F549" t="inlineStr">
        <is>
          <t>No</t>
        </is>
      </c>
      <c r="G549" t="inlineStr">
        <is>
          <t>1</t>
        </is>
      </c>
      <c r="H549" t="inlineStr">
        <is>
          <t>No</t>
        </is>
      </c>
      <c r="I549" t="inlineStr">
        <is>
          <t>No</t>
        </is>
      </c>
      <c r="J549" t="inlineStr">
        <is>
          <t>0</t>
        </is>
      </c>
      <c r="K549" t="inlineStr">
        <is>
          <t>Forbes, H. D. (Hugh Donald)</t>
        </is>
      </c>
      <c r="L549" t="inlineStr">
        <is>
          <t>Chicago : University of Chicago Press, 1985.</t>
        </is>
      </c>
      <c r="M549" t="inlineStr">
        <is>
          <t>1985</t>
        </is>
      </c>
      <c r="O549" t="inlineStr">
        <is>
          <t>eng</t>
        </is>
      </c>
      <c r="P549" t="inlineStr">
        <is>
          <t>ilu</t>
        </is>
      </c>
      <c r="R549" t="inlineStr">
        <is>
          <t xml:space="preserve">HM </t>
        </is>
      </c>
      <c r="S549" t="n">
        <v>9</v>
      </c>
      <c r="T549" t="n">
        <v>9</v>
      </c>
      <c r="U549" t="inlineStr">
        <is>
          <t>1999-07-27</t>
        </is>
      </c>
      <c r="V549" t="inlineStr">
        <is>
          <t>1999-07-27</t>
        </is>
      </c>
      <c r="W549" t="inlineStr">
        <is>
          <t>1992-09-08</t>
        </is>
      </c>
      <c r="X549" t="inlineStr">
        <is>
          <t>1992-09-08</t>
        </is>
      </c>
      <c r="Y549" t="n">
        <v>422</v>
      </c>
      <c r="Z549" t="n">
        <v>311</v>
      </c>
      <c r="AA549" t="n">
        <v>311</v>
      </c>
      <c r="AB549" t="n">
        <v>3</v>
      </c>
      <c r="AC549" t="n">
        <v>3</v>
      </c>
      <c r="AD549" t="n">
        <v>17</v>
      </c>
      <c r="AE549" t="n">
        <v>17</v>
      </c>
      <c r="AF549" t="n">
        <v>5</v>
      </c>
      <c r="AG549" t="n">
        <v>5</v>
      </c>
      <c r="AH549" t="n">
        <v>4</v>
      </c>
      <c r="AI549" t="n">
        <v>4</v>
      </c>
      <c r="AJ549" t="n">
        <v>10</v>
      </c>
      <c r="AK549" t="n">
        <v>10</v>
      </c>
      <c r="AL549" t="n">
        <v>2</v>
      </c>
      <c r="AM549" t="n">
        <v>2</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HYPERLINK("https://creighton-primo.hosted.exlibrisgroup.com/primo-explore/search?tab=default_tab&amp;search_scope=EVERYTHING&amp;vid=01CRU&amp;lang=en_US&amp;offset=0&amp;query=any,contains,991000619479702656","Catalog Record")</f>
        <v/>
      </c>
      <c r="AT549">
        <f>HYPERLINK("http://www.worldcat.org/oclc/11970974","WorldCat Record")</f>
        <v/>
      </c>
      <c r="AU549" t="inlineStr">
        <is>
          <t>836708916:eng</t>
        </is>
      </c>
      <c r="AV549" t="inlineStr">
        <is>
          <t>11970974</t>
        </is>
      </c>
      <c r="AW549" t="inlineStr">
        <is>
          <t>991000619479702656</t>
        </is>
      </c>
      <c r="AX549" t="inlineStr">
        <is>
          <t>991000619479702656</t>
        </is>
      </c>
      <c r="AY549" t="inlineStr">
        <is>
          <t>2257157960002656</t>
        </is>
      </c>
      <c r="AZ549" t="inlineStr">
        <is>
          <t>BOOK</t>
        </is>
      </c>
      <c r="BB549" t="inlineStr">
        <is>
          <t>9780226257037</t>
        </is>
      </c>
      <c r="BC549" t="inlineStr">
        <is>
          <t>32285001268399</t>
        </is>
      </c>
      <c r="BD549" t="inlineStr">
        <is>
          <t>893689869</t>
        </is>
      </c>
    </row>
    <row r="550">
      <c r="A550" t="inlineStr">
        <is>
          <t>No</t>
        </is>
      </c>
      <c r="B550" t="inlineStr">
        <is>
          <t>HM271 .K45 1989</t>
        </is>
      </c>
      <c r="C550" t="inlineStr">
        <is>
          <t>0                      HM 0271000K  45          1989</t>
        </is>
      </c>
      <c r="D550" t="inlineStr">
        <is>
          <t>Crimes of obedience : toward a social psychology of authority and responsibility / Herbert C. Kelman and V. Lee Hamilton.</t>
        </is>
      </c>
      <c r="F550" t="inlineStr">
        <is>
          <t>No</t>
        </is>
      </c>
      <c r="G550" t="inlineStr">
        <is>
          <t>1</t>
        </is>
      </c>
      <c r="H550" t="inlineStr">
        <is>
          <t>Yes</t>
        </is>
      </c>
      <c r="I550" t="inlineStr">
        <is>
          <t>No</t>
        </is>
      </c>
      <c r="J550" t="inlineStr">
        <is>
          <t>0</t>
        </is>
      </c>
      <c r="K550" t="inlineStr">
        <is>
          <t>Kelman, Herbert C.</t>
        </is>
      </c>
      <c r="L550" t="inlineStr">
        <is>
          <t>New Haven ; London : Yale University Press, c1989.</t>
        </is>
      </c>
      <c r="M550" t="inlineStr">
        <is>
          <t>1989</t>
        </is>
      </c>
      <c r="O550" t="inlineStr">
        <is>
          <t>eng</t>
        </is>
      </c>
      <c r="P550" t="inlineStr">
        <is>
          <t>ctu</t>
        </is>
      </c>
      <c r="R550" t="inlineStr">
        <is>
          <t xml:space="preserve">HM </t>
        </is>
      </c>
      <c r="S550" t="n">
        <v>7</v>
      </c>
      <c r="T550" t="n">
        <v>11</v>
      </c>
      <c r="U550" t="inlineStr">
        <is>
          <t>2000-03-13</t>
        </is>
      </c>
      <c r="V550" t="inlineStr">
        <is>
          <t>2003-03-06</t>
        </is>
      </c>
      <c r="W550" t="inlineStr">
        <is>
          <t>1992-02-12</t>
        </is>
      </c>
      <c r="X550" t="inlineStr">
        <is>
          <t>1994-05-27</t>
        </is>
      </c>
      <c r="Y550" t="n">
        <v>1220</v>
      </c>
      <c r="Z550" t="n">
        <v>1028</v>
      </c>
      <c r="AA550" t="n">
        <v>1029</v>
      </c>
      <c r="AB550" t="n">
        <v>9</v>
      </c>
      <c r="AC550" t="n">
        <v>9</v>
      </c>
      <c r="AD550" t="n">
        <v>56</v>
      </c>
      <c r="AE550" t="n">
        <v>56</v>
      </c>
      <c r="AF550" t="n">
        <v>15</v>
      </c>
      <c r="AG550" t="n">
        <v>15</v>
      </c>
      <c r="AH550" t="n">
        <v>10</v>
      </c>
      <c r="AI550" t="n">
        <v>10</v>
      </c>
      <c r="AJ550" t="n">
        <v>23</v>
      </c>
      <c r="AK550" t="n">
        <v>23</v>
      </c>
      <c r="AL550" t="n">
        <v>7</v>
      </c>
      <c r="AM550" t="n">
        <v>7</v>
      </c>
      <c r="AN550" t="n">
        <v>12</v>
      </c>
      <c r="AO550" t="n">
        <v>12</v>
      </c>
      <c r="AP550" t="inlineStr">
        <is>
          <t>No</t>
        </is>
      </c>
      <c r="AQ550" t="inlineStr">
        <is>
          <t>No</t>
        </is>
      </c>
      <c r="AS550">
        <f>HYPERLINK("https://creighton-primo.hosted.exlibrisgroup.com/primo-explore/search?tab=default_tab&amp;search_scope=EVERYTHING&amp;vid=01CRU&amp;lang=en_US&amp;offset=0&amp;query=any,contains,991001640649702656","Catalog Record")</f>
        <v/>
      </c>
      <c r="AT550">
        <f>HYPERLINK("http://www.worldcat.org/oclc/19056909","WorldCat Record")</f>
        <v/>
      </c>
      <c r="AU550" t="inlineStr">
        <is>
          <t>836816778:eng</t>
        </is>
      </c>
      <c r="AV550" t="inlineStr">
        <is>
          <t>19056909</t>
        </is>
      </c>
      <c r="AW550" t="inlineStr">
        <is>
          <t>991001640649702656</t>
        </is>
      </c>
      <c r="AX550" t="inlineStr">
        <is>
          <t>991001640649702656</t>
        </is>
      </c>
      <c r="AY550" t="inlineStr">
        <is>
          <t>2257208560002656</t>
        </is>
      </c>
      <c r="AZ550" t="inlineStr">
        <is>
          <t>BOOK</t>
        </is>
      </c>
      <c r="BB550" t="inlineStr">
        <is>
          <t>9780300041842</t>
        </is>
      </c>
      <c r="BC550" t="inlineStr">
        <is>
          <t>32285000958131</t>
        </is>
      </c>
      <c r="BD550" t="inlineStr">
        <is>
          <t>893497243</t>
        </is>
      </c>
    </row>
    <row r="551">
      <c r="A551" t="inlineStr">
        <is>
          <t>No</t>
        </is>
      </c>
      <c r="B551" t="inlineStr">
        <is>
          <t>HM271 .K58 1995</t>
        </is>
      </c>
      <c r="C551" t="inlineStr">
        <is>
          <t>0                      HM 0271000K  58          1995</t>
        </is>
      </c>
      <c r="D551" t="inlineStr">
        <is>
          <t>The war against authority : from the crisis of legitimacy to a new social contract / Nicholas N. Kittrie.</t>
        </is>
      </c>
      <c r="F551" t="inlineStr">
        <is>
          <t>No</t>
        </is>
      </c>
      <c r="G551" t="inlineStr">
        <is>
          <t>1</t>
        </is>
      </c>
      <c r="H551" t="inlineStr">
        <is>
          <t>Yes</t>
        </is>
      </c>
      <c r="I551" t="inlineStr">
        <is>
          <t>No</t>
        </is>
      </c>
      <c r="J551" t="inlineStr">
        <is>
          <t>0</t>
        </is>
      </c>
      <c r="K551" t="inlineStr">
        <is>
          <t>Kittrie, Nicholas N., 1928-</t>
        </is>
      </c>
      <c r="L551" t="inlineStr">
        <is>
          <t>Baltimore : Johns Hopkins University Press, 1995.</t>
        </is>
      </c>
      <c r="M551" t="inlineStr">
        <is>
          <t>1995</t>
        </is>
      </c>
      <c r="O551" t="inlineStr">
        <is>
          <t>eng</t>
        </is>
      </c>
      <c r="P551" t="inlineStr">
        <is>
          <t>mdu</t>
        </is>
      </c>
      <c r="R551" t="inlineStr">
        <is>
          <t xml:space="preserve">HM </t>
        </is>
      </c>
      <c r="S551" t="n">
        <v>1</v>
      </c>
      <c r="T551" t="n">
        <v>1</v>
      </c>
      <c r="U551" t="inlineStr">
        <is>
          <t>2005-02-25</t>
        </is>
      </c>
      <c r="V551" t="inlineStr">
        <is>
          <t>2005-02-25</t>
        </is>
      </c>
      <c r="W551" t="inlineStr">
        <is>
          <t>1996-01-22</t>
        </is>
      </c>
      <c r="X551" t="inlineStr">
        <is>
          <t>1996-11-14</t>
        </is>
      </c>
      <c r="Y551" t="n">
        <v>568</v>
      </c>
      <c r="Z551" t="n">
        <v>499</v>
      </c>
      <c r="AA551" t="n">
        <v>505</v>
      </c>
      <c r="AB551" t="n">
        <v>6</v>
      </c>
      <c r="AC551" t="n">
        <v>6</v>
      </c>
      <c r="AD551" t="n">
        <v>34</v>
      </c>
      <c r="AE551" t="n">
        <v>34</v>
      </c>
      <c r="AF551" t="n">
        <v>8</v>
      </c>
      <c r="AG551" t="n">
        <v>8</v>
      </c>
      <c r="AH551" t="n">
        <v>6</v>
      </c>
      <c r="AI551" t="n">
        <v>6</v>
      </c>
      <c r="AJ551" t="n">
        <v>17</v>
      </c>
      <c r="AK551" t="n">
        <v>17</v>
      </c>
      <c r="AL551" t="n">
        <v>4</v>
      </c>
      <c r="AM551" t="n">
        <v>4</v>
      </c>
      <c r="AN551" t="n">
        <v>8</v>
      </c>
      <c r="AO551" t="n">
        <v>8</v>
      </c>
      <c r="AP551" t="inlineStr">
        <is>
          <t>No</t>
        </is>
      </c>
      <c r="AQ551" t="inlineStr">
        <is>
          <t>No</t>
        </is>
      </c>
      <c r="AS551">
        <f>HYPERLINK("https://creighton-primo.hosted.exlibrisgroup.com/primo-explore/search?tab=default_tab&amp;search_scope=EVERYTHING&amp;vid=01CRU&amp;lang=en_US&amp;offset=0&amp;query=any,contains,991001665319702656","Catalog Record")</f>
        <v/>
      </c>
      <c r="AT551">
        <f>HYPERLINK("http://www.worldcat.org/oclc/31814882","WorldCat Record")</f>
        <v/>
      </c>
      <c r="AU551" t="inlineStr">
        <is>
          <t>837011378:eng</t>
        </is>
      </c>
      <c r="AV551" t="inlineStr">
        <is>
          <t>31814882</t>
        </is>
      </c>
      <c r="AW551" t="inlineStr">
        <is>
          <t>991001665319702656</t>
        </is>
      </c>
      <c r="AX551" t="inlineStr">
        <is>
          <t>991001665319702656</t>
        </is>
      </c>
      <c r="AY551" t="inlineStr">
        <is>
          <t>2256457380002656</t>
        </is>
      </c>
      <c r="AZ551" t="inlineStr">
        <is>
          <t>BOOK</t>
        </is>
      </c>
      <c r="BB551" t="inlineStr">
        <is>
          <t>9780801850509</t>
        </is>
      </c>
      <c r="BC551" t="inlineStr">
        <is>
          <t>32285002125143</t>
        </is>
      </c>
      <c r="BD551" t="inlineStr">
        <is>
          <t>893872693</t>
        </is>
      </c>
    </row>
    <row r="552">
      <c r="A552" t="inlineStr">
        <is>
          <t>No</t>
        </is>
      </c>
      <c r="B552" t="inlineStr">
        <is>
          <t>HM271 .L53 1994</t>
        </is>
      </c>
      <c r="C552" t="inlineStr">
        <is>
          <t>0                      HM 0271000L  53          1994</t>
        </is>
      </c>
      <c r="D552" t="inlineStr">
        <is>
          <t>Authority : construction and corrosion / Bruce Lincoln.</t>
        </is>
      </c>
      <c r="F552" t="inlineStr">
        <is>
          <t>No</t>
        </is>
      </c>
      <c r="G552" t="inlineStr">
        <is>
          <t>1</t>
        </is>
      </c>
      <c r="H552" t="inlineStr">
        <is>
          <t>No</t>
        </is>
      </c>
      <c r="I552" t="inlineStr">
        <is>
          <t>No</t>
        </is>
      </c>
      <c r="J552" t="inlineStr">
        <is>
          <t>0</t>
        </is>
      </c>
      <c r="K552" t="inlineStr">
        <is>
          <t>Lincoln, Bruce.</t>
        </is>
      </c>
      <c r="L552" t="inlineStr">
        <is>
          <t>Chicago : University of Chicago Press, 1994.</t>
        </is>
      </c>
      <c r="M552" t="inlineStr">
        <is>
          <t>1994</t>
        </is>
      </c>
      <c r="O552" t="inlineStr">
        <is>
          <t>eng</t>
        </is>
      </c>
      <c r="P552" t="inlineStr">
        <is>
          <t>ilu</t>
        </is>
      </c>
      <c r="R552" t="inlineStr">
        <is>
          <t xml:space="preserve">HM </t>
        </is>
      </c>
      <c r="S552" t="n">
        <v>2</v>
      </c>
      <c r="T552" t="n">
        <v>2</v>
      </c>
      <c r="U552" t="inlineStr">
        <is>
          <t>1999-10-20</t>
        </is>
      </c>
      <c r="V552" t="inlineStr">
        <is>
          <t>1999-10-20</t>
        </is>
      </c>
      <c r="W552" t="inlineStr">
        <is>
          <t>1995-03-21</t>
        </is>
      </c>
      <c r="X552" t="inlineStr">
        <is>
          <t>1995-03-21</t>
        </is>
      </c>
      <c r="Y552" t="n">
        <v>404</v>
      </c>
      <c r="Z552" t="n">
        <v>321</v>
      </c>
      <c r="AA552" t="n">
        <v>342</v>
      </c>
      <c r="AB552" t="n">
        <v>4</v>
      </c>
      <c r="AC552" t="n">
        <v>4</v>
      </c>
      <c r="AD552" t="n">
        <v>21</v>
      </c>
      <c r="AE552" t="n">
        <v>22</v>
      </c>
      <c r="AF552" t="n">
        <v>7</v>
      </c>
      <c r="AG552" t="n">
        <v>8</v>
      </c>
      <c r="AH552" t="n">
        <v>5</v>
      </c>
      <c r="AI552" t="n">
        <v>6</v>
      </c>
      <c r="AJ552" t="n">
        <v>9</v>
      </c>
      <c r="AK552" t="n">
        <v>9</v>
      </c>
      <c r="AL552" t="n">
        <v>3</v>
      </c>
      <c r="AM552" t="n">
        <v>3</v>
      </c>
      <c r="AN552" t="n">
        <v>3</v>
      </c>
      <c r="AO552" t="n">
        <v>3</v>
      </c>
      <c r="AP552" t="inlineStr">
        <is>
          <t>No</t>
        </is>
      </c>
      <c r="AQ552" t="inlineStr">
        <is>
          <t>No</t>
        </is>
      </c>
      <c r="AS552">
        <f>HYPERLINK("https://creighton-primo.hosted.exlibrisgroup.com/primo-explore/search?tab=default_tab&amp;search_scope=EVERYTHING&amp;vid=01CRU&amp;lang=en_US&amp;offset=0&amp;query=any,contains,991005419019702656","Catalog Record")</f>
        <v/>
      </c>
      <c r="AT552">
        <f>HYPERLINK("http://www.worldcat.org/oclc/30475076","WorldCat Record")</f>
        <v/>
      </c>
      <c r="AU552" t="inlineStr">
        <is>
          <t>9381014241:eng</t>
        </is>
      </c>
      <c r="AV552" t="inlineStr">
        <is>
          <t>30475076</t>
        </is>
      </c>
      <c r="AW552" t="inlineStr">
        <is>
          <t>991005419019702656</t>
        </is>
      </c>
      <c r="AX552" t="inlineStr">
        <is>
          <t>991005419019702656</t>
        </is>
      </c>
      <c r="AY552" t="inlineStr">
        <is>
          <t>2263307620002656</t>
        </is>
      </c>
      <c r="AZ552" t="inlineStr">
        <is>
          <t>BOOK</t>
        </is>
      </c>
      <c r="BB552" t="inlineStr">
        <is>
          <t>9780226481975</t>
        </is>
      </c>
      <c r="BC552" t="inlineStr">
        <is>
          <t>32285002003860</t>
        </is>
      </c>
      <c r="BD552" t="inlineStr">
        <is>
          <t>893601189</t>
        </is>
      </c>
    </row>
    <row r="553">
      <c r="A553" t="inlineStr">
        <is>
          <t>No</t>
        </is>
      </c>
      <c r="B553" t="inlineStr">
        <is>
          <t>HM271 .W48 1995</t>
        </is>
      </c>
      <c r="C553" t="inlineStr">
        <is>
          <t>0                      HM 0271000W  48          1995</t>
        </is>
      </c>
      <c r="D553" t="inlineStr">
        <is>
          <t>Who can speak? : authority and critical identity / edited by Judith Roof and Robyn Wiegman.</t>
        </is>
      </c>
      <c r="F553" t="inlineStr">
        <is>
          <t>No</t>
        </is>
      </c>
      <c r="G553" t="inlineStr">
        <is>
          <t>1</t>
        </is>
      </c>
      <c r="H553" t="inlineStr">
        <is>
          <t>No</t>
        </is>
      </c>
      <c r="I553" t="inlineStr">
        <is>
          <t>No</t>
        </is>
      </c>
      <c r="J553" t="inlineStr">
        <is>
          <t>0</t>
        </is>
      </c>
      <c r="L553" t="inlineStr">
        <is>
          <t>Urbana : University of Illinois Press, c1995.</t>
        </is>
      </c>
      <c r="M553" t="inlineStr">
        <is>
          <t>1995</t>
        </is>
      </c>
      <c r="O553" t="inlineStr">
        <is>
          <t>eng</t>
        </is>
      </c>
      <c r="P553" t="inlineStr">
        <is>
          <t>ilu</t>
        </is>
      </c>
      <c r="R553" t="inlineStr">
        <is>
          <t xml:space="preserve">HM </t>
        </is>
      </c>
      <c r="S553" t="n">
        <v>1</v>
      </c>
      <c r="T553" t="n">
        <v>1</v>
      </c>
      <c r="U553" t="inlineStr">
        <is>
          <t>2002-03-27</t>
        </is>
      </c>
      <c r="V553" t="inlineStr">
        <is>
          <t>2002-03-27</t>
        </is>
      </c>
      <c r="W553" t="inlineStr">
        <is>
          <t>1996-06-13</t>
        </is>
      </c>
      <c r="X553" t="inlineStr">
        <is>
          <t>1996-06-13</t>
        </is>
      </c>
      <c r="Y553" t="n">
        <v>433</v>
      </c>
      <c r="Z553" t="n">
        <v>345</v>
      </c>
      <c r="AA553" t="n">
        <v>353</v>
      </c>
      <c r="AB553" t="n">
        <v>3</v>
      </c>
      <c r="AC553" t="n">
        <v>3</v>
      </c>
      <c r="AD553" t="n">
        <v>23</v>
      </c>
      <c r="AE553" t="n">
        <v>23</v>
      </c>
      <c r="AF553" t="n">
        <v>8</v>
      </c>
      <c r="AG553" t="n">
        <v>8</v>
      </c>
      <c r="AH553" t="n">
        <v>6</v>
      </c>
      <c r="AI553" t="n">
        <v>6</v>
      </c>
      <c r="AJ553" t="n">
        <v>15</v>
      </c>
      <c r="AK553" t="n">
        <v>15</v>
      </c>
      <c r="AL553" t="n">
        <v>2</v>
      </c>
      <c r="AM553" t="n">
        <v>2</v>
      </c>
      <c r="AN553" t="n">
        <v>0</v>
      </c>
      <c r="AO553" t="n">
        <v>0</v>
      </c>
      <c r="AP553" t="inlineStr">
        <is>
          <t>No</t>
        </is>
      </c>
      <c r="AQ553" t="inlineStr">
        <is>
          <t>Yes</t>
        </is>
      </c>
      <c r="AR553">
        <f>HYPERLINK("http://catalog.hathitrust.org/Record/003020962","HathiTrust Record")</f>
        <v/>
      </c>
      <c r="AS553">
        <f>HYPERLINK("https://creighton-primo.hosted.exlibrisgroup.com/primo-explore/search?tab=default_tab&amp;search_scope=EVERYTHING&amp;vid=01CRU&amp;lang=en_US&amp;offset=0&amp;query=any,contains,991002454159702656","Catalog Record")</f>
        <v/>
      </c>
      <c r="AT553">
        <f>HYPERLINK("http://www.worldcat.org/oclc/32012486","WorldCat Record")</f>
        <v/>
      </c>
      <c r="AU553" t="inlineStr">
        <is>
          <t>473971707:eng</t>
        </is>
      </c>
      <c r="AV553" t="inlineStr">
        <is>
          <t>32012486</t>
        </is>
      </c>
      <c r="AW553" t="inlineStr">
        <is>
          <t>991002454159702656</t>
        </is>
      </c>
      <c r="AX553" t="inlineStr">
        <is>
          <t>991002454159702656</t>
        </is>
      </c>
      <c r="AY553" t="inlineStr">
        <is>
          <t>2256221930002656</t>
        </is>
      </c>
      <c r="AZ553" t="inlineStr">
        <is>
          <t>BOOK</t>
        </is>
      </c>
      <c r="BB553" t="inlineStr">
        <is>
          <t>9780252021916</t>
        </is>
      </c>
      <c r="BC553" t="inlineStr">
        <is>
          <t>32285002192812</t>
        </is>
      </c>
      <c r="BD553" t="inlineStr">
        <is>
          <t>893616134</t>
        </is>
      </c>
    </row>
    <row r="554">
      <c r="A554" t="inlineStr">
        <is>
          <t>No</t>
        </is>
      </c>
      <c r="B554" t="inlineStr">
        <is>
          <t>HM276 .G58 1950</t>
        </is>
      </c>
      <c r="C554" t="inlineStr">
        <is>
          <t>0                      HM 0276000G  58          1950</t>
        </is>
      </c>
      <c r="D554" t="inlineStr">
        <is>
          <t>From wealth to welfare : the evolution of liberalism.</t>
        </is>
      </c>
      <c r="F554" t="inlineStr">
        <is>
          <t>No</t>
        </is>
      </c>
      <c r="G554" t="inlineStr">
        <is>
          <t>1</t>
        </is>
      </c>
      <c r="H554" t="inlineStr">
        <is>
          <t>No</t>
        </is>
      </c>
      <c r="I554" t="inlineStr">
        <is>
          <t>No</t>
        </is>
      </c>
      <c r="J554" t="inlineStr">
        <is>
          <t>0</t>
        </is>
      </c>
      <c r="K554" t="inlineStr">
        <is>
          <t>Girvetz, Harry K., 1910-1974.</t>
        </is>
      </c>
      <c r="L554" t="inlineStr">
        <is>
          <t>Stanford : Stanford University Press, [1950]</t>
        </is>
      </c>
      <c r="M554" t="inlineStr">
        <is>
          <t>1950</t>
        </is>
      </c>
      <c r="O554" t="inlineStr">
        <is>
          <t>eng</t>
        </is>
      </c>
      <c r="P554" t="inlineStr">
        <is>
          <t>cau</t>
        </is>
      </c>
      <c r="R554" t="inlineStr">
        <is>
          <t xml:space="preserve">HM </t>
        </is>
      </c>
      <c r="S554" t="n">
        <v>3</v>
      </c>
      <c r="T554" t="n">
        <v>3</v>
      </c>
      <c r="U554" t="inlineStr">
        <is>
          <t>2002-11-11</t>
        </is>
      </c>
      <c r="V554" t="inlineStr">
        <is>
          <t>2002-11-11</t>
        </is>
      </c>
      <c r="W554" t="inlineStr">
        <is>
          <t>1993-09-18</t>
        </is>
      </c>
      <c r="X554" t="inlineStr">
        <is>
          <t>1993-09-18</t>
        </is>
      </c>
      <c r="Y554" t="n">
        <v>350</v>
      </c>
      <c r="Z554" t="n">
        <v>299</v>
      </c>
      <c r="AA554" t="n">
        <v>305</v>
      </c>
      <c r="AB554" t="n">
        <v>4</v>
      </c>
      <c r="AC554" t="n">
        <v>4</v>
      </c>
      <c r="AD554" t="n">
        <v>13</v>
      </c>
      <c r="AE554" t="n">
        <v>13</v>
      </c>
      <c r="AF554" t="n">
        <v>2</v>
      </c>
      <c r="AG554" t="n">
        <v>2</v>
      </c>
      <c r="AH554" t="n">
        <v>2</v>
      </c>
      <c r="AI554" t="n">
        <v>2</v>
      </c>
      <c r="AJ554" t="n">
        <v>7</v>
      </c>
      <c r="AK554" t="n">
        <v>7</v>
      </c>
      <c r="AL554" t="n">
        <v>3</v>
      </c>
      <c r="AM554" t="n">
        <v>3</v>
      </c>
      <c r="AN554" t="n">
        <v>0</v>
      </c>
      <c r="AO554" t="n">
        <v>0</v>
      </c>
      <c r="AP554" t="inlineStr">
        <is>
          <t>Yes</t>
        </is>
      </c>
      <c r="AQ554" t="inlineStr">
        <is>
          <t>No</t>
        </is>
      </c>
      <c r="AR554">
        <f>HYPERLINK("http://catalog.hathitrust.org/Record/000965275","HathiTrust Record")</f>
        <v/>
      </c>
      <c r="AS554">
        <f>HYPERLINK("https://creighton-primo.hosted.exlibrisgroup.com/primo-explore/search?tab=default_tab&amp;search_scope=EVERYTHING&amp;vid=01CRU&amp;lang=en_US&amp;offset=0&amp;query=any,contains,991003778149702656","Catalog Record")</f>
        <v/>
      </c>
      <c r="AT554">
        <f>HYPERLINK("http://www.worldcat.org/oclc/1488494","WorldCat Record")</f>
        <v/>
      </c>
      <c r="AU554" t="inlineStr">
        <is>
          <t>196730634:eng</t>
        </is>
      </c>
      <c r="AV554" t="inlineStr">
        <is>
          <t>1488494</t>
        </is>
      </c>
      <c r="AW554" t="inlineStr">
        <is>
          <t>991003778149702656</t>
        </is>
      </c>
      <c r="AX554" t="inlineStr">
        <is>
          <t>991003778149702656</t>
        </is>
      </c>
      <c r="AY554" t="inlineStr">
        <is>
          <t>2257273570002656</t>
        </is>
      </c>
      <c r="AZ554" t="inlineStr">
        <is>
          <t>BOOK</t>
        </is>
      </c>
      <c r="BC554" t="inlineStr">
        <is>
          <t>32285001770550</t>
        </is>
      </c>
      <c r="BD554" t="inlineStr">
        <is>
          <t>893228463</t>
        </is>
      </c>
    </row>
    <row r="555">
      <c r="A555" t="inlineStr">
        <is>
          <t>No</t>
        </is>
      </c>
      <c r="B555" t="inlineStr">
        <is>
          <t>HM276 .K96 1991</t>
        </is>
      </c>
      <c r="C555" t="inlineStr">
        <is>
          <t>0                      HM 0276000K  96          1991</t>
        </is>
      </c>
      <c r="D555" t="inlineStr">
        <is>
          <t>Liberalism, community, and culture / Will Kymlicka.</t>
        </is>
      </c>
      <c r="F555" t="inlineStr">
        <is>
          <t>No</t>
        </is>
      </c>
      <c r="G555" t="inlineStr">
        <is>
          <t>1</t>
        </is>
      </c>
      <c r="H555" t="inlineStr">
        <is>
          <t>No</t>
        </is>
      </c>
      <c r="I555" t="inlineStr">
        <is>
          <t>No</t>
        </is>
      </c>
      <c r="J555" t="inlineStr">
        <is>
          <t>0</t>
        </is>
      </c>
      <c r="K555" t="inlineStr">
        <is>
          <t>Kymlicka, Will.</t>
        </is>
      </c>
      <c r="L555" t="inlineStr">
        <is>
          <t>Oxford [Eng.] : Clarendon Press ; New York : Oxford University Press, 1991, c1989.</t>
        </is>
      </c>
      <c r="M555" t="inlineStr">
        <is>
          <t>1991</t>
        </is>
      </c>
      <c r="O555" t="inlineStr">
        <is>
          <t>eng</t>
        </is>
      </c>
      <c r="P555" t="inlineStr">
        <is>
          <t>enk</t>
        </is>
      </c>
      <c r="Q555" t="inlineStr">
        <is>
          <t>Clarendon paperbacks</t>
        </is>
      </c>
      <c r="R555" t="inlineStr">
        <is>
          <t xml:space="preserve">HM </t>
        </is>
      </c>
      <c r="S555" t="n">
        <v>13</v>
      </c>
      <c r="T555" t="n">
        <v>13</v>
      </c>
      <c r="U555" t="inlineStr">
        <is>
          <t>2008-03-07</t>
        </is>
      </c>
      <c r="V555" t="inlineStr">
        <is>
          <t>2008-03-07</t>
        </is>
      </c>
      <c r="W555" t="inlineStr">
        <is>
          <t>1994-05-06</t>
        </is>
      </c>
      <c r="X555" t="inlineStr">
        <is>
          <t>1994-05-06</t>
        </is>
      </c>
      <c r="Y555" t="n">
        <v>233</v>
      </c>
      <c r="Z555" t="n">
        <v>142</v>
      </c>
      <c r="AA555" t="n">
        <v>473</v>
      </c>
      <c r="AB555" t="n">
        <v>3</v>
      </c>
      <c r="AC555" t="n">
        <v>5</v>
      </c>
      <c r="AD555" t="n">
        <v>11</v>
      </c>
      <c r="AE555" t="n">
        <v>34</v>
      </c>
      <c r="AF555" t="n">
        <v>4</v>
      </c>
      <c r="AG555" t="n">
        <v>14</v>
      </c>
      <c r="AH555" t="n">
        <v>2</v>
      </c>
      <c r="AI555" t="n">
        <v>6</v>
      </c>
      <c r="AJ555" t="n">
        <v>3</v>
      </c>
      <c r="AK555" t="n">
        <v>16</v>
      </c>
      <c r="AL555" t="n">
        <v>2</v>
      </c>
      <c r="AM555" t="n">
        <v>4</v>
      </c>
      <c r="AN555" t="n">
        <v>1</v>
      </c>
      <c r="AO555" t="n">
        <v>2</v>
      </c>
      <c r="AP555" t="inlineStr">
        <is>
          <t>No</t>
        </is>
      </c>
      <c r="AQ555" t="inlineStr">
        <is>
          <t>No</t>
        </is>
      </c>
      <c r="AS555">
        <f>HYPERLINK("https://creighton-primo.hosted.exlibrisgroup.com/primo-explore/search?tab=default_tab&amp;search_scope=EVERYTHING&amp;vid=01CRU&amp;lang=en_US&amp;offset=0&amp;query=any,contains,991005413639702656","Catalog Record")</f>
        <v/>
      </c>
      <c r="AT555">
        <f>HYPERLINK("http://www.worldcat.org/oclc/23873108","WorldCat Record")</f>
        <v/>
      </c>
      <c r="AU555" t="inlineStr">
        <is>
          <t>843582:eng</t>
        </is>
      </c>
      <c r="AV555" t="inlineStr">
        <is>
          <t>23873108</t>
        </is>
      </c>
      <c r="AW555" t="inlineStr">
        <is>
          <t>991005413639702656</t>
        </is>
      </c>
      <c r="AX555" t="inlineStr">
        <is>
          <t>991005413639702656</t>
        </is>
      </c>
      <c r="AY555" t="inlineStr">
        <is>
          <t>2265882750002656</t>
        </is>
      </c>
      <c r="AZ555" t="inlineStr">
        <is>
          <t>BOOK</t>
        </is>
      </c>
      <c r="BB555" t="inlineStr">
        <is>
          <t>9780198278719</t>
        </is>
      </c>
      <c r="BC555" t="inlineStr">
        <is>
          <t>32285001879419</t>
        </is>
      </c>
      <c r="BD555" t="inlineStr">
        <is>
          <t>893783645</t>
        </is>
      </c>
    </row>
    <row r="556">
      <c r="A556" t="inlineStr">
        <is>
          <t>No</t>
        </is>
      </c>
      <c r="B556" t="inlineStr">
        <is>
          <t>HM276 .L4643 1994</t>
        </is>
      </c>
      <c r="C556" t="inlineStr">
        <is>
          <t>0                      HM 0276000L  4643        1994</t>
        </is>
      </c>
      <c r="D556" t="inlineStr">
        <is>
          <t>The Liberalism-communitarianism debate : liberty and community values / C.F. Delaney, editor.</t>
        </is>
      </c>
      <c r="F556" t="inlineStr">
        <is>
          <t>No</t>
        </is>
      </c>
      <c r="G556" t="inlineStr">
        <is>
          <t>1</t>
        </is>
      </c>
      <c r="H556" t="inlineStr">
        <is>
          <t>No</t>
        </is>
      </c>
      <c r="I556" t="inlineStr">
        <is>
          <t>No</t>
        </is>
      </c>
      <c r="J556" t="inlineStr">
        <is>
          <t>0</t>
        </is>
      </c>
      <c r="L556" t="inlineStr">
        <is>
          <t>Lanham, Md. : Rowman &amp; Littlefield, c1994.</t>
        </is>
      </c>
      <c r="M556" t="inlineStr">
        <is>
          <t>1994</t>
        </is>
      </c>
      <c r="O556" t="inlineStr">
        <is>
          <t>eng</t>
        </is>
      </c>
      <c r="P556" t="inlineStr">
        <is>
          <t>mdu</t>
        </is>
      </c>
      <c r="Q556" t="inlineStr">
        <is>
          <t>Studies in social and political philosophy</t>
        </is>
      </c>
      <c r="R556" t="inlineStr">
        <is>
          <t xml:space="preserve">HM </t>
        </is>
      </c>
      <c r="S556" t="n">
        <v>11</v>
      </c>
      <c r="T556" t="n">
        <v>11</v>
      </c>
      <c r="U556" t="inlineStr">
        <is>
          <t>2000-08-23</t>
        </is>
      </c>
      <c r="V556" t="inlineStr">
        <is>
          <t>2000-08-23</t>
        </is>
      </c>
      <c r="W556" t="inlineStr">
        <is>
          <t>1996-01-16</t>
        </is>
      </c>
      <c r="X556" t="inlineStr">
        <is>
          <t>1996-01-16</t>
        </is>
      </c>
      <c r="Y556" t="n">
        <v>466</v>
      </c>
      <c r="Z556" t="n">
        <v>380</v>
      </c>
      <c r="AA556" t="n">
        <v>381</v>
      </c>
      <c r="AB556" t="n">
        <v>5</v>
      </c>
      <c r="AC556" t="n">
        <v>5</v>
      </c>
      <c r="AD556" t="n">
        <v>29</v>
      </c>
      <c r="AE556" t="n">
        <v>29</v>
      </c>
      <c r="AF556" t="n">
        <v>11</v>
      </c>
      <c r="AG556" t="n">
        <v>11</v>
      </c>
      <c r="AH556" t="n">
        <v>8</v>
      </c>
      <c r="AI556" t="n">
        <v>8</v>
      </c>
      <c r="AJ556" t="n">
        <v>18</v>
      </c>
      <c r="AK556" t="n">
        <v>18</v>
      </c>
      <c r="AL556" t="n">
        <v>4</v>
      </c>
      <c r="AM556" t="n">
        <v>4</v>
      </c>
      <c r="AN556" t="n">
        <v>1</v>
      </c>
      <c r="AO556" t="n">
        <v>1</v>
      </c>
      <c r="AP556" t="inlineStr">
        <is>
          <t>No</t>
        </is>
      </c>
      <c r="AQ556" t="inlineStr">
        <is>
          <t>No</t>
        </is>
      </c>
      <c r="AS556">
        <f>HYPERLINK("https://creighton-primo.hosted.exlibrisgroup.com/primo-explore/search?tab=default_tab&amp;search_scope=EVERYTHING&amp;vid=01CRU&amp;lang=en_US&amp;offset=0&amp;query=any,contains,991005416549702656","Catalog Record")</f>
        <v/>
      </c>
      <c r="AT556">
        <f>HYPERLINK("http://www.worldcat.org/oclc/27677867","WorldCat Record")</f>
        <v/>
      </c>
      <c r="AU556" t="inlineStr">
        <is>
          <t>836929556:eng</t>
        </is>
      </c>
      <c r="AV556" t="inlineStr">
        <is>
          <t>27677867</t>
        </is>
      </c>
      <c r="AW556" t="inlineStr">
        <is>
          <t>991005416549702656</t>
        </is>
      </c>
      <c r="AX556" t="inlineStr">
        <is>
          <t>991005416549702656</t>
        </is>
      </c>
      <c r="AY556" t="inlineStr">
        <is>
          <t>2262330940002656</t>
        </is>
      </c>
      <c r="AZ556" t="inlineStr">
        <is>
          <t>BOOK</t>
        </is>
      </c>
      <c r="BB556" t="inlineStr">
        <is>
          <t>9780847678631</t>
        </is>
      </c>
      <c r="BC556" t="inlineStr">
        <is>
          <t>32285002116910</t>
        </is>
      </c>
      <c r="BD556" t="inlineStr">
        <is>
          <t>893877508</t>
        </is>
      </c>
    </row>
    <row r="557">
      <c r="A557" t="inlineStr">
        <is>
          <t>No</t>
        </is>
      </c>
      <c r="B557" t="inlineStr">
        <is>
          <t>HM276 .L465 1993b</t>
        </is>
      </c>
      <c r="C557" t="inlineStr">
        <is>
          <t>0                      HM 0276000L  465         1993b</t>
        </is>
      </c>
      <c r="D557" t="inlineStr">
        <is>
          <t>Liberalism, multiculturalism and toleration / edited by John Horton.</t>
        </is>
      </c>
      <c r="F557" t="inlineStr">
        <is>
          <t>No</t>
        </is>
      </c>
      <c r="G557" t="inlineStr">
        <is>
          <t>1</t>
        </is>
      </c>
      <c r="H557" t="inlineStr">
        <is>
          <t>No</t>
        </is>
      </c>
      <c r="I557" t="inlineStr">
        <is>
          <t>No</t>
        </is>
      </c>
      <c r="J557" t="inlineStr">
        <is>
          <t>0</t>
        </is>
      </c>
      <c r="L557" t="inlineStr">
        <is>
          <t>Basingstoke : Macmillan, 1993.</t>
        </is>
      </c>
      <c r="M557" t="inlineStr">
        <is>
          <t>1993</t>
        </is>
      </c>
      <c r="O557" t="inlineStr">
        <is>
          <t>eng</t>
        </is>
      </c>
      <c r="P557" t="inlineStr">
        <is>
          <t>enk</t>
        </is>
      </c>
      <c r="R557" t="inlineStr">
        <is>
          <t xml:space="preserve">HM </t>
        </is>
      </c>
      <c r="S557" t="n">
        <v>8</v>
      </c>
      <c r="T557" t="n">
        <v>8</v>
      </c>
      <c r="U557" t="inlineStr">
        <is>
          <t>2001-12-10</t>
        </is>
      </c>
      <c r="V557" t="inlineStr">
        <is>
          <t>2001-12-10</t>
        </is>
      </c>
      <c r="W557" t="inlineStr">
        <is>
          <t>1994-03-23</t>
        </is>
      </c>
      <c r="X557" t="inlineStr">
        <is>
          <t>1994-03-23</t>
        </is>
      </c>
      <c r="Y557" t="n">
        <v>83</v>
      </c>
      <c r="Z557" t="n">
        <v>17</v>
      </c>
      <c r="AA557" t="n">
        <v>177</v>
      </c>
      <c r="AB557" t="n">
        <v>1</v>
      </c>
      <c r="AC557" t="n">
        <v>2</v>
      </c>
      <c r="AD557" t="n">
        <v>1</v>
      </c>
      <c r="AE557" t="n">
        <v>8</v>
      </c>
      <c r="AF557" t="n">
        <v>0</v>
      </c>
      <c r="AG557" t="n">
        <v>1</v>
      </c>
      <c r="AH557" t="n">
        <v>1</v>
      </c>
      <c r="AI557" t="n">
        <v>4</v>
      </c>
      <c r="AJ557" t="n">
        <v>1</v>
      </c>
      <c r="AK557" t="n">
        <v>5</v>
      </c>
      <c r="AL557" t="n">
        <v>0</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HYPERLINK("https://creighton-primo.hosted.exlibrisgroup.com/primo-explore/search?tab=default_tab&amp;search_scope=EVERYTHING&amp;vid=01CRU&amp;lang=en_US&amp;offset=0&amp;query=any,contains,991002246329702656","Catalog Record")</f>
        <v/>
      </c>
      <c r="AT557">
        <f>HYPERLINK("http://www.worldcat.org/oclc/28965473","WorldCat Record")</f>
        <v/>
      </c>
      <c r="AU557" t="inlineStr">
        <is>
          <t>152326369:eng</t>
        </is>
      </c>
      <c r="AV557" t="inlineStr">
        <is>
          <t>28965473</t>
        </is>
      </c>
      <c r="AW557" t="inlineStr">
        <is>
          <t>991002246329702656</t>
        </is>
      </c>
      <c r="AX557" t="inlineStr">
        <is>
          <t>991002246329702656</t>
        </is>
      </c>
      <c r="AY557" t="inlineStr">
        <is>
          <t>2256756740002656</t>
        </is>
      </c>
      <c r="AZ557" t="inlineStr">
        <is>
          <t>BOOK</t>
        </is>
      </c>
      <c r="BB557" t="inlineStr">
        <is>
          <t>9780333571026</t>
        </is>
      </c>
      <c r="BC557" t="inlineStr">
        <is>
          <t>32285001857894</t>
        </is>
      </c>
      <c r="BD557" t="inlineStr">
        <is>
          <t>893523378</t>
        </is>
      </c>
    </row>
    <row r="558">
      <c r="A558" t="inlineStr">
        <is>
          <t>No</t>
        </is>
      </c>
      <c r="B558" t="inlineStr">
        <is>
          <t>HM276 .R45 1997</t>
        </is>
      </c>
      <c r="C558" t="inlineStr">
        <is>
          <t>0                      HM 0276000R  45          1997</t>
        </is>
      </c>
      <c r="D558" t="inlineStr">
        <is>
          <t>Critical moral liberalism : theory and practice / Jeffrey Reiman.</t>
        </is>
      </c>
      <c r="F558" t="inlineStr">
        <is>
          <t>No</t>
        </is>
      </c>
      <c r="G558" t="inlineStr">
        <is>
          <t>1</t>
        </is>
      </c>
      <c r="H558" t="inlineStr">
        <is>
          <t>No</t>
        </is>
      </c>
      <c r="I558" t="inlineStr">
        <is>
          <t>No</t>
        </is>
      </c>
      <c r="J558" t="inlineStr">
        <is>
          <t>0</t>
        </is>
      </c>
      <c r="K558" t="inlineStr">
        <is>
          <t>Reiman, Jeffrey H.</t>
        </is>
      </c>
      <c r="L558" t="inlineStr">
        <is>
          <t>Lanham, Md. : Rowman &amp; Littlefield Publishers, c1997.</t>
        </is>
      </c>
      <c r="M558" t="inlineStr">
        <is>
          <t>1997</t>
        </is>
      </c>
      <c r="O558" t="inlineStr">
        <is>
          <t>eng</t>
        </is>
      </c>
      <c r="P558" t="inlineStr">
        <is>
          <t>mdu</t>
        </is>
      </c>
      <c r="Q558" t="inlineStr">
        <is>
          <t>Studies in social, political, and legal philosophy</t>
        </is>
      </c>
      <c r="R558" t="inlineStr">
        <is>
          <t xml:space="preserve">HM </t>
        </is>
      </c>
      <c r="S558" t="n">
        <v>3</v>
      </c>
      <c r="T558" t="n">
        <v>3</v>
      </c>
      <c r="U558" t="inlineStr">
        <is>
          <t>2002-10-09</t>
        </is>
      </c>
      <c r="V558" t="inlineStr">
        <is>
          <t>2002-10-09</t>
        </is>
      </c>
      <c r="W558" t="inlineStr">
        <is>
          <t>1997-04-01</t>
        </is>
      </c>
      <c r="X558" t="inlineStr">
        <is>
          <t>1997-04-01</t>
        </is>
      </c>
      <c r="Y558" t="n">
        <v>318</v>
      </c>
      <c r="Z558" t="n">
        <v>255</v>
      </c>
      <c r="AA558" t="n">
        <v>665</v>
      </c>
      <c r="AB558" t="n">
        <v>2</v>
      </c>
      <c r="AC558" t="n">
        <v>3</v>
      </c>
      <c r="AD558" t="n">
        <v>18</v>
      </c>
      <c r="AE558" t="n">
        <v>23</v>
      </c>
      <c r="AF558" t="n">
        <v>8</v>
      </c>
      <c r="AG558" t="n">
        <v>11</v>
      </c>
      <c r="AH558" t="n">
        <v>5</v>
      </c>
      <c r="AI558" t="n">
        <v>5</v>
      </c>
      <c r="AJ558" t="n">
        <v>11</v>
      </c>
      <c r="AK558" t="n">
        <v>12</v>
      </c>
      <c r="AL558" t="n">
        <v>1</v>
      </c>
      <c r="AM558" t="n">
        <v>2</v>
      </c>
      <c r="AN558" t="n">
        <v>1</v>
      </c>
      <c r="AO558" t="n">
        <v>1</v>
      </c>
      <c r="AP558" t="inlineStr">
        <is>
          <t>No</t>
        </is>
      </c>
      <c r="AQ558" t="inlineStr">
        <is>
          <t>No</t>
        </is>
      </c>
      <c r="AS558">
        <f>HYPERLINK("https://creighton-primo.hosted.exlibrisgroup.com/primo-explore/search?tab=default_tab&amp;search_scope=EVERYTHING&amp;vid=01CRU&amp;lang=en_US&amp;offset=0&amp;query=any,contains,991002674149702656","Catalog Record")</f>
        <v/>
      </c>
      <c r="AT558">
        <f>HYPERLINK("http://www.worldcat.org/oclc/34967156","WorldCat Record")</f>
        <v/>
      </c>
      <c r="AU558" t="inlineStr">
        <is>
          <t>891427986:eng</t>
        </is>
      </c>
      <c r="AV558" t="inlineStr">
        <is>
          <t>34967156</t>
        </is>
      </c>
      <c r="AW558" t="inlineStr">
        <is>
          <t>991002674149702656</t>
        </is>
      </c>
      <c r="AX558" t="inlineStr">
        <is>
          <t>991002674149702656</t>
        </is>
      </c>
      <c r="AY558" t="inlineStr">
        <is>
          <t>2260163090002656</t>
        </is>
      </c>
      <c r="AZ558" t="inlineStr">
        <is>
          <t>BOOK</t>
        </is>
      </c>
      <c r="BB558" t="inlineStr">
        <is>
          <t>9780847683130</t>
        </is>
      </c>
      <c r="BC558" t="inlineStr">
        <is>
          <t>32285002477486</t>
        </is>
      </c>
      <c r="BD558" t="inlineStr">
        <is>
          <t>893698090</t>
        </is>
      </c>
    </row>
    <row r="559">
      <c r="A559" t="inlineStr">
        <is>
          <t>No</t>
        </is>
      </c>
      <c r="B559" t="inlineStr">
        <is>
          <t>HM276 .R74</t>
        </is>
      </c>
      <c r="C559" t="inlineStr">
        <is>
          <t>0                      HM 0276000R  74</t>
        </is>
      </c>
      <c r="D559" t="inlineStr">
        <is>
          <t>The history of European liberalism / by Guido de Ruggiero ; translated by R.G. Collingwood.</t>
        </is>
      </c>
      <c r="F559" t="inlineStr">
        <is>
          <t>No</t>
        </is>
      </c>
      <c r="G559" t="inlineStr">
        <is>
          <t>1</t>
        </is>
      </c>
      <c r="H559" t="inlineStr">
        <is>
          <t>No</t>
        </is>
      </c>
      <c r="I559" t="inlineStr">
        <is>
          <t>Yes</t>
        </is>
      </c>
      <c r="J559" t="inlineStr">
        <is>
          <t>0</t>
        </is>
      </c>
      <c r="K559" t="inlineStr">
        <is>
          <t>De Ruggiero, Guido, 1888-1948.</t>
        </is>
      </c>
      <c r="L559" t="inlineStr">
        <is>
          <t>London ; New York : Oxford University Press, 1927.</t>
        </is>
      </c>
      <c r="M559" t="inlineStr">
        <is>
          <t>1927</t>
        </is>
      </c>
      <c r="O559" t="inlineStr">
        <is>
          <t>eng</t>
        </is>
      </c>
      <c r="P559" t="inlineStr">
        <is>
          <t>enk</t>
        </is>
      </c>
      <c r="R559" t="inlineStr">
        <is>
          <t xml:space="preserve">HM </t>
        </is>
      </c>
      <c r="S559" t="n">
        <v>3</v>
      </c>
      <c r="T559" t="n">
        <v>3</v>
      </c>
      <c r="U559" t="inlineStr">
        <is>
          <t>1998-11-23</t>
        </is>
      </c>
      <c r="V559" t="inlineStr">
        <is>
          <t>1998-11-23</t>
        </is>
      </c>
      <c r="W559" t="inlineStr">
        <is>
          <t>1997-02-05</t>
        </is>
      </c>
      <c r="X559" t="inlineStr">
        <is>
          <t>1997-02-05</t>
        </is>
      </c>
      <c r="Y559" t="n">
        <v>265</v>
      </c>
      <c r="Z559" t="n">
        <v>203</v>
      </c>
      <c r="AA559" t="n">
        <v>821</v>
      </c>
      <c r="AB559" t="n">
        <v>3</v>
      </c>
      <c r="AC559" t="n">
        <v>6</v>
      </c>
      <c r="AD559" t="n">
        <v>11</v>
      </c>
      <c r="AE559" t="n">
        <v>39</v>
      </c>
      <c r="AF559" t="n">
        <v>2</v>
      </c>
      <c r="AG559" t="n">
        <v>14</v>
      </c>
      <c r="AH559" t="n">
        <v>3</v>
      </c>
      <c r="AI559" t="n">
        <v>8</v>
      </c>
      <c r="AJ559" t="n">
        <v>8</v>
      </c>
      <c r="AK559" t="n">
        <v>23</v>
      </c>
      <c r="AL559" t="n">
        <v>2</v>
      </c>
      <c r="AM559" t="n">
        <v>5</v>
      </c>
      <c r="AN559" t="n">
        <v>0</v>
      </c>
      <c r="AO559" t="n">
        <v>0</v>
      </c>
      <c r="AP559" t="inlineStr">
        <is>
          <t>No</t>
        </is>
      </c>
      <c r="AQ559" t="inlineStr">
        <is>
          <t>Yes</t>
        </is>
      </c>
      <c r="AR559">
        <f>HYPERLINK("http://catalog.hathitrust.org/Record/001434015","HathiTrust Record")</f>
        <v/>
      </c>
      <c r="AS559">
        <f>HYPERLINK("https://creighton-primo.hosted.exlibrisgroup.com/primo-explore/search?tab=default_tab&amp;search_scope=EVERYTHING&amp;vid=01CRU&amp;lang=en_US&amp;offset=0&amp;query=any,contains,991000175479702656","Catalog Record")</f>
        <v/>
      </c>
      <c r="AT559">
        <f>HYPERLINK("http://www.worldcat.org/oclc/9344619","WorldCat Record")</f>
        <v/>
      </c>
      <c r="AU559" t="inlineStr">
        <is>
          <t>1425404:eng</t>
        </is>
      </c>
      <c r="AV559" t="inlineStr">
        <is>
          <t>9344619</t>
        </is>
      </c>
      <c r="AW559" t="inlineStr">
        <is>
          <t>991000175479702656</t>
        </is>
      </c>
      <c r="AX559" t="inlineStr">
        <is>
          <t>991000175479702656</t>
        </is>
      </c>
      <c r="AY559" t="inlineStr">
        <is>
          <t>2259023280002656</t>
        </is>
      </c>
      <c r="AZ559" t="inlineStr">
        <is>
          <t>BOOK</t>
        </is>
      </c>
      <c r="BC559" t="inlineStr">
        <is>
          <t>32285002423316</t>
        </is>
      </c>
      <c r="BD559" t="inlineStr">
        <is>
          <t>893515082</t>
        </is>
      </c>
    </row>
    <row r="560">
      <c r="A560" t="inlineStr">
        <is>
          <t>No</t>
        </is>
      </c>
      <c r="B560" t="inlineStr">
        <is>
          <t>HM276 .R74 1959</t>
        </is>
      </c>
      <c r="C560" t="inlineStr">
        <is>
          <t>0                      HM 0276000R  74          1959</t>
        </is>
      </c>
      <c r="D560" t="inlineStr">
        <is>
          <t>The history of European liberalism. Translated by R. G. Collingwood.</t>
        </is>
      </c>
      <c r="F560" t="inlineStr">
        <is>
          <t>No</t>
        </is>
      </c>
      <c r="G560" t="inlineStr">
        <is>
          <t>1</t>
        </is>
      </c>
      <c r="H560" t="inlineStr">
        <is>
          <t>No</t>
        </is>
      </c>
      <c r="I560" t="inlineStr">
        <is>
          <t>Yes</t>
        </is>
      </c>
      <c r="J560" t="inlineStr">
        <is>
          <t>0</t>
        </is>
      </c>
      <c r="K560" t="inlineStr">
        <is>
          <t>De Ruggiero, Guido, 1888-1948.</t>
        </is>
      </c>
      <c r="L560" t="inlineStr">
        <is>
          <t>Boston, Beacon Press [1959]</t>
        </is>
      </c>
      <c r="M560" t="inlineStr">
        <is>
          <t>1959</t>
        </is>
      </c>
      <c r="O560" t="inlineStr">
        <is>
          <t>eng</t>
        </is>
      </c>
      <c r="P560" t="inlineStr">
        <is>
          <t>mau</t>
        </is>
      </c>
      <c r="Q560" t="inlineStr">
        <is>
          <t>Beacon paperback no. 77</t>
        </is>
      </c>
      <c r="R560" t="inlineStr">
        <is>
          <t xml:space="preserve">HM </t>
        </is>
      </c>
      <c r="S560" t="n">
        <v>9</v>
      </c>
      <c r="T560" t="n">
        <v>9</v>
      </c>
      <c r="U560" t="inlineStr">
        <is>
          <t>1999-10-19</t>
        </is>
      </c>
      <c r="V560" t="inlineStr">
        <is>
          <t>1999-10-19</t>
        </is>
      </c>
      <c r="W560" t="inlineStr">
        <is>
          <t>1997-08-04</t>
        </is>
      </c>
      <c r="X560" t="inlineStr">
        <is>
          <t>1997-08-04</t>
        </is>
      </c>
      <c r="Y560" t="n">
        <v>727</v>
      </c>
      <c r="Z560" t="n">
        <v>595</v>
      </c>
      <c r="AA560" t="n">
        <v>821</v>
      </c>
      <c r="AB560" t="n">
        <v>5</v>
      </c>
      <c r="AC560" t="n">
        <v>6</v>
      </c>
      <c r="AD560" t="n">
        <v>33</v>
      </c>
      <c r="AE560" t="n">
        <v>39</v>
      </c>
      <c r="AF560" t="n">
        <v>12</v>
      </c>
      <c r="AG560" t="n">
        <v>14</v>
      </c>
      <c r="AH560" t="n">
        <v>7</v>
      </c>
      <c r="AI560" t="n">
        <v>8</v>
      </c>
      <c r="AJ560" t="n">
        <v>19</v>
      </c>
      <c r="AK560" t="n">
        <v>23</v>
      </c>
      <c r="AL560" t="n">
        <v>4</v>
      </c>
      <c r="AM560" t="n">
        <v>5</v>
      </c>
      <c r="AN560" t="n">
        <v>0</v>
      </c>
      <c r="AO560" t="n">
        <v>0</v>
      </c>
      <c r="AP560" t="inlineStr">
        <is>
          <t>No</t>
        </is>
      </c>
      <c r="AQ560" t="inlineStr">
        <is>
          <t>Yes</t>
        </is>
      </c>
      <c r="AR560">
        <f>HYPERLINK("http://catalog.hathitrust.org/Record/001434016","HathiTrust Record")</f>
        <v/>
      </c>
      <c r="AS560">
        <f>HYPERLINK("https://creighton-primo.hosted.exlibrisgroup.com/primo-explore/search?tab=default_tab&amp;search_scope=EVERYTHING&amp;vid=01CRU&amp;lang=en_US&amp;offset=0&amp;query=any,contains,991002186899702656","Catalog Record")</f>
        <v/>
      </c>
      <c r="AT560">
        <f>HYPERLINK("http://www.worldcat.org/oclc/280112","WorldCat Record")</f>
        <v/>
      </c>
      <c r="AU560" t="inlineStr">
        <is>
          <t>1425404:eng</t>
        </is>
      </c>
      <c r="AV560" t="inlineStr">
        <is>
          <t>280112</t>
        </is>
      </c>
      <c r="AW560" t="inlineStr">
        <is>
          <t>991002186899702656</t>
        </is>
      </c>
      <c r="AX560" t="inlineStr">
        <is>
          <t>991002186899702656</t>
        </is>
      </c>
      <c r="AY560" t="inlineStr">
        <is>
          <t>2265269680002656</t>
        </is>
      </c>
      <c r="AZ560" t="inlineStr">
        <is>
          <t>BOOK</t>
        </is>
      </c>
      <c r="BC560" t="inlineStr">
        <is>
          <t>32285003019352</t>
        </is>
      </c>
      <c r="BD560" t="inlineStr">
        <is>
          <t>893779511</t>
        </is>
      </c>
    </row>
    <row r="561">
      <c r="A561" t="inlineStr">
        <is>
          <t>No</t>
        </is>
      </c>
      <c r="B561" t="inlineStr">
        <is>
          <t>HM276 .S44 1996</t>
        </is>
      </c>
      <c r="C561" t="inlineStr">
        <is>
          <t>0                      HM 0276000S  44          1996</t>
        </is>
      </c>
      <c r="D561" t="inlineStr">
        <is>
          <t>Between cultures : developing self-identity in a world of diversity / H. Ned Seelye and Jacqueline Howell Wasilewski.</t>
        </is>
      </c>
      <c r="F561" t="inlineStr">
        <is>
          <t>No</t>
        </is>
      </c>
      <c r="G561" t="inlineStr">
        <is>
          <t>1</t>
        </is>
      </c>
      <c r="H561" t="inlineStr">
        <is>
          <t>No</t>
        </is>
      </c>
      <c r="I561" t="inlineStr">
        <is>
          <t>No</t>
        </is>
      </c>
      <c r="J561" t="inlineStr">
        <is>
          <t>0</t>
        </is>
      </c>
      <c r="K561" t="inlineStr">
        <is>
          <t>Seelye, H. Ned.</t>
        </is>
      </c>
      <c r="L561" t="inlineStr">
        <is>
          <t>Lincolnwood, Ill. : NTC Pub. Co., c1996.</t>
        </is>
      </c>
      <c r="M561" t="inlineStr">
        <is>
          <t>1996</t>
        </is>
      </c>
      <c r="O561" t="inlineStr">
        <is>
          <t>eng</t>
        </is>
      </c>
      <c r="P561" t="inlineStr">
        <is>
          <t>ilu</t>
        </is>
      </c>
      <c r="R561" t="inlineStr">
        <is>
          <t xml:space="preserve">HM </t>
        </is>
      </c>
      <c r="S561" t="n">
        <v>3</v>
      </c>
      <c r="T561" t="n">
        <v>3</v>
      </c>
      <c r="U561" t="inlineStr">
        <is>
          <t>1998-07-08</t>
        </is>
      </c>
      <c r="V561" t="inlineStr">
        <is>
          <t>1998-07-08</t>
        </is>
      </c>
      <c r="W561" t="inlineStr">
        <is>
          <t>1996-09-23</t>
        </is>
      </c>
      <c r="X561" t="inlineStr">
        <is>
          <t>1996-09-23</t>
        </is>
      </c>
      <c r="Y561" t="n">
        <v>304</v>
      </c>
      <c r="Z561" t="n">
        <v>247</v>
      </c>
      <c r="AA561" t="n">
        <v>794</v>
      </c>
      <c r="AB561" t="n">
        <v>3</v>
      </c>
      <c r="AC561" t="n">
        <v>6</v>
      </c>
      <c r="AD561" t="n">
        <v>7</v>
      </c>
      <c r="AE561" t="n">
        <v>22</v>
      </c>
      <c r="AF561" t="n">
        <v>1</v>
      </c>
      <c r="AG561" t="n">
        <v>10</v>
      </c>
      <c r="AH561" t="n">
        <v>1</v>
      </c>
      <c r="AI561" t="n">
        <v>2</v>
      </c>
      <c r="AJ561" t="n">
        <v>3</v>
      </c>
      <c r="AK561" t="n">
        <v>7</v>
      </c>
      <c r="AL561" t="n">
        <v>2</v>
      </c>
      <c r="AM561" t="n">
        <v>5</v>
      </c>
      <c r="AN561" t="n">
        <v>0</v>
      </c>
      <c r="AO561" t="n">
        <v>0</v>
      </c>
      <c r="AP561" t="inlineStr">
        <is>
          <t>No</t>
        </is>
      </c>
      <c r="AQ561" t="inlineStr">
        <is>
          <t>Yes</t>
        </is>
      </c>
      <c r="AR561">
        <f>HYPERLINK("http://catalog.hathitrust.org/Record/009925103","HathiTrust Record")</f>
        <v/>
      </c>
      <c r="AS561">
        <f>HYPERLINK("https://creighton-primo.hosted.exlibrisgroup.com/primo-explore/search?tab=default_tab&amp;search_scope=EVERYTHING&amp;vid=01CRU&amp;lang=en_US&amp;offset=0&amp;query=any,contains,991002543199702656","Catalog Record")</f>
        <v/>
      </c>
      <c r="AT561">
        <f>HYPERLINK("http://www.worldcat.org/oclc/33046949","WorldCat Record")</f>
        <v/>
      </c>
      <c r="AU561" t="inlineStr">
        <is>
          <t>797071484:eng</t>
        </is>
      </c>
      <c r="AV561" t="inlineStr">
        <is>
          <t>33046949</t>
        </is>
      </c>
      <c r="AW561" t="inlineStr">
        <is>
          <t>991002543199702656</t>
        </is>
      </c>
      <c r="AX561" t="inlineStr">
        <is>
          <t>991002543199702656</t>
        </is>
      </c>
      <c r="AY561" t="inlineStr">
        <is>
          <t>2266220690002656</t>
        </is>
      </c>
      <c r="AZ561" t="inlineStr">
        <is>
          <t>BOOK</t>
        </is>
      </c>
      <c r="BB561" t="inlineStr">
        <is>
          <t>9780844233055</t>
        </is>
      </c>
      <c r="BC561" t="inlineStr">
        <is>
          <t>32285002318326</t>
        </is>
      </c>
      <c r="BD561" t="inlineStr">
        <is>
          <t>893792587</t>
        </is>
      </c>
    </row>
    <row r="562">
      <c r="A562" t="inlineStr">
        <is>
          <t>No</t>
        </is>
      </c>
      <c r="B562" t="inlineStr">
        <is>
          <t>HM276 .T49 1998</t>
        </is>
      </c>
      <c r="C562" t="inlineStr">
        <is>
          <t>0                      HM 0276000T  49          1998</t>
        </is>
      </c>
      <c r="D562" t="inlineStr">
        <is>
          <t>Theorizing multiculturalism : a guide to the current debate / edited by Cynthia Willett.</t>
        </is>
      </c>
      <c r="F562" t="inlineStr">
        <is>
          <t>No</t>
        </is>
      </c>
      <c r="G562" t="inlineStr">
        <is>
          <t>1</t>
        </is>
      </c>
      <c r="H562" t="inlineStr">
        <is>
          <t>No</t>
        </is>
      </c>
      <c r="I562" t="inlineStr">
        <is>
          <t>No</t>
        </is>
      </c>
      <c r="J562" t="inlineStr">
        <is>
          <t>0</t>
        </is>
      </c>
      <c r="L562" t="inlineStr">
        <is>
          <t>Malden, Mass. : Blackwell, 1998.</t>
        </is>
      </c>
      <c r="M562" t="inlineStr">
        <is>
          <t>1998</t>
        </is>
      </c>
      <c r="O562" t="inlineStr">
        <is>
          <t>eng</t>
        </is>
      </c>
      <c r="P562" t="inlineStr">
        <is>
          <t>mau</t>
        </is>
      </c>
      <c r="R562" t="inlineStr">
        <is>
          <t xml:space="preserve">HM </t>
        </is>
      </c>
      <c r="S562" t="n">
        <v>6</v>
      </c>
      <c r="T562" t="n">
        <v>6</v>
      </c>
      <c r="U562" t="inlineStr">
        <is>
          <t>2003-10-01</t>
        </is>
      </c>
      <c r="V562" t="inlineStr">
        <is>
          <t>2003-10-01</t>
        </is>
      </c>
      <c r="W562" t="inlineStr">
        <is>
          <t>1998-07-09</t>
        </is>
      </c>
      <c r="X562" t="inlineStr">
        <is>
          <t>1998-07-09</t>
        </is>
      </c>
      <c r="Y562" t="n">
        <v>462</v>
      </c>
      <c r="Z562" t="n">
        <v>269</v>
      </c>
      <c r="AA562" t="n">
        <v>273</v>
      </c>
      <c r="AB562" t="n">
        <v>3</v>
      </c>
      <c r="AC562" t="n">
        <v>3</v>
      </c>
      <c r="AD562" t="n">
        <v>18</v>
      </c>
      <c r="AE562" t="n">
        <v>18</v>
      </c>
      <c r="AF562" t="n">
        <v>4</v>
      </c>
      <c r="AG562" t="n">
        <v>4</v>
      </c>
      <c r="AH562" t="n">
        <v>5</v>
      </c>
      <c r="AI562" t="n">
        <v>5</v>
      </c>
      <c r="AJ562" t="n">
        <v>12</v>
      </c>
      <c r="AK562" t="n">
        <v>12</v>
      </c>
      <c r="AL562" t="n">
        <v>2</v>
      </c>
      <c r="AM562" t="n">
        <v>2</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HYPERLINK("https://creighton-primo.hosted.exlibrisgroup.com/primo-explore/search?tab=default_tab&amp;search_scope=EVERYTHING&amp;vid=01CRU&amp;lang=en_US&amp;offset=0&amp;query=any,contains,991002849459702656","Catalog Record")</f>
        <v/>
      </c>
      <c r="AT562">
        <f>HYPERLINK("http://www.worldcat.org/oclc/37546851","WorldCat Record")</f>
        <v/>
      </c>
      <c r="AU562" t="inlineStr">
        <is>
          <t>836995892:eng</t>
        </is>
      </c>
      <c r="AV562" t="inlineStr">
        <is>
          <t>37546851</t>
        </is>
      </c>
      <c r="AW562" t="inlineStr">
        <is>
          <t>991002849459702656</t>
        </is>
      </c>
      <c r="AX562" t="inlineStr">
        <is>
          <t>991002849459702656</t>
        </is>
      </c>
      <c r="AY562" t="inlineStr">
        <is>
          <t>2261372580002656</t>
        </is>
      </c>
      <c r="AZ562" t="inlineStr">
        <is>
          <t>BOOK</t>
        </is>
      </c>
      <c r="BB562" t="inlineStr">
        <is>
          <t>9780631203414</t>
        </is>
      </c>
      <c r="BC562" t="inlineStr">
        <is>
          <t>32285003431136</t>
        </is>
      </c>
      <c r="BD562" t="inlineStr">
        <is>
          <t>893524120</t>
        </is>
      </c>
    </row>
    <row r="563">
      <c r="A563" t="inlineStr">
        <is>
          <t>No</t>
        </is>
      </c>
      <c r="B563" t="inlineStr">
        <is>
          <t>HM276 .T6313 2000</t>
        </is>
      </c>
      <c r="C563" t="inlineStr">
        <is>
          <t>0                      HM 0276000T  6313        2000</t>
        </is>
      </c>
      <c r="D563" t="inlineStr">
        <is>
          <t>Can we live together? : equality and difference / Alain Touraine ; translated by David Macey.</t>
        </is>
      </c>
      <c r="F563" t="inlineStr">
        <is>
          <t>No</t>
        </is>
      </c>
      <c r="G563" t="inlineStr">
        <is>
          <t>1</t>
        </is>
      </c>
      <c r="H563" t="inlineStr">
        <is>
          <t>No</t>
        </is>
      </c>
      <c r="I563" t="inlineStr">
        <is>
          <t>No</t>
        </is>
      </c>
      <c r="J563" t="inlineStr">
        <is>
          <t>0</t>
        </is>
      </c>
      <c r="K563" t="inlineStr">
        <is>
          <t>Touraine, Alain.</t>
        </is>
      </c>
      <c r="L563" t="inlineStr">
        <is>
          <t>Stanford, Calif. : Stanford University Press, 2000.</t>
        </is>
      </c>
      <c r="M563" t="inlineStr">
        <is>
          <t>2000</t>
        </is>
      </c>
      <c r="O563" t="inlineStr">
        <is>
          <t>eng</t>
        </is>
      </c>
      <c r="P563" t="inlineStr">
        <is>
          <t>cau</t>
        </is>
      </c>
      <c r="R563" t="inlineStr">
        <is>
          <t xml:space="preserve">HM </t>
        </is>
      </c>
      <c r="S563" t="n">
        <v>2</v>
      </c>
      <c r="T563" t="n">
        <v>2</v>
      </c>
      <c r="U563" t="inlineStr">
        <is>
          <t>2001-11-13</t>
        </is>
      </c>
      <c r="V563" t="inlineStr">
        <is>
          <t>2001-11-13</t>
        </is>
      </c>
      <c r="W563" t="inlineStr">
        <is>
          <t>2001-01-25</t>
        </is>
      </c>
      <c r="X563" t="inlineStr">
        <is>
          <t>2001-01-25</t>
        </is>
      </c>
      <c r="Y563" t="n">
        <v>292</v>
      </c>
      <c r="Z563" t="n">
        <v>241</v>
      </c>
      <c r="AA563" t="n">
        <v>278</v>
      </c>
      <c r="AB563" t="n">
        <v>2</v>
      </c>
      <c r="AC563" t="n">
        <v>2</v>
      </c>
      <c r="AD563" t="n">
        <v>16</v>
      </c>
      <c r="AE563" t="n">
        <v>16</v>
      </c>
      <c r="AF563" t="n">
        <v>6</v>
      </c>
      <c r="AG563" t="n">
        <v>6</v>
      </c>
      <c r="AH563" t="n">
        <v>3</v>
      </c>
      <c r="AI563" t="n">
        <v>3</v>
      </c>
      <c r="AJ563" t="n">
        <v>10</v>
      </c>
      <c r="AK563" t="n">
        <v>10</v>
      </c>
      <c r="AL563" t="n">
        <v>1</v>
      </c>
      <c r="AM563" t="n">
        <v>1</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HYPERLINK("https://creighton-primo.hosted.exlibrisgroup.com/primo-explore/search?tab=default_tab&amp;search_scope=EVERYTHING&amp;vid=01CRU&amp;lang=en_US&amp;offset=0&amp;query=any,contains,991003330559702656","Catalog Record")</f>
        <v/>
      </c>
      <c r="AT563">
        <f>HYPERLINK("http://www.worldcat.org/oclc/44890361","WorldCat Record")</f>
        <v/>
      </c>
      <c r="AU563" t="inlineStr">
        <is>
          <t>11684669:eng</t>
        </is>
      </c>
      <c r="AV563" t="inlineStr">
        <is>
          <t>44890361</t>
        </is>
      </c>
      <c r="AW563" t="inlineStr">
        <is>
          <t>991003330559702656</t>
        </is>
      </c>
      <c r="AX563" t="inlineStr">
        <is>
          <t>991003330559702656</t>
        </is>
      </c>
      <c r="AY563" t="inlineStr">
        <is>
          <t>2262657650002656</t>
        </is>
      </c>
      <c r="AZ563" t="inlineStr">
        <is>
          <t>BOOK</t>
        </is>
      </c>
      <c r="BB563" t="inlineStr">
        <is>
          <t>9780804740425</t>
        </is>
      </c>
      <c r="BC563" t="inlineStr">
        <is>
          <t>32285004292438</t>
        </is>
      </c>
      <c r="BD563" t="inlineStr">
        <is>
          <t>893422465</t>
        </is>
      </c>
    </row>
    <row r="564">
      <c r="A564" t="inlineStr">
        <is>
          <t>No</t>
        </is>
      </c>
      <c r="B564" t="inlineStr">
        <is>
          <t>HM276 .Z36 1998</t>
        </is>
      </c>
      <c r="C564" t="inlineStr">
        <is>
          <t>0                      HM 0276000Z  36          1998</t>
        </is>
      </c>
      <c r="D564" t="inlineStr">
        <is>
          <t>The German melting-pot : multiculturality in historical perspective / Wolfgang Zank.</t>
        </is>
      </c>
      <c r="F564" t="inlineStr">
        <is>
          <t>No</t>
        </is>
      </c>
      <c r="G564" t="inlineStr">
        <is>
          <t>1</t>
        </is>
      </c>
      <c r="H564" t="inlineStr">
        <is>
          <t>No</t>
        </is>
      </c>
      <c r="I564" t="inlineStr">
        <is>
          <t>No</t>
        </is>
      </c>
      <c r="J564" t="inlineStr">
        <is>
          <t>0</t>
        </is>
      </c>
      <c r="K564" t="inlineStr">
        <is>
          <t>Zank, Wolfgang.</t>
        </is>
      </c>
      <c r="L564" t="inlineStr">
        <is>
          <t>New York : St. Martin's Press, 1998.</t>
        </is>
      </c>
      <c r="M564" t="inlineStr">
        <is>
          <t>1998</t>
        </is>
      </c>
      <c r="O564" t="inlineStr">
        <is>
          <t>eng</t>
        </is>
      </c>
      <c r="P564" t="inlineStr">
        <is>
          <t>nyu</t>
        </is>
      </c>
      <c r="R564" t="inlineStr">
        <is>
          <t xml:space="preserve">HM </t>
        </is>
      </c>
      <c r="S564" t="n">
        <v>2</v>
      </c>
      <c r="T564" t="n">
        <v>2</v>
      </c>
      <c r="U564" t="inlineStr">
        <is>
          <t>2001-01-25</t>
        </is>
      </c>
      <c r="V564" t="inlineStr">
        <is>
          <t>2001-01-25</t>
        </is>
      </c>
      <c r="W564" t="inlineStr">
        <is>
          <t>2001-01-25</t>
        </is>
      </c>
      <c r="X564" t="inlineStr">
        <is>
          <t>2001-01-25</t>
        </is>
      </c>
      <c r="Y564" t="n">
        <v>220</v>
      </c>
      <c r="Z564" t="n">
        <v>182</v>
      </c>
      <c r="AA564" t="n">
        <v>214</v>
      </c>
      <c r="AB564" t="n">
        <v>2</v>
      </c>
      <c r="AC564" t="n">
        <v>2</v>
      </c>
      <c r="AD564" t="n">
        <v>9</v>
      </c>
      <c r="AE564" t="n">
        <v>10</v>
      </c>
      <c r="AF564" t="n">
        <v>2</v>
      </c>
      <c r="AG564" t="n">
        <v>3</v>
      </c>
      <c r="AH564" t="n">
        <v>3</v>
      </c>
      <c r="AI564" t="n">
        <v>3</v>
      </c>
      <c r="AJ564" t="n">
        <v>7</v>
      </c>
      <c r="AK564" t="n">
        <v>8</v>
      </c>
      <c r="AL564" t="n">
        <v>1</v>
      </c>
      <c r="AM564" t="n">
        <v>1</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HYPERLINK("https://creighton-primo.hosted.exlibrisgroup.com/primo-explore/search?tab=default_tab&amp;search_scope=EVERYTHING&amp;vid=01CRU&amp;lang=en_US&amp;offset=0&amp;query=any,contains,991003471109702656","Catalog Record")</f>
        <v/>
      </c>
      <c r="AT564">
        <f>HYPERLINK("http://www.worldcat.org/oclc/37792553","WorldCat Record")</f>
        <v/>
      </c>
      <c r="AU564" t="inlineStr">
        <is>
          <t>837012369:eng</t>
        </is>
      </c>
      <c r="AV564" t="inlineStr">
        <is>
          <t>37792553</t>
        </is>
      </c>
      <c r="AW564" t="inlineStr">
        <is>
          <t>991003471109702656</t>
        </is>
      </c>
      <c r="AX564" t="inlineStr">
        <is>
          <t>991003471109702656</t>
        </is>
      </c>
      <c r="AY564" t="inlineStr">
        <is>
          <t>2267762760002656</t>
        </is>
      </c>
      <c r="AZ564" t="inlineStr">
        <is>
          <t>BOOK</t>
        </is>
      </c>
      <c r="BB564" t="inlineStr">
        <is>
          <t>9780312213039</t>
        </is>
      </c>
      <c r="BC564" t="inlineStr">
        <is>
          <t>32285004292388</t>
        </is>
      </c>
      <c r="BD564" t="inlineStr">
        <is>
          <t>893262755</t>
        </is>
      </c>
    </row>
    <row r="565">
      <c r="A565" t="inlineStr">
        <is>
          <t>No</t>
        </is>
      </c>
      <c r="B565" t="inlineStr">
        <is>
          <t>HM278 .C34</t>
        </is>
      </c>
      <c r="C565" t="inlineStr">
        <is>
          <t>0                      HM 0278000C  34</t>
        </is>
      </c>
      <c r="D565" t="inlineStr">
        <is>
          <t>Neither victims nor executioners / Albert Camus ; preface by Robert Pickens ; [translated by Dwight Macdonald].</t>
        </is>
      </c>
      <c r="F565" t="inlineStr">
        <is>
          <t>No</t>
        </is>
      </c>
      <c r="G565" t="inlineStr">
        <is>
          <t>1</t>
        </is>
      </c>
      <c r="H565" t="inlineStr">
        <is>
          <t>No</t>
        </is>
      </c>
      <c r="I565" t="inlineStr">
        <is>
          <t>No</t>
        </is>
      </c>
      <c r="J565" t="inlineStr">
        <is>
          <t>0</t>
        </is>
      </c>
      <c r="K565" t="inlineStr">
        <is>
          <t>Camus, Albert, 1913-1960.</t>
        </is>
      </c>
      <c r="L565" t="inlineStr">
        <is>
          <t>[United States] : World Without War Publications, 1972.</t>
        </is>
      </c>
      <c r="M565" t="inlineStr">
        <is>
          <t>1972</t>
        </is>
      </c>
      <c r="O565" t="inlineStr">
        <is>
          <t>eng</t>
        </is>
      </c>
      <c r="P565" t="inlineStr">
        <is>
          <t>xxu</t>
        </is>
      </c>
      <c r="R565" t="inlineStr">
        <is>
          <t xml:space="preserve">HM </t>
        </is>
      </c>
      <c r="S565" t="n">
        <v>2</v>
      </c>
      <c r="T565" t="n">
        <v>2</v>
      </c>
      <c r="U565" t="inlineStr">
        <is>
          <t>1995-04-13</t>
        </is>
      </c>
      <c r="V565" t="inlineStr">
        <is>
          <t>1995-04-13</t>
        </is>
      </c>
      <c r="W565" t="inlineStr">
        <is>
          <t>1992-10-30</t>
        </is>
      </c>
      <c r="X565" t="inlineStr">
        <is>
          <t>1992-10-30</t>
        </is>
      </c>
      <c r="Y565" t="n">
        <v>49</v>
      </c>
      <c r="Z565" t="n">
        <v>47</v>
      </c>
      <c r="AA565" t="n">
        <v>541</v>
      </c>
      <c r="AB565" t="n">
        <v>2</v>
      </c>
      <c r="AC565" t="n">
        <v>5</v>
      </c>
      <c r="AD565" t="n">
        <v>0</v>
      </c>
      <c r="AE565" t="n">
        <v>30</v>
      </c>
      <c r="AF565" t="n">
        <v>0</v>
      </c>
      <c r="AG565" t="n">
        <v>8</v>
      </c>
      <c r="AH565" t="n">
        <v>0</v>
      </c>
      <c r="AI565" t="n">
        <v>7</v>
      </c>
      <c r="AJ565" t="n">
        <v>0</v>
      </c>
      <c r="AK565" t="n">
        <v>17</v>
      </c>
      <c r="AL565" t="n">
        <v>0</v>
      </c>
      <c r="AM565" t="n">
        <v>3</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HYPERLINK("https://creighton-primo.hosted.exlibrisgroup.com/primo-explore/search?tab=default_tab&amp;search_scope=EVERYTHING&amp;vid=01CRU&amp;lang=en_US&amp;offset=0&amp;query=any,contains,991000998939702656","Catalog Record")</f>
        <v/>
      </c>
      <c r="AT565">
        <f>HYPERLINK("http://www.worldcat.org/oclc/15189717","WorldCat Record")</f>
        <v/>
      </c>
      <c r="AU565" t="inlineStr">
        <is>
          <t>1670570:eng</t>
        </is>
      </c>
      <c r="AV565" t="inlineStr">
        <is>
          <t>15189717</t>
        </is>
      </c>
      <c r="AW565" t="inlineStr">
        <is>
          <t>991000998939702656</t>
        </is>
      </c>
      <c r="AX565" t="inlineStr">
        <is>
          <t>991000998939702656</t>
        </is>
      </c>
      <c r="AY565" t="inlineStr">
        <is>
          <t>2260662100002656</t>
        </is>
      </c>
      <c r="AZ565" t="inlineStr">
        <is>
          <t>BOOK</t>
        </is>
      </c>
      <c r="BC565" t="inlineStr">
        <is>
          <t>32285001387454</t>
        </is>
      </c>
      <c r="BD565" t="inlineStr">
        <is>
          <t>893884947</t>
        </is>
      </c>
    </row>
    <row r="566">
      <c r="A566" t="inlineStr">
        <is>
          <t>No</t>
        </is>
      </c>
      <c r="B566" t="inlineStr">
        <is>
          <t>HM278 .G3243 1965</t>
        </is>
      </c>
      <c r="C566" t="inlineStr">
        <is>
          <t>0                      HM 0278000G  3243        1965</t>
        </is>
      </c>
      <c r="D566" t="inlineStr">
        <is>
          <t>Gandhi on non-violence / edited, with an introd., by Thomas Merton.</t>
        </is>
      </c>
      <c r="F566" t="inlineStr">
        <is>
          <t>No</t>
        </is>
      </c>
      <c r="G566" t="inlineStr">
        <is>
          <t>1</t>
        </is>
      </c>
      <c r="H566" t="inlineStr">
        <is>
          <t>No</t>
        </is>
      </c>
      <c r="I566" t="inlineStr">
        <is>
          <t>No</t>
        </is>
      </c>
      <c r="J566" t="inlineStr">
        <is>
          <t>0</t>
        </is>
      </c>
      <c r="K566" t="inlineStr">
        <is>
          <t>Gandhi, Mahatma, 1869-1948.</t>
        </is>
      </c>
      <c r="L566" t="inlineStr">
        <is>
          <t>[New York : New Directions Pub. Corp., 1965]</t>
        </is>
      </c>
      <c r="M566" t="inlineStr">
        <is>
          <t>1965</t>
        </is>
      </c>
      <c r="O566" t="inlineStr">
        <is>
          <t>eng</t>
        </is>
      </c>
      <c r="P566" t="inlineStr">
        <is>
          <t>nyu</t>
        </is>
      </c>
      <c r="Q566" t="inlineStr">
        <is>
          <t>A New Directions paperbook</t>
        </is>
      </c>
      <c r="R566" t="inlineStr">
        <is>
          <t xml:space="preserve">HM </t>
        </is>
      </c>
      <c r="S566" t="n">
        <v>18</v>
      </c>
      <c r="T566" t="n">
        <v>18</v>
      </c>
      <c r="U566" t="inlineStr">
        <is>
          <t>2009-12-03</t>
        </is>
      </c>
      <c r="V566" t="inlineStr">
        <is>
          <t>2009-12-03</t>
        </is>
      </c>
      <c r="W566" t="inlineStr">
        <is>
          <t>1995-04-05</t>
        </is>
      </c>
      <c r="X566" t="inlineStr">
        <is>
          <t>1995-04-05</t>
        </is>
      </c>
      <c r="Y566" t="n">
        <v>1001</v>
      </c>
      <c r="Z566" t="n">
        <v>916</v>
      </c>
      <c r="AA566" t="n">
        <v>922</v>
      </c>
      <c r="AB566" t="n">
        <v>5</v>
      </c>
      <c r="AC566" t="n">
        <v>5</v>
      </c>
      <c r="AD566" t="n">
        <v>33</v>
      </c>
      <c r="AE566" t="n">
        <v>33</v>
      </c>
      <c r="AF566" t="n">
        <v>12</v>
      </c>
      <c r="AG566" t="n">
        <v>12</v>
      </c>
      <c r="AH566" t="n">
        <v>7</v>
      </c>
      <c r="AI566" t="n">
        <v>7</v>
      </c>
      <c r="AJ566" t="n">
        <v>22</v>
      </c>
      <c r="AK566" t="n">
        <v>22</v>
      </c>
      <c r="AL566" t="n">
        <v>2</v>
      </c>
      <c r="AM566" t="n">
        <v>2</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HYPERLINK("https://creighton-primo.hosted.exlibrisgroup.com/primo-explore/search?tab=default_tab&amp;search_scope=EVERYTHING&amp;vid=01CRU&amp;lang=en_US&amp;offset=0&amp;query=any,contains,991002972279702656","Catalog Record")</f>
        <v/>
      </c>
      <c r="AT566">
        <f>HYPERLINK("http://www.worldcat.org/oclc/550062","WorldCat Record")</f>
        <v/>
      </c>
      <c r="AU566" t="inlineStr">
        <is>
          <t>2287709135:eng</t>
        </is>
      </c>
      <c r="AV566" t="inlineStr">
        <is>
          <t>550062</t>
        </is>
      </c>
      <c r="AW566" t="inlineStr">
        <is>
          <t>991002972279702656</t>
        </is>
      </c>
      <c r="AX566" t="inlineStr">
        <is>
          <t>991002972279702656</t>
        </is>
      </c>
      <c r="AY566" t="inlineStr">
        <is>
          <t>2254703220002656</t>
        </is>
      </c>
      <c r="AZ566" t="inlineStr">
        <is>
          <t>BOOK</t>
        </is>
      </c>
      <c r="BC566" t="inlineStr">
        <is>
          <t>32285002016458</t>
        </is>
      </c>
      <c r="BD566" t="inlineStr">
        <is>
          <t>893592031</t>
        </is>
      </c>
    </row>
    <row r="567">
      <c r="A567" t="inlineStr">
        <is>
          <t>No</t>
        </is>
      </c>
      <c r="B567" t="inlineStr">
        <is>
          <t>HM278 .G7 1966</t>
        </is>
      </c>
      <c r="C567" t="inlineStr">
        <is>
          <t>0                      HM 0278000G  7           1966</t>
        </is>
      </c>
      <c r="D567" t="inlineStr">
        <is>
          <t>The power of nonviolence [by] Richard B. Gregg.</t>
        </is>
      </c>
      <c r="F567" t="inlineStr">
        <is>
          <t>No</t>
        </is>
      </c>
      <c r="G567" t="inlineStr">
        <is>
          <t>1</t>
        </is>
      </c>
      <c r="H567" t="inlineStr">
        <is>
          <t>No</t>
        </is>
      </c>
      <c r="I567" t="inlineStr">
        <is>
          <t>No</t>
        </is>
      </c>
      <c r="J567" t="inlineStr">
        <is>
          <t>0</t>
        </is>
      </c>
      <c r="K567" t="inlineStr">
        <is>
          <t>Gregg, Richard B., 1885-1974.</t>
        </is>
      </c>
      <c r="L567" t="inlineStr">
        <is>
          <t>New York, Schocken Books [1966]</t>
        </is>
      </c>
      <c r="M567" t="inlineStr">
        <is>
          <t>1966</t>
        </is>
      </c>
      <c r="N567" t="inlineStr">
        <is>
          <t>[2d rev. ed]</t>
        </is>
      </c>
      <c r="O567" t="inlineStr">
        <is>
          <t>eng</t>
        </is>
      </c>
      <c r="P567" t="inlineStr">
        <is>
          <t>nyu</t>
        </is>
      </c>
      <c r="Q567" t="inlineStr">
        <is>
          <t>Schocken paperbacks ; SB136</t>
        </is>
      </c>
      <c r="R567" t="inlineStr">
        <is>
          <t xml:space="preserve">HM </t>
        </is>
      </c>
      <c r="S567" t="n">
        <v>3</v>
      </c>
      <c r="T567" t="n">
        <v>3</v>
      </c>
      <c r="U567" t="inlineStr">
        <is>
          <t>1999-06-07</t>
        </is>
      </c>
      <c r="V567" t="inlineStr">
        <is>
          <t>1999-06-07</t>
        </is>
      </c>
      <c r="W567" t="inlineStr">
        <is>
          <t>1997-08-04</t>
        </is>
      </c>
      <c r="X567" t="inlineStr">
        <is>
          <t>1997-08-04</t>
        </is>
      </c>
      <c r="Y567" t="n">
        <v>493</v>
      </c>
      <c r="Z567" t="n">
        <v>464</v>
      </c>
      <c r="AA567" t="n">
        <v>890</v>
      </c>
      <c r="AB567" t="n">
        <v>3</v>
      </c>
      <c r="AC567" t="n">
        <v>5</v>
      </c>
      <c r="AD567" t="n">
        <v>18</v>
      </c>
      <c r="AE567" t="n">
        <v>36</v>
      </c>
      <c r="AF567" t="n">
        <v>4</v>
      </c>
      <c r="AG567" t="n">
        <v>11</v>
      </c>
      <c r="AH567" t="n">
        <v>5</v>
      </c>
      <c r="AI567" t="n">
        <v>9</v>
      </c>
      <c r="AJ567" t="n">
        <v>12</v>
      </c>
      <c r="AK567" t="n">
        <v>19</v>
      </c>
      <c r="AL567" t="n">
        <v>2</v>
      </c>
      <c r="AM567" t="n">
        <v>4</v>
      </c>
      <c r="AN567" t="n">
        <v>0</v>
      </c>
      <c r="AO567" t="n">
        <v>0</v>
      </c>
      <c r="AP567" t="inlineStr">
        <is>
          <t>No</t>
        </is>
      </c>
      <c r="AQ567" t="inlineStr">
        <is>
          <t>Yes</t>
        </is>
      </c>
      <c r="AR567">
        <f>HYPERLINK("http://catalog.hathitrust.org/Record/001109481","HathiTrust Record")</f>
        <v/>
      </c>
      <c r="AS567">
        <f>HYPERLINK("https://creighton-primo.hosted.exlibrisgroup.com/primo-explore/search?tab=default_tab&amp;search_scope=EVERYTHING&amp;vid=01CRU&amp;lang=en_US&amp;offset=0&amp;query=any,contains,991002431659702656","Catalog Record")</f>
        <v/>
      </c>
      <c r="AT567">
        <f>HYPERLINK("http://www.worldcat.org/oclc/347340","WorldCat Record")</f>
        <v/>
      </c>
      <c r="AU567" t="inlineStr">
        <is>
          <t>1389032:eng</t>
        </is>
      </c>
      <c r="AV567" t="inlineStr">
        <is>
          <t>347340</t>
        </is>
      </c>
      <c r="AW567" t="inlineStr">
        <is>
          <t>991002431659702656</t>
        </is>
      </c>
      <c r="AX567" t="inlineStr">
        <is>
          <t>991002431659702656</t>
        </is>
      </c>
      <c r="AY567" t="inlineStr">
        <is>
          <t>2272476550002656</t>
        </is>
      </c>
      <c r="AZ567" t="inlineStr">
        <is>
          <t>BOOK</t>
        </is>
      </c>
      <c r="BC567" t="inlineStr">
        <is>
          <t>32285003019386</t>
        </is>
      </c>
      <c r="BD567" t="inlineStr">
        <is>
          <t>893867209</t>
        </is>
      </c>
    </row>
    <row r="568">
      <c r="A568" t="inlineStr">
        <is>
          <t>No</t>
        </is>
      </c>
      <c r="B568" t="inlineStr">
        <is>
          <t>HM278 .J87 1994</t>
        </is>
      </c>
      <c r="C568" t="inlineStr">
        <is>
          <t>0                      HM 0278000J  87          1994</t>
        </is>
      </c>
      <c r="D568" t="inlineStr">
        <is>
          <t>Justice without violence / edited by Paul Wehr, Heidi Burgess, Guy Burgess.</t>
        </is>
      </c>
      <c r="F568" t="inlineStr">
        <is>
          <t>No</t>
        </is>
      </c>
      <c r="G568" t="inlineStr">
        <is>
          <t>1</t>
        </is>
      </c>
      <c r="H568" t="inlineStr">
        <is>
          <t>Yes</t>
        </is>
      </c>
      <c r="I568" t="inlineStr">
        <is>
          <t>No</t>
        </is>
      </c>
      <c r="J568" t="inlineStr">
        <is>
          <t>0</t>
        </is>
      </c>
      <c r="L568" t="inlineStr">
        <is>
          <t>Boulder : Lynn Rienner Publishers, 1994.</t>
        </is>
      </c>
      <c r="M568" t="inlineStr">
        <is>
          <t>1994</t>
        </is>
      </c>
      <c r="O568" t="inlineStr">
        <is>
          <t>eng</t>
        </is>
      </c>
      <c r="P568" t="inlineStr">
        <is>
          <t>cou</t>
        </is>
      </c>
      <c r="R568" t="inlineStr">
        <is>
          <t xml:space="preserve">HM </t>
        </is>
      </c>
      <c r="S568" t="n">
        <v>4</v>
      </c>
      <c r="T568" t="n">
        <v>4</v>
      </c>
      <c r="U568" t="inlineStr">
        <is>
          <t>1995-11-24</t>
        </is>
      </c>
      <c r="V568" t="inlineStr">
        <is>
          <t>1995-11-24</t>
        </is>
      </c>
      <c r="W568" t="inlineStr">
        <is>
          <t>1994-05-11</t>
        </is>
      </c>
      <c r="X568" t="inlineStr">
        <is>
          <t>1994-08-09</t>
        </is>
      </c>
      <c r="Y568" t="n">
        <v>345</v>
      </c>
      <c r="Z568" t="n">
        <v>259</v>
      </c>
      <c r="AA568" t="n">
        <v>264</v>
      </c>
      <c r="AB568" t="n">
        <v>4</v>
      </c>
      <c r="AC568" t="n">
        <v>4</v>
      </c>
      <c r="AD568" t="n">
        <v>15</v>
      </c>
      <c r="AE568" t="n">
        <v>15</v>
      </c>
      <c r="AF568" t="n">
        <v>5</v>
      </c>
      <c r="AG568" t="n">
        <v>5</v>
      </c>
      <c r="AH568" t="n">
        <v>4</v>
      </c>
      <c r="AI568" t="n">
        <v>4</v>
      </c>
      <c r="AJ568" t="n">
        <v>6</v>
      </c>
      <c r="AK568" t="n">
        <v>6</v>
      </c>
      <c r="AL568" t="n">
        <v>2</v>
      </c>
      <c r="AM568" t="n">
        <v>2</v>
      </c>
      <c r="AN568" t="n">
        <v>1</v>
      </c>
      <c r="AO568" t="n">
        <v>1</v>
      </c>
      <c r="AP568" t="inlineStr">
        <is>
          <t>No</t>
        </is>
      </c>
      <c r="AQ568" t="inlineStr">
        <is>
          <t>No</t>
        </is>
      </c>
      <c r="AS568">
        <f>HYPERLINK("https://creighton-primo.hosted.exlibrisgroup.com/primo-explore/search?tab=default_tab&amp;search_scope=EVERYTHING&amp;vid=01CRU&amp;lang=en_US&amp;offset=0&amp;query=any,contains,991001660389702656","Catalog Record")</f>
        <v/>
      </c>
      <c r="AT568">
        <f>HYPERLINK("http://www.worldcat.org/oclc/28927767","WorldCat Record")</f>
        <v/>
      </c>
      <c r="AU568" t="inlineStr">
        <is>
          <t>354507967:eng</t>
        </is>
      </c>
      <c r="AV568" t="inlineStr">
        <is>
          <t>28927767</t>
        </is>
      </c>
      <c r="AW568" t="inlineStr">
        <is>
          <t>991001660389702656</t>
        </is>
      </c>
      <c r="AX568" t="inlineStr">
        <is>
          <t>991001660389702656</t>
        </is>
      </c>
      <c r="AY568" t="inlineStr">
        <is>
          <t>2270356120002656</t>
        </is>
      </c>
      <c r="AZ568" t="inlineStr">
        <is>
          <t>BOOK</t>
        </is>
      </c>
      <c r="BB568" t="inlineStr">
        <is>
          <t>9781555874650</t>
        </is>
      </c>
      <c r="BC568" t="inlineStr">
        <is>
          <t>32285001895308</t>
        </is>
      </c>
      <c r="BD568" t="inlineStr">
        <is>
          <t>893444742</t>
        </is>
      </c>
    </row>
    <row r="569">
      <c r="A569" t="inlineStr">
        <is>
          <t>No</t>
        </is>
      </c>
      <c r="B569" t="inlineStr">
        <is>
          <t>HM278 .S447</t>
        </is>
      </c>
      <c r="C569" t="inlineStr">
        <is>
          <t>0                      HM 0278000S  447</t>
        </is>
      </c>
      <c r="D569" t="inlineStr">
        <is>
          <t>Exploring nonviolent alternatives. Introd. by David Riesman.</t>
        </is>
      </c>
      <c r="F569" t="inlineStr">
        <is>
          <t>No</t>
        </is>
      </c>
      <c r="G569" t="inlineStr">
        <is>
          <t>1</t>
        </is>
      </c>
      <c r="H569" t="inlineStr">
        <is>
          <t>No</t>
        </is>
      </c>
      <c r="I569" t="inlineStr">
        <is>
          <t>No</t>
        </is>
      </c>
      <c r="J569" t="inlineStr">
        <is>
          <t>0</t>
        </is>
      </c>
      <c r="K569" t="inlineStr">
        <is>
          <t>Sharp, Gene.</t>
        </is>
      </c>
      <c r="L569" t="inlineStr">
        <is>
          <t>[Boston, P. Sargent, 1970]</t>
        </is>
      </c>
      <c r="M569" t="inlineStr">
        <is>
          <t>1970</t>
        </is>
      </c>
      <c r="O569" t="inlineStr">
        <is>
          <t>eng</t>
        </is>
      </c>
      <c r="P569" t="inlineStr">
        <is>
          <t>mau</t>
        </is>
      </c>
      <c r="Q569" t="inlineStr">
        <is>
          <t>An Extending horizons book</t>
        </is>
      </c>
      <c r="R569" t="inlineStr">
        <is>
          <t xml:space="preserve">HM </t>
        </is>
      </c>
      <c r="S569" t="n">
        <v>4</v>
      </c>
      <c r="T569" t="n">
        <v>4</v>
      </c>
      <c r="U569" t="inlineStr">
        <is>
          <t>2004-11-16</t>
        </is>
      </c>
      <c r="V569" t="inlineStr">
        <is>
          <t>2004-11-16</t>
        </is>
      </c>
      <c r="W569" t="inlineStr">
        <is>
          <t>1997-09-03</t>
        </is>
      </c>
      <c r="X569" t="inlineStr">
        <is>
          <t>1997-09-03</t>
        </is>
      </c>
      <c r="Y569" t="n">
        <v>719</v>
      </c>
      <c r="Z569" t="n">
        <v>666</v>
      </c>
      <c r="AA569" t="n">
        <v>673</v>
      </c>
      <c r="AB569" t="n">
        <v>5</v>
      </c>
      <c r="AC569" t="n">
        <v>5</v>
      </c>
      <c r="AD569" t="n">
        <v>41</v>
      </c>
      <c r="AE569" t="n">
        <v>41</v>
      </c>
      <c r="AF569" t="n">
        <v>14</v>
      </c>
      <c r="AG569" t="n">
        <v>14</v>
      </c>
      <c r="AH569" t="n">
        <v>9</v>
      </c>
      <c r="AI569" t="n">
        <v>9</v>
      </c>
      <c r="AJ569" t="n">
        <v>22</v>
      </c>
      <c r="AK569" t="n">
        <v>22</v>
      </c>
      <c r="AL569" t="n">
        <v>4</v>
      </c>
      <c r="AM569" t="n">
        <v>4</v>
      </c>
      <c r="AN569" t="n">
        <v>1</v>
      </c>
      <c r="AO569" t="n">
        <v>1</v>
      </c>
      <c r="AP569" t="inlineStr">
        <is>
          <t>No</t>
        </is>
      </c>
      <c r="AQ569" t="inlineStr">
        <is>
          <t>No</t>
        </is>
      </c>
      <c r="AS569">
        <f>HYPERLINK("https://creighton-primo.hosted.exlibrisgroup.com/primo-explore/search?tab=default_tab&amp;search_scope=EVERYTHING&amp;vid=01CRU&amp;lang=en_US&amp;offset=0&amp;query=any,contains,991000623309702656","Catalog Record")</f>
        <v/>
      </c>
      <c r="AT569">
        <f>HYPERLINK("http://www.worldcat.org/oclc/103128","WorldCat Record")</f>
        <v/>
      </c>
      <c r="AU569" t="inlineStr">
        <is>
          <t>167363:eng</t>
        </is>
      </c>
      <c r="AV569" t="inlineStr">
        <is>
          <t>103128</t>
        </is>
      </c>
      <c r="AW569" t="inlineStr">
        <is>
          <t>991000623309702656</t>
        </is>
      </c>
      <c r="AX569" t="inlineStr">
        <is>
          <t>991000623309702656</t>
        </is>
      </c>
      <c r="AY569" t="inlineStr">
        <is>
          <t>2260145450002656</t>
        </is>
      </c>
      <c r="AZ569" t="inlineStr">
        <is>
          <t>BOOK</t>
        </is>
      </c>
      <c r="BC569" t="inlineStr">
        <is>
          <t>32285003161956</t>
        </is>
      </c>
      <c r="BD569" t="inlineStr">
        <is>
          <t>893878216</t>
        </is>
      </c>
    </row>
    <row r="570">
      <c r="A570" t="inlineStr">
        <is>
          <t>No</t>
        </is>
      </c>
      <c r="B570" t="inlineStr">
        <is>
          <t>HM278 .T58 1987</t>
        </is>
      </c>
      <c r="C570" t="inlineStr">
        <is>
          <t>0                      HM 0278000T  58          1987</t>
        </is>
      </c>
      <c r="D570" t="inlineStr">
        <is>
          <t>Writings on civil disobedience and nonviolence / Leo Tolstoy.</t>
        </is>
      </c>
      <c r="F570" t="inlineStr">
        <is>
          <t>No</t>
        </is>
      </c>
      <c r="G570" t="inlineStr">
        <is>
          <t>1</t>
        </is>
      </c>
      <c r="H570" t="inlineStr">
        <is>
          <t>No</t>
        </is>
      </c>
      <c r="I570" t="inlineStr">
        <is>
          <t>No</t>
        </is>
      </c>
      <c r="J570" t="inlineStr">
        <is>
          <t>0</t>
        </is>
      </c>
      <c r="K570" t="inlineStr">
        <is>
          <t>Tolstoy, Leo, graf, 1828-1910.</t>
        </is>
      </c>
      <c r="L570" t="inlineStr">
        <is>
          <t>Philadelphia, PA : New Society Publishers, c1987.</t>
        </is>
      </c>
      <c r="M570" t="inlineStr">
        <is>
          <t>1987</t>
        </is>
      </c>
      <c r="O570" t="inlineStr">
        <is>
          <t>eng</t>
        </is>
      </c>
      <c r="P570" t="inlineStr">
        <is>
          <t>pau</t>
        </is>
      </c>
      <c r="R570" t="inlineStr">
        <is>
          <t xml:space="preserve">HM </t>
        </is>
      </c>
      <c r="S570" t="n">
        <v>10</v>
      </c>
      <c r="T570" t="n">
        <v>10</v>
      </c>
      <c r="U570" t="inlineStr">
        <is>
          <t>2003-01-29</t>
        </is>
      </c>
      <c r="V570" t="inlineStr">
        <is>
          <t>2003-01-29</t>
        </is>
      </c>
      <c r="W570" t="inlineStr">
        <is>
          <t>1995-07-29</t>
        </is>
      </c>
      <c r="X570" t="inlineStr">
        <is>
          <t>1995-07-29</t>
        </is>
      </c>
      <c r="Y570" t="n">
        <v>399</v>
      </c>
      <c r="Z570" t="n">
        <v>359</v>
      </c>
      <c r="AA570" t="n">
        <v>362</v>
      </c>
      <c r="AB570" t="n">
        <v>3</v>
      </c>
      <c r="AC570" t="n">
        <v>3</v>
      </c>
      <c r="AD570" t="n">
        <v>17</v>
      </c>
      <c r="AE570" t="n">
        <v>17</v>
      </c>
      <c r="AF570" t="n">
        <v>5</v>
      </c>
      <c r="AG570" t="n">
        <v>5</v>
      </c>
      <c r="AH570" t="n">
        <v>5</v>
      </c>
      <c r="AI570" t="n">
        <v>5</v>
      </c>
      <c r="AJ570" t="n">
        <v>9</v>
      </c>
      <c r="AK570" t="n">
        <v>9</v>
      </c>
      <c r="AL570" t="n">
        <v>2</v>
      </c>
      <c r="AM570" t="n">
        <v>2</v>
      </c>
      <c r="AN570" t="n">
        <v>0</v>
      </c>
      <c r="AO570" t="n">
        <v>0</v>
      </c>
      <c r="AP570" t="inlineStr">
        <is>
          <t>No</t>
        </is>
      </c>
      <c r="AQ570" t="inlineStr">
        <is>
          <t>Yes</t>
        </is>
      </c>
      <c r="AR570">
        <f>HYPERLINK("http://catalog.hathitrust.org/Record/000917879","HathiTrust Record")</f>
        <v/>
      </c>
      <c r="AS570">
        <f>HYPERLINK("https://creighton-primo.hosted.exlibrisgroup.com/primo-explore/search?tab=default_tab&amp;search_scope=EVERYTHING&amp;vid=01CRU&amp;lang=en_US&amp;offset=0&amp;query=any,contains,991001204289702656","Catalog Record")</f>
        <v/>
      </c>
      <c r="AT570">
        <f>HYPERLINK("http://www.worldcat.org/oclc/17340258","WorldCat Record")</f>
        <v/>
      </c>
      <c r="AU570" t="inlineStr">
        <is>
          <t>4160065039:eng</t>
        </is>
      </c>
      <c r="AV570" t="inlineStr">
        <is>
          <t>17340258</t>
        </is>
      </c>
      <c r="AW570" t="inlineStr">
        <is>
          <t>991001204289702656</t>
        </is>
      </c>
      <c r="AX570" t="inlineStr">
        <is>
          <t>991001204289702656</t>
        </is>
      </c>
      <c r="AY570" t="inlineStr">
        <is>
          <t>2270775180002656</t>
        </is>
      </c>
      <c r="AZ570" t="inlineStr">
        <is>
          <t>BOOK</t>
        </is>
      </c>
      <c r="BB570" t="inlineStr">
        <is>
          <t>9780865711099</t>
        </is>
      </c>
      <c r="BC570" t="inlineStr">
        <is>
          <t>32285002076643</t>
        </is>
      </c>
      <c r="BD570" t="inlineStr">
        <is>
          <t>893866050</t>
        </is>
      </c>
    </row>
    <row r="571">
      <c r="A571" t="inlineStr">
        <is>
          <t>No</t>
        </is>
      </c>
      <c r="B571" t="inlineStr">
        <is>
          <t>HM278 .T638</t>
        </is>
      </c>
      <c r="C571" t="inlineStr">
        <is>
          <t>0                      HM 0278000T  638</t>
        </is>
      </c>
      <c r="D571" t="inlineStr">
        <is>
          <t>Tolstoy's writings on civil disobedience and non-violence.</t>
        </is>
      </c>
      <c r="F571" t="inlineStr">
        <is>
          <t>No</t>
        </is>
      </c>
      <c r="G571" t="inlineStr">
        <is>
          <t>1</t>
        </is>
      </c>
      <c r="H571" t="inlineStr">
        <is>
          <t>No</t>
        </is>
      </c>
      <c r="I571" t="inlineStr">
        <is>
          <t>No</t>
        </is>
      </c>
      <c r="J571" t="inlineStr">
        <is>
          <t>0</t>
        </is>
      </c>
      <c r="K571" t="inlineStr">
        <is>
          <t>Tolstoy, Leo, graf, 1828-1910.</t>
        </is>
      </c>
      <c r="L571" t="inlineStr">
        <is>
          <t>New York, Bergman Publishers [1967]</t>
        </is>
      </c>
      <c r="M571" t="inlineStr">
        <is>
          <t>1967</t>
        </is>
      </c>
      <c r="N571" t="inlineStr">
        <is>
          <t>[1st ed.]</t>
        </is>
      </c>
      <c r="O571" t="inlineStr">
        <is>
          <t>eng</t>
        </is>
      </c>
      <c r="P571" t="inlineStr">
        <is>
          <t>nyu</t>
        </is>
      </c>
      <c r="R571" t="inlineStr">
        <is>
          <t xml:space="preserve">HM </t>
        </is>
      </c>
      <c r="S571" t="n">
        <v>2</v>
      </c>
      <c r="T571" t="n">
        <v>2</v>
      </c>
      <c r="U571" t="inlineStr">
        <is>
          <t>2002-04-18</t>
        </is>
      </c>
      <c r="V571" t="inlineStr">
        <is>
          <t>2002-04-18</t>
        </is>
      </c>
      <c r="W571" t="inlineStr">
        <is>
          <t>1997-08-04</t>
        </is>
      </c>
      <c r="X571" t="inlineStr">
        <is>
          <t>1997-08-04</t>
        </is>
      </c>
      <c r="Y571" t="n">
        <v>664</v>
      </c>
      <c r="Z571" t="n">
        <v>638</v>
      </c>
      <c r="AA571" t="n">
        <v>814</v>
      </c>
      <c r="AB571" t="n">
        <v>6</v>
      </c>
      <c r="AC571" t="n">
        <v>7</v>
      </c>
      <c r="AD571" t="n">
        <v>24</v>
      </c>
      <c r="AE571" t="n">
        <v>29</v>
      </c>
      <c r="AF571" t="n">
        <v>5</v>
      </c>
      <c r="AG571" t="n">
        <v>9</v>
      </c>
      <c r="AH571" t="n">
        <v>6</v>
      </c>
      <c r="AI571" t="n">
        <v>6</v>
      </c>
      <c r="AJ571" t="n">
        <v>12</v>
      </c>
      <c r="AK571" t="n">
        <v>15</v>
      </c>
      <c r="AL571" t="n">
        <v>3</v>
      </c>
      <c r="AM571" t="n">
        <v>4</v>
      </c>
      <c r="AN571" t="n">
        <v>2</v>
      </c>
      <c r="AO571" t="n">
        <v>2</v>
      </c>
      <c r="AP571" t="inlineStr">
        <is>
          <t>No</t>
        </is>
      </c>
      <c r="AQ571" t="inlineStr">
        <is>
          <t>No</t>
        </is>
      </c>
      <c r="AS571">
        <f>HYPERLINK("https://creighton-primo.hosted.exlibrisgroup.com/primo-explore/search?tab=default_tab&amp;search_scope=EVERYTHING&amp;vid=01CRU&amp;lang=en_US&amp;offset=0&amp;query=any,contains,991002972489702656","Catalog Record")</f>
        <v/>
      </c>
      <c r="AT571">
        <f>HYPERLINK("http://www.worldcat.org/oclc/550118","WorldCat Record")</f>
        <v/>
      </c>
      <c r="AU571" t="inlineStr">
        <is>
          <t>31369478:eng</t>
        </is>
      </c>
      <c r="AV571" t="inlineStr">
        <is>
          <t>550118</t>
        </is>
      </c>
      <c r="AW571" t="inlineStr">
        <is>
          <t>991002972489702656</t>
        </is>
      </c>
      <c r="AX571" t="inlineStr">
        <is>
          <t>991002972489702656</t>
        </is>
      </c>
      <c r="AY571" t="inlineStr">
        <is>
          <t>2254811950002656</t>
        </is>
      </c>
      <c r="AZ571" t="inlineStr">
        <is>
          <t>BOOK</t>
        </is>
      </c>
      <c r="BC571" t="inlineStr">
        <is>
          <t>32285003019469</t>
        </is>
      </c>
      <c r="BD571" t="inlineStr">
        <is>
          <t>893893231</t>
        </is>
      </c>
    </row>
    <row r="572">
      <c r="A572" t="inlineStr">
        <is>
          <t>No</t>
        </is>
      </c>
      <c r="B572" t="inlineStr">
        <is>
          <t>HM278 .T73 1996</t>
        </is>
      </c>
      <c r="C572" t="inlineStr">
        <is>
          <t>0                      HM 0278000T  73          1996</t>
        </is>
      </c>
      <c r="D572" t="inlineStr">
        <is>
          <t>Direct action : radical pacifism from the Union Eight to the Chicago Seven / James Tracy.</t>
        </is>
      </c>
      <c r="F572" t="inlineStr">
        <is>
          <t>No</t>
        </is>
      </c>
      <c r="G572" t="inlineStr">
        <is>
          <t>1</t>
        </is>
      </c>
      <c r="H572" t="inlineStr">
        <is>
          <t>No</t>
        </is>
      </c>
      <c r="I572" t="inlineStr">
        <is>
          <t>No</t>
        </is>
      </c>
      <c r="J572" t="inlineStr">
        <is>
          <t>0</t>
        </is>
      </c>
      <c r="K572" t="inlineStr">
        <is>
          <t>Tracy, James.</t>
        </is>
      </c>
      <c r="L572" t="inlineStr">
        <is>
          <t>Chicago, Ill. ; London : The University of Chicago Press, 1996.</t>
        </is>
      </c>
      <c r="M572" t="inlineStr">
        <is>
          <t>1996</t>
        </is>
      </c>
      <c r="O572" t="inlineStr">
        <is>
          <t>eng</t>
        </is>
      </c>
      <c r="P572" t="inlineStr">
        <is>
          <t>ilu</t>
        </is>
      </c>
      <c r="R572" t="inlineStr">
        <is>
          <t xml:space="preserve">HM </t>
        </is>
      </c>
      <c r="S572" t="n">
        <v>3</v>
      </c>
      <c r="T572" t="n">
        <v>3</v>
      </c>
      <c r="U572" t="inlineStr">
        <is>
          <t>1998-02-24</t>
        </is>
      </c>
      <c r="V572" t="inlineStr">
        <is>
          <t>1998-02-24</t>
        </is>
      </c>
      <c r="W572" t="inlineStr">
        <is>
          <t>1997-04-07</t>
        </is>
      </c>
      <c r="X572" t="inlineStr">
        <is>
          <t>1997-04-07</t>
        </is>
      </c>
      <c r="Y572" t="n">
        <v>530</v>
      </c>
      <c r="Z572" t="n">
        <v>474</v>
      </c>
      <c r="AA572" t="n">
        <v>479</v>
      </c>
      <c r="AB572" t="n">
        <v>3</v>
      </c>
      <c r="AC572" t="n">
        <v>3</v>
      </c>
      <c r="AD572" t="n">
        <v>27</v>
      </c>
      <c r="AE572" t="n">
        <v>27</v>
      </c>
      <c r="AF572" t="n">
        <v>10</v>
      </c>
      <c r="AG572" t="n">
        <v>10</v>
      </c>
      <c r="AH572" t="n">
        <v>6</v>
      </c>
      <c r="AI572" t="n">
        <v>6</v>
      </c>
      <c r="AJ572" t="n">
        <v>17</v>
      </c>
      <c r="AK572" t="n">
        <v>17</v>
      </c>
      <c r="AL572" t="n">
        <v>2</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HYPERLINK("https://creighton-primo.hosted.exlibrisgroup.com/primo-explore/search?tab=default_tab&amp;search_scope=EVERYTHING&amp;vid=01CRU&amp;lang=en_US&amp;offset=0&amp;query=any,contains,991002622079702656","Catalog Record")</f>
        <v/>
      </c>
      <c r="AT572">
        <f>HYPERLINK("http://www.worldcat.org/oclc/34355732","WorldCat Record")</f>
        <v/>
      </c>
      <c r="AU572" t="inlineStr">
        <is>
          <t>334953344:eng</t>
        </is>
      </c>
      <c r="AV572" t="inlineStr">
        <is>
          <t>34355732</t>
        </is>
      </c>
      <c r="AW572" t="inlineStr">
        <is>
          <t>991002622079702656</t>
        </is>
      </c>
      <c r="AX572" t="inlineStr">
        <is>
          <t>991002622079702656</t>
        </is>
      </c>
      <c r="AY572" t="inlineStr">
        <is>
          <t>2266446090002656</t>
        </is>
      </c>
      <c r="AZ572" t="inlineStr">
        <is>
          <t>BOOK</t>
        </is>
      </c>
      <c r="BB572" t="inlineStr">
        <is>
          <t>9780226811277</t>
        </is>
      </c>
      <c r="BC572" t="inlineStr">
        <is>
          <t>32285002479789</t>
        </is>
      </c>
      <c r="BD572" t="inlineStr">
        <is>
          <t>893603796</t>
        </is>
      </c>
    </row>
    <row r="573">
      <c r="A573" t="inlineStr">
        <is>
          <t>No</t>
        </is>
      </c>
      <c r="B573" t="inlineStr">
        <is>
          <t>HM281 .B5</t>
        </is>
      </c>
      <c r="C573" t="inlineStr">
        <is>
          <t>0                      HM 0281000B  5</t>
        </is>
      </c>
      <c r="D573" t="inlineStr">
        <is>
          <t>Violence and social change; a review of current literature.</t>
        </is>
      </c>
      <c r="F573" t="inlineStr">
        <is>
          <t>No</t>
        </is>
      </c>
      <c r="G573" t="inlineStr">
        <is>
          <t>1</t>
        </is>
      </c>
      <c r="H573" t="inlineStr">
        <is>
          <t>No</t>
        </is>
      </c>
      <c r="I573" t="inlineStr">
        <is>
          <t>No</t>
        </is>
      </c>
      <c r="J573" t="inlineStr">
        <is>
          <t>0</t>
        </is>
      </c>
      <c r="K573" t="inlineStr">
        <is>
          <t>Bienen, Henry.</t>
        </is>
      </c>
      <c r="L573" t="inlineStr">
        <is>
          <t>Chicago, Published for the Adlai Stevenson Institute of International Affairs [by] University of Chicago Press [1968]</t>
        </is>
      </c>
      <c r="M573" t="inlineStr">
        <is>
          <t>1968</t>
        </is>
      </c>
      <c r="O573" t="inlineStr">
        <is>
          <t>eng</t>
        </is>
      </c>
      <c r="P573" t="inlineStr">
        <is>
          <t>ilu</t>
        </is>
      </c>
      <c r="R573" t="inlineStr">
        <is>
          <t xml:space="preserve">HM </t>
        </is>
      </c>
      <c r="S573" t="n">
        <v>2</v>
      </c>
      <c r="T573" t="n">
        <v>2</v>
      </c>
      <c r="U573" t="inlineStr">
        <is>
          <t>2007-03-23</t>
        </is>
      </c>
      <c r="V573" t="inlineStr">
        <is>
          <t>2007-03-23</t>
        </is>
      </c>
      <c r="W573" t="inlineStr">
        <is>
          <t>1997-08-04</t>
        </is>
      </c>
      <c r="X573" t="inlineStr">
        <is>
          <t>1997-08-04</t>
        </is>
      </c>
      <c r="Y573" t="n">
        <v>866</v>
      </c>
      <c r="Z573" t="n">
        <v>732</v>
      </c>
      <c r="AA573" t="n">
        <v>741</v>
      </c>
      <c r="AB573" t="n">
        <v>7</v>
      </c>
      <c r="AC573" t="n">
        <v>7</v>
      </c>
      <c r="AD573" t="n">
        <v>32</v>
      </c>
      <c r="AE573" t="n">
        <v>32</v>
      </c>
      <c r="AF573" t="n">
        <v>8</v>
      </c>
      <c r="AG573" t="n">
        <v>8</v>
      </c>
      <c r="AH573" t="n">
        <v>7</v>
      </c>
      <c r="AI573" t="n">
        <v>7</v>
      </c>
      <c r="AJ573" t="n">
        <v>16</v>
      </c>
      <c r="AK573" t="n">
        <v>16</v>
      </c>
      <c r="AL573" t="n">
        <v>5</v>
      </c>
      <c r="AM573" t="n">
        <v>5</v>
      </c>
      <c r="AN573" t="n">
        <v>4</v>
      </c>
      <c r="AO573" t="n">
        <v>4</v>
      </c>
      <c r="AP573" t="inlineStr">
        <is>
          <t>No</t>
        </is>
      </c>
      <c r="AQ573" t="inlineStr">
        <is>
          <t>Yes</t>
        </is>
      </c>
      <c r="AR573">
        <f>HYPERLINK("http://catalog.hathitrust.org/Record/001109487","HathiTrust Record")</f>
        <v/>
      </c>
      <c r="AS573">
        <f>HYPERLINK("https://creighton-primo.hosted.exlibrisgroup.com/primo-explore/search?tab=default_tab&amp;search_scope=EVERYTHING&amp;vid=01CRU&amp;lang=en_US&amp;offset=0&amp;query=any,contains,991001990979702656","Catalog Record")</f>
        <v/>
      </c>
      <c r="AT573">
        <f>HYPERLINK("http://www.worldcat.org/oclc/255593","WorldCat Record")</f>
        <v/>
      </c>
      <c r="AU573" t="inlineStr">
        <is>
          <t>199147671:eng</t>
        </is>
      </c>
      <c r="AV573" t="inlineStr">
        <is>
          <t>255593</t>
        </is>
      </c>
      <c r="AW573" t="inlineStr">
        <is>
          <t>991001990979702656</t>
        </is>
      </c>
      <c r="AX573" t="inlineStr">
        <is>
          <t>991001990979702656</t>
        </is>
      </c>
      <c r="AY573" t="inlineStr">
        <is>
          <t>2268856370002656</t>
        </is>
      </c>
      <c r="AZ573" t="inlineStr">
        <is>
          <t>BOOK</t>
        </is>
      </c>
      <c r="BC573" t="inlineStr">
        <is>
          <t>32285003019493</t>
        </is>
      </c>
      <c r="BD573" t="inlineStr">
        <is>
          <t>893609341</t>
        </is>
      </c>
    </row>
    <row r="574">
      <c r="A574" t="inlineStr">
        <is>
          <t>No</t>
        </is>
      </c>
      <c r="B574" t="inlineStr">
        <is>
          <t>HM281 .B813 1977</t>
        </is>
      </c>
      <c r="C574" t="inlineStr">
        <is>
          <t>0                      HM 0281000B  813         1977</t>
        </is>
      </c>
      <c r="D574" t="inlineStr">
        <is>
          <t>Revolutionary violence : the theories / [by] Anthony Burton.</t>
        </is>
      </c>
      <c r="F574" t="inlineStr">
        <is>
          <t>No</t>
        </is>
      </c>
      <c r="G574" t="inlineStr">
        <is>
          <t>1</t>
        </is>
      </c>
      <c r="H574" t="inlineStr">
        <is>
          <t>No</t>
        </is>
      </c>
      <c r="I574" t="inlineStr">
        <is>
          <t>No</t>
        </is>
      </c>
      <c r="J574" t="inlineStr">
        <is>
          <t>0</t>
        </is>
      </c>
      <c r="K574" t="inlineStr">
        <is>
          <t>Burton, Anthony (Anthony Miles)</t>
        </is>
      </c>
      <c r="L574" t="inlineStr">
        <is>
          <t>London : Cooper, 1977.</t>
        </is>
      </c>
      <c r="M574" t="inlineStr">
        <is>
          <t>1977</t>
        </is>
      </c>
      <c r="O574" t="inlineStr">
        <is>
          <t>eng</t>
        </is>
      </c>
      <c r="P574" t="inlineStr">
        <is>
          <t>enk</t>
        </is>
      </c>
      <c r="R574" t="inlineStr">
        <is>
          <t xml:space="preserve">HM </t>
        </is>
      </c>
      <c r="S574" t="n">
        <v>9</v>
      </c>
      <c r="T574" t="n">
        <v>9</v>
      </c>
      <c r="U574" t="inlineStr">
        <is>
          <t>2007-03-23</t>
        </is>
      </c>
      <c r="V574" t="inlineStr">
        <is>
          <t>2007-03-23</t>
        </is>
      </c>
      <c r="W574" t="inlineStr">
        <is>
          <t>1992-09-09</t>
        </is>
      </c>
      <c r="X574" t="inlineStr">
        <is>
          <t>1992-09-09</t>
        </is>
      </c>
      <c r="Y574" t="n">
        <v>241</v>
      </c>
      <c r="Z574" t="n">
        <v>136</v>
      </c>
      <c r="AA574" t="n">
        <v>426</v>
      </c>
      <c r="AB574" t="n">
        <v>3</v>
      </c>
      <c r="AC574" t="n">
        <v>5</v>
      </c>
      <c r="AD574" t="n">
        <v>8</v>
      </c>
      <c r="AE574" t="n">
        <v>23</v>
      </c>
      <c r="AF574" t="n">
        <v>1</v>
      </c>
      <c r="AG574" t="n">
        <v>5</v>
      </c>
      <c r="AH574" t="n">
        <v>3</v>
      </c>
      <c r="AI574" t="n">
        <v>8</v>
      </c>
      <c r="AJ574" t="n">
        <v>4</v>
      </c>
      <c r="AK574" t="n">
        <v>11</v>
      </c>
      <c r="AL574" t="n">
        <v>2</v>
      </c>
      <c r="AM574" t="n">
        <v>4</v>
      </c>
      <c r="AN574" t="n">
        <v>1</v>
      </c>
      <c r="AO574" t="n">
        <v>1</v>
      </c>
      <c r="AP574" t="inlineStr">
        <is>
          <t>No</t>
        </is>
      </c>
      <c r="AQ574" t="inlineStr">
        <is>
          <t>No</t>
        </is>
      </c>
      <c r="AS574">
        <f>HYPERLINK("https://creighton-primo.hosted.exlibrisgroup.com/primo-explore/search?tab=default_tab&amp;search_scope=EVERYTHING&amp;vid=01CRU&amp;lang=en_US&amp;offset=0&amp;query=any,contains,991004470379702656","Catalog Record")</f>
        <v/>
      </c>
      <c r="AT574">
        <f>HYPERLINK("http://www.worldcat.org/oclc/3593486","WorldCat Record")</f>
        <v/>
      </c>
      <c r="AU574" t="inlineStr">
        <is>
          <t>1027157942:eng</t>
        </is>
      </c>
      <c r="AV574" t="inlineStr">
        <is>
          <t>3593486</t>
        </is>
      </c>
      <c r="AW574" t="inlineStr">
        <is>
          <t>991004470379702656</t>
        </is>
      </c>
      <c r="AX574" t="inlineStr">
        <is>
          <t>991004470379702656</t>
        </is>
      </c>
      <c r="AY574" t="inlineStr">
        <is>
          <t>2261112080002656</t>
        </is>
      </c>
      <c r="AZ574" t="inlineStr">
        <is>
          <t>BOOK</t>
        </is>
      </c>
      <c r="BB574" t="inlineStr">
        <is>
          <t>9780850522327</t>
        </is>
      </c>
      <c r="BC574" t="inlineStr">
        <is>
          <t>32285001268498</t>
        </is>
      </c>
      <c r="BD574" t="inlineStr">
        <is>
          <t>893536002</t>
        </is>
      </c>
    </row>
    <row r="575">
      <c r="A575" t="inlineStr">
        <is>
          <t>No</t>
        </is>
      </c>
      <c r="B575" t="inlineStr">
        <is>
          <t>HM281 .E37</t>
        </is>
      </c>
      <c r="C575" t="inlineStr">
        <is>
          <t>0                      HM 0281000E  37</t>
        </is>
      </c>
      <c r="D575" t="inlineStr">
        <is>
          <t>Revolution and the transformation of societies : a comparative study of civilizations / S. N. Eisenstadt.</t>
        </is>
      </c>
      <c r="F575" t="inlineStr">
        <is>
          <t>No</t>
        </is>
      </c>
      <c r="G575" t="inlineStr">
        <is>
          <t>1</t>
        </is>
      </c>
      <c r="H575" t="inlineStr">
        <is>
          <t>No</t>
        </is>
      </c>
      <c r="I575" t="inlineStr">
        <is>
          <t>No</t>
        </is>
      </c>
      <c r="J575" t="inlineStr">
        <is>
          <t>0</t>
        </is>
      </c>
      <c r="K575" t="inlineStr">
        <is>
          <t>Eisenstadt, S. N. (Shmuel Noah), 1923-2010.</t>
        </is>
      </c>
      <c r="L575" t="inlineStr">
        <is>
          <t>New York : Free Press, c1978.</t>
        </is>
      </c>
      <c r="M575" t="inlineStr">
        <is>
          <t>1978</t>
        </is>
      </c>
      <c r="O575" t="inlineStr">
        <is>
          <t>eng</t>
        </is>
      </c>
      <c r="P575" t="inlineStr">
        <is>
          <t>nyu</t>
        </is>
      </c>
      <c r="R575" t="inlineStr">
        <is>
          <t xml:space="preserve">HM </t>
        </is>
      </c>
      <c r="S575" t="n">
        <v>8</v>
      </c>
      <c r="T575" t="n">
        <v>8</v>
      </c>
      <c r="U575" t="inlineStr">
        <is>
          <t>2005-03-28</t>
        </is>
      </c>
      <c r="V575" t="inlineStr">
        <is>
          <t>2005-03-28</t>
        </is>
      </c>
      <c r="W575" t="inlineStr">
        <is>
          <t>1990-04-25</t>
        </is>
      </c>
      <c r="X575" t="inlineStr">
        <is>
          <t>1990-04-25</t>
        </is>
      </c>
      <c r="Y575" t="n">
        <v>688</v>
      </c>
      <c r="Z575" t="n">
        <v>524</v>
      </c>
      <c r="AA575" t="n">
        <v>531</v>
      </c>
      <c r="AB575" t="n">
        <v>4</v>
      </c>
      <c r="AC575" t="n">
        <v>4</v>
      </c>
      <c r="AD575" t="n">
        <v>25</v>
      </c>
      <c r="AE575" t="n">
        <v>25</v>
      </c>
      <c r="AF575" t="n">
        <v>9</v>
      </c>
      <c r="AG575" t="n">
        <v>9</v>
      </c>
      <c r="AH575" t="n">
        <v>7</v>
      </c>
      <c r="AI575" t="n">
        <v>7</v>
      </c>
      <c r="AJ575" t="n">
        <v>16</v>
      </c>
      <c r="AK575" t="n">
        <v>16</v>
      </c>
      <c r="AL575" t="n">
        <v>2</v>
      </c>
      <c r="AM575" t="n">
        <v>2</v>
      </c>
      <c r="AN575" t="n">
        <v>0</v>
      </c>
      <c r="AO575" t="n">
        <v>0</v>
      </c>
      <c r="AP575" t="inlineStr">
        <is>
          <t>No</t>
        </is>
      </c>
      <c r="AQ575" t="inlineStr">
        <is>
          <t>Yes</t>
        </is>
      </c>
      <c r="AR575">
        <f>HYPERLINK("http://catalog.hathitrust.org/Record/000089783","HathiTrust Record")</f>
        <v/>
      </c>
      <c r="AS575">
        <f>HYPERLINK("https://creighton-primo.hosted.exlibrisgroup.com/primo-explore/search?tab=default_tab&amp;search_scope=EVERYTHING&amp;vid=01CRU&amp;lang=en_US&amp;offset=0&amp;query=any,contains,991004461629702656","Catalog Record")</f>
        <v/>
      </c>
      <c r="AT575">
        <f>HYPERLINK("http://www.worldcat.org/oclc/3543717","WorldCat Record")</f>
        <v/>
      </c>
      <c r="AU575" t="inlineStr">
        <is>
          <t>400479:eng</t>
        </is>
      </c>
      <c r="AV575" t="inlineStr">
        <is>
          <t>3543717</t>
        </is>
      </c>
      <c r="AW575" t="inlineStr">
        <is>
          <t>991004461629702656</t>
        </is>
      </c>
      <c r="AX575" t="inlineStr">
        <is>
          <t>991004461629702656</t>
        </is>
      </c>
      <c r="AY575" t="inlineStr">
        <is>
          <t>2264952900002656</t>
        </is>
      </c>
      <c r="AZ575" t="inlineStr">
        <is>
          <t>BOOK</t>
        </is>
      </c>
      <c r="BB575" t="inlineStr">
        <is>
          <t>9780029093900</t>
        </is>
      </c>
      <c r="BC575" t="inlineStr">
        <is>
          <t>32285000124130</t>
        </is>
      </c>
      <c r="BD575" t="inlineStr">
        <is>
          <t>893337755</t>
        </is>
      </c>
    </row>
    <row r="576">
      <c r="A576" t="inlineStr">
        <is>
          <t>No</t>
        </is>
      </c>
      <c r="B576" t="inlineStr">
        <is>
          <t>HM281 .F57 1986</t>
        </is>
      </c>
      <c r="C576" t="inlineStr">
        <is>
          <t>0                      HM 0281000F  57          1986</t>
        </is>
      </c>
      <c r="D576" t="inlineStr">
        <is>
          <t>Beyond revolution : a new theory of social movements / Daniel A. Foss, Ralph Larkin ; introduction by Stanley Aronowitz.</t>
        </is>
      </c>
      <c r="F576" t="inlineStr">
        <is>
          <t>No</t>
        </is>
      </c>
      <c r="G576" t="inlineStr">
        <is>
          <t>1</t>
        </is>
      </c>
      <c r="H576" t="inlineStr">
        <is>
          <t>No</t>
        </is>
      </c>
      <c r="I576" t="inlineStr">
        <is>
          <t>No</t>
        </is>
      </c>
      <c r="J576" t="inlineStr">
        <is>
          <t>0</t>
        </is>
      </c>
      <c r="K576" t="inlineStr">
        <is>
          <t>Foss, Daniel A., 1940-</t>
        </is>
      </c>
      <c r="L576" t="inlineStr">
        <is>
          <t>South Hadley, MA : Bergin &amp; Garvey, c1986.</t>
        </is>
      </c>
      <c r="M576" t="inlineStr">
        <is>
          <t>1985</t>
        </is>
      </c>
      <c r="O576" t="inlineStr">
        <is>
          <t>eng</t>
        </is>
      </c>
      <c r="P576" t="inlineStr">
        <is>
          <t>mau</t>
        </is>
      </c>
      <c r="Q576" t="inlineStr">
        <is>
          <t>Critical perspectives in social theory</t>
        </is>
      </c>
      <c r="R576" t="inlineStr">
        <is>
          <t xml:space="preserve">HM </t>
        </is>
      </c>
      <c r="S576" t="n">
        <v>3</v>
      </c>
      <c r="T576" t="n">
        <v>3</v>
      </c>
      <c r="U576" t="inlineStr">
        <is>
          <t>2005-03-28</t>
        </is>
      </c>
      <c r="V576" t="inlineStr">
        <is>
          <t>2005-03-28</t>
        </is>
      </c>
      <c r="W576" t="inlineStr">
        <is>
          <t>1992-09-09</t>
        </is>
      </c>
      <c r="X576" t="inlineStr">
        <is>
          <t>1992-09-09</t>
        </is>
      </c>
      <c r="Y576" t="n">
        <v>598</v>
      </c>
      <c r="Z576" t="n">
        <v>505</v>
      </c>
      <c r="AA576" t="n">
        <v>526</v>
      </c>
      <c r="AB576" t="n">
        <v>3</v>
      </c>
      <c r="AC576" t="n">
        <v>3</v>
      </c>
      <c r="AD576" t="n">
        <v>22</v>
      </c>
      <c r="AE576" t="n">
        <v>23</v>
      </c>
      <c r="AF576" t="n">
        <v>8</v>
      </c>
      <c r="AG576" t="n">
        <v>9</v>
      </c>
      <c r="AH576" t="n">
        <v>6</v>
      </c>
      <c r="AI576" t="n">
        <v>6</v>
      </c>
      <c r="AJ576" t="n">
        <v>10</v>
      </c>
      <c r="AK576" t="n">
        <v>11</v>
      </c>
      <c r="AL576" t="n">
        <v>2</v>
      </c>
      <c r="AM576" t="n">
        <v>2</v>
      </c>
      <c r="AN576" t="n">
        <v>0</v>
      </c>
      <c r="AO576" t="n">
        <v>0</v>
      </c>
      <c r="AP576" t="inlineStr">
        <is>
          <t>No</t>
        </is>
      </c>
      <c r="AQ576" t="inlineStr">
        <is>
          <t>Yes</t>
        </is>
      </c>
      <c r="AR576">
        <f>HYPERLINK("http://catalog.hathitrust.org/Record/000622053","HathiTrust Record")</f>
        <v/>
      </c>
      <c r="AS576">
        <f>HYPERLINK("https://creighton-primo.hosted.exlibrisgroup.com/primo-explore/search?tab=default_tab&amp;search_scope=EVERYTHING&amp;vid=01CRU&amp;lang=en_US&amp;offset=0&amp;query=any,contains,991000714159702656","Catalog Record")</f>
        <v/>
      </c>
      <c r="AT576">
        <f>HYPERLINK("http://www.worldcat.org/oclc/12613548","WorldCat Record")</f>
        <v/>
      </c>
      <c r="AU576" t="inlineStr">
        <is>
          <t>2887112:eng</t>
        </is>
      </c>
      <c r="AV576" t="inlineStr">
        <is>
          <t>12613548</t>
        </is>
      </c>
      <c r="AW576" t="inlineStr">
        <is>
          <t>991000714159702656</t>
        </is>
      </c>
      <c r="AX576" t="inlineStr">
        <is>
          <t>991000714159702656</t>
        </is>
      </c>
      <c r="AY576" t="inlineStr">
        <is>
          <t>2260435100002656</t>
        </is>
      </c>
      <c r="AZ576" t="inlineStr">
        <is>
          <t>BOOK</t>
        </is>
      </c>
      <c r="BB576" t="inlineStr">
        <is>
          <t>9780897890878</t>
        </is>
      </c>
      <c r="BC576" t="inlineStr">
        <is>
          <t>32285001268506</t>
        </is>
      </c>
      <c r="BD576" t="inlineStr">
        <is>
          <t>893771905</t>
        </is>
      </c>
    </row>
    <row r="577">
      <c r="A577" t="inlineStr">
        <is>
          <t>No</t>
        </is>
      </c>
      <c r="B577" t="inlineStr">
        <is>
          <t>HM281 .G43 1982</t>
        </is>
      </c>
      <c r="C577" t="inlineStr">
        <is>
          <t>0                      HM 0281000G  43          1982</t>
        </is>
      </c>
      <c r="D577" t="inlineStr">
        <is>
          <t>Genocide and human rights : a global anthology / edited with an introduction by Jack Nusan Porter.</t>
        </is>
      </c>
      <c r="F577" t="inlineStr">
        <is>
          <t>No</t>
        </is>
      </c>
      <c r="G577" t="inlineStr">
        <is>
          <t>1</t>
        </is>
      </c>
      <c r="H577" t="inlineStr">
        <is>
          <t>No</t>
        </is>
      </c>
      <c r="I577" t="inlineStr">
        <is>
          <t>No</t>
        </is>
      </c>
      <c r="J577" t="inlineStr">
        <is>
          <t>0</t>
        </is>
      </c>
      <c r="L577" t="inlineStr">
        <is>
          <t>Washington, D.C. : University Press of America, c1982.</t>
        </is>
      </c>
      <c r="M577" t="inlineStr">
        <is>
          <t>1982</t>
        </is>
      </c>
      <c r="O577" t="inlineStr">
        <is>
          <t>eng</t>
        </is>
      </c>
      <c r="P577" t="inlineStr">
        <is>
          <t>dcu</t>
        </is>
      </c>
      <c r="R577" t="inlineStr">
        <is>
          <t xml:space="preserve">HM </t>
        </is>
      </c>
      <c r="S577" t="n">
        <v>5</v>
      </c>
      <c r="T577" t="n">
        <v>5</v>
      </c>
      <c r="U577" t="inlineStr">
        <is>
          <t>2009-09-10</t>
        </is>
      </c>
      <c r="V577" t="inlineStr">
        <is>
          <t>2009-09-10</t>
        </is>
      </c>
      <c r="W577" t="inlineStr">
        <is>
          <t>1992-09-09</t>
        </is>
      </c>
      <c r="X577" t="inlineStr">
        <is>
          <t>1992-09-09</t>
        </is>
      </c>
      <c r="Y577" t="n">
        <v>501</v>
      </c>
      <c r="Z577" t="n">
        <v>430</v>
      </c>
      <c r="AA577" t="n">
        <v>435</v>
      </c>
      <c r="AB577" t="n">
        <v>5</v>
      </c>
      <c r="AC577" t="n">
        <v>5</v>
      </c>
      <c r="AD577" t="n">
        <v>30</v>
      </c>
      <c r="AE577" t="n">
        <v>30</v>
      </c>
      <c r="AF577" t="n">
        <v>9</v>
      </c>
      <c r="AG577" t="n">
        <v>9</v>
      </c>
      <c r="AH577" t="n">
        <v>6</v>
      </c>
      <c r="AI577" t="n">
        <v>6</v>
      </c>
      <c r="AJ577" t="n">
        <v>13</v>
      </c>
      <c r="AK577" t="n">
        <v>13</v>
      </c>
      <c r="AL577" t="n">
        <v>4</v>
      </c>
      <c r="AM577" t="n">
        <v>4</v>
      </c>
      <c r="AN577" t="n">
        <v>3</v>
      </c>
      <c r="AO577" t="n">
        <v>3</v>
      </c>
      <c r="AP577" t="inlineStr">
        <is>
          <t>No</t>
        </is>
      </c>
      <c r="AQ577" t="inlineStr">
        <is>
          <t>Yes</t>
        </is>
      </c>
      <c r="AR577">
        <f>HYPERLINK("http://catalog.hathitrust.org/Record/000268604","HathiTrust Record")</f>
        <v/>
      </c>
      <c r="AS577">
        <f>HYPERLINK("https://creighton-primo.hosted.exlibrisgroup.com/primo-explore/search?tab=default_tab&amp;search_scope=EVERYTHING&amp;vid=01CRU&amp;lang=en_US&amp;offset=0&amp;query=any,contains,991005215969702656","Catalog Record")</f>
        <v/>
      </c>
      <c r="AT577">
        <f>HYPERLINK("http://www.worldcat.org/oclc/8194284","WorldCat Record")</f>
        <v/>
      </c>
      <c r="AU577" t="inlineStr">
        <is>
          <t>54481016:eng</t>
        </is>
      </c>
      <c r="AV577" t="inlineStr">
        <is>
          <t>8194284</t>
        </is>
      </c>
      <c r="AW577" t="inlineStr">
        <is>
          <t>991005215969702656</t>
        </is>
      </c>
      <c r="AX577" t="inlineStr">
        <is>
          <t>991005215969702656</t>
        </is>
      </c>
      <c r="AY577" t="inlineStr">
        <is>
          <t>2268667780002656</t>
        </is>
      </c>
      <c r="AZ577" t="inlineStr">
        <is>
          <t>BOOK</t>
        </is>
      </c>
      <c r="BB577" t="inlineStr">
        <is>
          <t>9780819122896</t>
        </is>
      </c>
      <c r="BC577" t="inlineStr">
        <is>
          <t>32285001268514</t>
        </is>
      </c>
      <c r="BD577" t="inlineStr">
        <is>
          <t>893260737</t>
        </is>
      </c>
    </row>
    <row r="578">
      <c r="A578" t="inlineStr">
        <is>
          <t>No</t>
        </is>
      </c>
      <c r="B578" t="inlineStr">
        <is>
          <t>HM281 .H24</t>
        </is>
      </c>
      <c r="C578" t="inlineStr">
        <is>
          <t>0                      HM 0281000H  24</t>
        </is>
      </c>
      <c r="D578" t="inlineStr">
        <is>
          <t>The phenomenon of revolution [by] Mark N. Hagopian.</t>
        </is>
      </c>
      <c r="F578" t="inlineStr">
        <is>
          <t>No</t>
        </is>
      </c>
      <c r="G578" t="inlineStr">
        <is>
          <t>1</t>
        </is>
      </c>
      <c r="H578" t="inlineStr">
        <is>
          <t>No</t>
        </is>
      </c>
      <c r="I578" t="inlineStr">
        <is>
          <t>No</t>
        </is>
      </c>
      <c r="J578" t="inlineStr">
        <is>
          <t>0</t>
        </is>
      </c>
      <c r="K578" t="inlineStr">
        <is>
          <t>Hagopian, Mark N.</t>
        </is>
      </c>
      <c r="L578" t="inlineStr">
        <is>
          <t>New York, Dodd, Mead, 1974.</t>
        </is>
      </c>
      <c r="M578" t="inlineStr">
        <is>
          <t>1974</t>
        </is>
      </c>
      <c r="O578" t="inlineStr">
        <is>
          <t>eng</t>
        </is>
      </c>
      <c r="P578" t="inlineStr">
        <is>
          <t>nyu</t>
        </is>
      </c>
      <c r="R578" t="inlineStr">
        <is>
          <t xml:space="preserve">HM </t>
        </is>
      </c>
      <c r="S578" t="n">
        <v>3</v>
      </c>
      <c r="T578" t="n">
        <v>3</v>
      </c>
      <c r="U578" t="inlineStr">
        <is>
          <t>2005-02-20</t>
        </is>
      </c>
      <c r="V578" t="inlineStr">
        <is>
          <t>2005-02-20</t>
        </is>
      </c>
      <c r="W578" t="inlineStr">
        <is>
          <t>1997-08-04</t>
        </is>
      </c>
      <c r="X578" t="inlineStr">
        <is>
          <t>1997-08-04</t>
        </is>
      </c>
      <c r="Y578" t="n">
        <v>502</v>
      </c>
      <c r="Z578" t="n">
        <v>423</v>
      </c>
      <c r="AA578" t="n">
        <v>462</v>
      </c>
      <c r="AB578" t="n">
        <v>1</v>
      </c>
      <c r="AC578" t="n">
        <v>2</v>
      </c>
      <c r="AD578" t="n">
        <v>17</v>
      </c>
      <c r="AE578" t="n">
        <v>21</v>
      </c>
      <c r="AF578" t="n">
        <v>7</v>
      </c>
      <c r="AG578" t="n">
        <v>9</v>
      </c>
      <c r="AH578" t="n">
        <v>4</v>
      </c>
      <c r="AI578" t="n">
        <v>4</v>
      </c>
      <c r="AJ578" t="n">
        <v>12</v>
      </c>
      <c r="AK578" t="n">
        <v>14</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HYPERLINK("https://creighton-primo.hosted.exlibrisgroup.com/primo-explore/search?tab=default_tab&amp;search_scope=EVERYTHING&amp;vid=01CRU&amp;lang=en_US&amp;offset=0&amp;query=any,contains,991003400379702656","Catalog Record")</f>
        <v/>
      </c>
      <c r="AT578">
        <f>HYPERLINK("http://www.worldcat.org/oclc/940316","WorldCat Record")</f>
        <v/>
      </c>
      <c r="AU578" t="inlineStr">
        <is>
          <t>403576:eng</t>
        </is>
      </c>
      <c r="AV578" t="inlineStr">
        <is>
          <t>940316</t>
        </is>
      </c>
      <c r="AW578" t="inlineStr">
        <is>
          <t>991003400379702656</t>
        </is>
      </c>
      <c r="AX578" t="inlineStr">
        <is>
          <t>991003400379702656</t>
        </is>
      </c>
      <c r="AY578" t="inlineStr">
        <is>
          <t>2261371640002656</t>
        </is>
      </c>
      <c r="AZ578" t="inlineStr">
        <is>
          <t>BOOK</t>
        </is>
      </c>
      <c r="BB578" t="inlineStr">
        <is>
          <t>9780396069386</t>
        </is>
      </c>
      <c r="BC578" t="inlineStr">
        <is>
          <t>32285003019576</t>
        </is>
      </c>
      <c r="BD578" t="inlineStr">
        <is>
          <t>893524782</t>
        </is>
      </c>
    </row>
    <row r="579">
      <c r="A579" t="inlineStr">
        <is>
          <t>No</t>
        </is>
      </c>
      <c r="B579" t="inlineStr">
        <is>
          <t>HM281 .I7 1974 pt.1</t>
        </is>
      </c>
      <c r="C579" t="inlineStr">
        <is>
          <t>0                      HM 0281000I  7           1974                                        pt.1</t>
        </is>
      </c>
      <c r="D579" t="inlineStr">
        <is>
          <t>Urban guerilla : studies on the theory, strategy and practice of political violence in modern societies / edited by Johan Niezing.</t>
        </is>
      </c>
      <c r="E579" t="inlineStr">
        <is>
          <t>pt.1*</t>
        </is>
      </c>
      <c r="F579" t="inlineStr">
        <is>
          <t>No</t>
        </is>
      </c>
      <c r="G579" t="inlineStr">
        <is>
          <t>1</t>
        </is>
      </c>
      <c r="H579" t="inlineStr">
        <is>
          <t>No</t>
        </is>
      </c>
      <c r="I579" t="inlineStr">
        <is>
          <t>No</t>
        </is>
      </c>
      <c r="J579" t="inlineStr">
        <is>
          <t>0</t>
        </is>
      </c>
      <c r="K579" t="inlineStr">
        <is>
          <t>International Working Conference on Violence and Non-Violent Action in Industrialized Societies (1st : 1974 : Brussels, Belgium)</t>
        </is>
      </c>
      <c r="L579" t="inlineStr">
        <is>
          <t>[Rotterdam] : Rotterdam University Press, 1974.</t>
        </is>
      </c>
      <c r="M579" t="inlineStr">
        <is>
          <t>1974</t>
        </is>
      </c>
      <c r="O579" t="inlineStr">
        <is>
          <t>eng</t>
        </is>
      </c>
      <c r="P579" t="inlineStr">
        <is>
          <t xml:space="preserve">ne </t>
        </is>
      </c>
      <c r="Q579" t="inlineStr">
        <is>
          <t>Proceedings of the 1st International Working Conference on Violence and Non-Violent Action in Industrialized Societies ; pt. 1</t>
        </is>
      </c>
      <c r="R579" t="inlineStr">
        <is>
          <t xml:space="preserve">HM </t>
        </is>
      </c>
      <c r="S579" t="n">
        <v>5</v>
      </c>
      <c r="T579" t="n">
        <v>5</v>
      </c>
      <c r="U579" t="inlineStr">
        <is>
          <t>2005-03-15</t>
        </is>
      </c>
      <c r="V579" t="inlineStr">
        <is>
          <t>2005-03-15</t>
        </is>
      </c>
      <c r="W579" t="inlineStr">
        <is>
          <t>1997-08-04</t>
        </is>
      </c>
      <c r="X579" t="inlineStr">
        <is>
          <t>1997-08-04</t>
        </is>
      </c>
      <c r="Y579" t="n">
        <v>207</v>
      </c>
      <c r="Z579" t="n">
        <v>123</v>
      </c>
      <c r="AA579" t="n">
        <v>128</v>
      </c>
      <c r="AB579" t="n">
        <v>1</v>
      </c>
      <c r="AC579" t="n">
        <v>1</v>
      </c>
      <c r="AD579" t="n">
        <v>6</v>
      </c>
      <c r="AE579" t="n">
        <v>6</v>
      </c>
      <c r="AF579" t="n">
        <v>0</v>
      </c>
      <c r="AG579" t="n">
        <v>0</v>
      </c>
      <c r="AH579" t="n">
        <v>1</v>
      </c>
      <c r="AI579" t="n">
        <v>1</v>
      </c>
      <c r="AJ579" t="n">
        <v>2</v>
      </c>
      <c r="AK579" t="n">
        <v>2</v>
      </c>
      <c r="AL579" t="n">
        <v>0</v>
      </c>
      <c r="AM579" t="n">
        <v>0</v>
      </c>
      <c r="AN579" t="n">
        <v>3</v>
      </c>
      <c r="AO579" t="n">
        <v>3</v>
      </c>
      <c r="AP579" t="inlineStr">
        <is>
          <t>No</t>
        </is>
      </c>
      <c r="AQ579" t="inlineStr">
        <is>
          <t>No</t>
        </is>
      </c>
      <c r="AS579">
        <f>HYPERLINK("https://creighton-primo.hosted.exlibrisgroup.com/primo-explore/search?tab=default_tab&amp;search_scope=EVERYTHING&amp;vid=01CRU&amp;lang=en_US&amp;offset=0&amp;query=any,contains,991003804579702656","Catalog Record")</f>
        <v/>
      </c>
      <c r="AT579">
        <f>HYPERLINK("http://www.worldcat.org/oclc/1529625","WorldCat Record")</f>
        <v/>
      </c>
      <c r="AU579" t="inlineStr">
        <is>
          <t>898374388:eng</t>
        </is>
      </c>
      <c r="AV579" t="inlineStr">
        <is>
          <t>1529625</t>
        </is>
      </c>
      <c r="AW579" t="inlineStr">
        <is>
          <t>991003804579702656</t>
        </is>
      </c>
      <c r="AX579" t="inlineStr">
        <is>
          <t>991003804579702656</t>
        </is>
      </c>
      <c r="AY579" t="inlineStr">
        <is>
          <t>2256506290002656</t>
        </is>
      </c>
      <c r="AZ579" t="inlineStr">
        <is>
          <t>BOOK</t>
        </is>
      </c>
      <c r="BB579" t="inlineStr">
        <is>
          <t>9789023762454</t>
        </is>
      </c>
      <c r="BC579" t="inlineStr">
        <is>
          <t>32285003019584</t>
        </is>
      </c>
      <c r="BD579" t="inlineStr">
        <is>
          <t>893441771</t>
        </is>
      </c>
    </row>
    <row r="580">
      <c r="A580" t="inlineStr">
        <is>
          <t>No</t>
        </is>
      </c>
      <c r="B580" t="inlineStr">
        <is>
          <t>HM281 .K8</t>
        </is>
      </c>
      <c r="C580" t="inlineStr">
        <is>
          <t>0                      HM 0281000K  8</t>
        </is>
      </c>
      <c r="D580" t="inlineStr">
        <is>
          <t>Violence : perspectives on murder and aggression / Irwin L. Kutash, Samuel B. Kutash, Louis B. Schlesinger and associates ; Foreword by Alexander Wolf. --</t>
        </is>
      </c>
      <c r="F580" t="inlineStr">
        <is>
          <t>No</t>
        </is>
      </c>
      <c r="G580" t="inlineStr">
        <is>
          <t>1</t>
        </is>
      </c>
      <c r="H580" t="inlineStr">
        <is>
          <t>No</t>
        </is>
      </c>
      <c r="I580" t="inlineStr">
        <is>
          <t>No</t>
        </is>
      </c>
      <c r="J580" t="inlineStr">
        <is>
          <t>0</t>
        </is>
      </c>
      <c r="K580" t="inlineStr">
        <is>
          <t>Kutash, Irwin L.</t>
        </is>
      </c>
      <c r="L580" t="inlineStr">
        <is>
          <t>San Francisco : Jossey-Bass, 1978.</t>
        </is>
      </c>
      <c r="M580" t="inlineStr">
        <is>
          <t>1978</t>
        </is>
      </c>
      <c r="N580" t="inlineStr">
        <is>
          <t>1st ed.</t>
        </is>
      </c>
      <c r="O580" t="inlineStr">
        <is>
          <t>eng</t>
        </is>
      </c>
      <c r="P580" t="inlineStr">
        <is>
          <t>cau</t>
        </is>
      </c>
      <c r="Q580" t="inlineStr">
        <is>
          <t>The Jossey-Bass social and behavioral science series</t>
        </is>
      </c>
      <c r="R580" t="inlineStr">
        <is>
          <t xml:space="preserve">HM </t>
        </is>
      </c>
      <c r="S580" t="n">
        <v>3</v>
      </c>
      <c r="T580" t="n">
        <v>3</v>
      </c>
      <c r="U580" t="inlineStr">
        <is>
          <t>1999-03-16</t>
        </is>
      </c>
      <c r="V580" t="inlineStr">
        <is>
          <t>1999-03-16</t>
        </is>
      </c>
      <c r="W580" t="inlineStr">
        <is>
          <t>1992-09-09</t>
        </is>
      </c>
      <c r="X580" t="inlineStr">
        <is>
          <t>1992-09-09</t>
        </is>
      </c>
      <c r="Y580" t="n">
        <v>592</v>
      </c>
      <c r="Z580" t="n">
        <v>486</v>
      </c>
      <c r="AA580" t="n">
        <v>494</v>
      </c>
      <c r="AB580" t="n">
        <v>4</v>
      </c>
      <c r="AC580" t="n">
        <v>4</v>
      </c>
      <c r="AD580" t="n">
        <v>24</v>
      </c>
      <c r="AE580" t="n">
        <v>24</v>
      </c>
      <c r="AF580" t="n">
        <v>8</v>
      </c>
      <c r="AG580" t="n">
        <v>8</v>
      </c>
      <c r="AH580" t="n">
        <v>6</v>
      </c>
      <c r="AI580" t="n">
        <v>6</v>
      </c>
      <c r="AJ580" t="n">
        <v>12</v>
      </c>
      <c r="AK580" t="n">
        <v>12</v>
      </c>
      <c r="AL580" t="n">
        <v>3</v>
      </c>
      <c r="AM580" t="n">
        <v>3</v>
      </c>
      <c r="AN580" t="n">
        <v>2</v>
      </c>
      <c r="AO580" t="n">
        <v>2</v>
      </c>
      <c r="AP580" t="inlineStr">
        <is>
          <t>No</t>
        </is>
      </c>
      <c r="AQ580" t="inlineStr">
        <is>
          <t>Yes</t>
        </is>
      </c>
      <c r="AR580">
        <f>HYPERLINK("http://catalog.hathitrust.org/Record/000301293","HathiTrust Record")</f>
        <v/>
      </c>
      <c r="AS580">
        <f>HYPERLINK("https://creighton-primo.hosted.exlibrisgroup.com/primo-explore/search?tab=default_tab&amp;search_scope=EVERYTHING&amp;vid=01CRU&amp;lang=en_US&amp;offset=0&amp;query=any,contains,991004675229702656","Catalog Record")</f>
        <v/>
      </c>
      <c r="AT580">
        <f>HYPERLINK("http://www.worldcat.org/oclc/42882900","WorldCat Record")</f>
        <v/>
      </c>
      <c r="AU580" t="inlineStr">
        <is>
          <t>532681:eng</t>
        </is>
      </c>
      <c r="AV580" t="inlineStr">
        <is>
          <t>42882900</t>
        </is>
      </c>
      <c r="AW580" t="inlineStr">
        <is>
          <t>991004675229702656</t>
        </is>
      </c>
      <c r="AX580" t="inlineStr">
        <is>
          <t>991004675229702656</t>
        </is>
      </c>
      <c r="AY580" t="inlineStr">
        <is>
          <t>2271792570002656</t>
        </is>
      </c>
      <c r="AZ580" t="inlineStr">
        <is>
          <t>BOOK</t>
        </is>
      </c>
      <c r="BB580" t="inlineStr">
        <is>
          <t>9780875893884</t>
        </is>
      </c>
      <c r="BC580" t="inlineStr">
        <is>
          <t>32285001268522</t>
        </is>
      </c>
      <c r="BD580" t="inlineStr">
        <is>
          <t>893606327</t>
        </is>
      </c>
    </row>
    <row r="581">
      <c r="A581" t="inlineStr">
        <is>
          <t>No</t>
        </is>
      </c>
      <c r="B581" t="inlineStr">
        <is>
          <t>HM281 .L66 1985</t>
        </is>
      </c>
      <c r="C581" t="inlineStr">
        <is>
          <t>0                      HM 0281000L  66          1985</t>
        </is>
      </c>
      <c r="D581" t="inlineStr">
        <is>
          <t>Protest : studies of collective behavior and social movements / John Lofland.</t>
        </is>
      </c>
      <c r="F581" t="inlineStr">
        <is>
          <t>No</t>
        </is>
      </c>
      <c r="G581" t="inlineStr">
        <is>
          <t>1</t>
        </is>
      </c>
      <c r="H581" t="inlineStr">
        <is>
          <t>No</t>
        </is>
      </c>
      <c r="I581" t="inlineStr">
        <is>
          <t>No</t>
        </is>
      </c>
      <c r="J581" t="inlineStr">
        <is>
          <t>0</t>
        </is>
      </c>
      <c r="K581" t="inlineStr">
        <is>
          <t>Lofland, John.</t>
        </is>
      </c>
      <c r="L581" t="inlineStr">
        <is>
          <t>New Brunswick N.J., U.S.A. : Transaction Books, c1985.</t>
        </is>
      </c>
      <c r="M581" t="inlineStr">
        <is>
          <t>1985</t>
        </is>
      </c>
      <c r="O581" t="inlineStr">
        <is>
          <t>eng</t>
        </is>
      </c>
      <c r="P581" t="inlineStr">
        <is>
          <t>nju</t>
        </is>
      </c>
      <c r="R581" t="inlineStr">
        <is>
          <t xml:space="preserve">HM </t>
        </is>
      </c>
      <c r="S581" t="n">
        <v>3</v>
      </c>
      <c r="T581" t="n">
        <v>3</v>
      </c>
      <c r="U581" t="inlineStr">
        <is>
          <t>1993-11-09</t>
        </is>
      </c>
      <c r="V581" t="inlineStr">
        <is>
          <t>1993-11-09</t>
        </is>
      </c>
      <c r="W581" t="inlineStr">
        <is>
          <t>1992-09-09</t>
        </is>
      </c>
      <c r="X581" t="inlineStr">
        <is>
          <t>1992-09-09</t>
        </is>
      </c>
      <c r="Y581" t="n">
        <v>414</v>
      </c>
      <c r="Z581" t="n">
        <v>331</v>
      </c>
      <c r="AA581" t="n">
        <v>349</v>
      </c>
      <c r="AB581" t="n">
        <v>3</v>
      </c>
      <c r="AC581" t="n">
        <v>3</v>
      </c>
      <c r="AD581" t="n">
        <v>16</v>
      </c>
      <c r="AE581" t="n">
        <v>16</v>
      </c>
      <c r="AF581" t="n">
        <v>3</v>
      </c>
      <c r="AG581" t="n">
        <v>3</v>
      </c>
      <c r="AH581" t="n">
        <v>4</v>
      </c>
      <c r="AI581" t="n">
        <v>4</v>
      </c>
      <c r="AJ581" t="n">
        <v>11</v>
      </c>
      <c r="AK581" t="n">
        <v>11</v>
      </c>
      <c r="AL581" t="n">
        <v>2</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HYPERLINK("https://creighton-primo.hosted.exlibrisgroup.com/primo-explore/search?tab=default_tab&amp;search_scope=EVERYTHING&amp;vid=01CRU&amp;lang=en_US&amp;offset=0&amp;query=any,contains,991000468019702656","Catalog Record")</f>
        <v/>
      </c>
      <c r="AT581">
        <f>HYPERLINK("http://www.worldcat.org/oclc/10989906","WorldCat Record")</f>
        <v/>
      </c>
      <c r="AU581" t="inlineStr">
        <is>
          <t>347654112:eng</t>
        </is>
      </c>
      <c r="AV581" t="inlineStr">
        <is>
          <t>10989906</t>
        </is>
      </c>
      <c r="AW581" t="inlineStr">
        <is>
          <t>991000468019702656</t>
        </is>
      </c>
      <c r="AX581" t="inlineStr">
        <is>
          <t>991000468019702656</t>
        </is>
      </c>
      <c r="AY581" t="inlineStr">
        <is>
          <t>2257840600002656</t>
        </is>
      </c>
      <c r="AZ581" t="inlineStr">
        <is>
          <t>BOOK</t>
        </is>
      </c>
      <c r="BB581" t="inlineStr">
        <is>
          <t>9780887380310</t>
        </is>
      </c>
      <c r="BC581" t="inlineStr">
        <is>
          <t>32285001268530</t>
        </is>
      </c>
      <c r="BD581" t="inlineStr">
        <is>
          <t>893878068</t>
        </is>
      </c>
    </row>
    <row r="582">
      <c r="A582" t="inlineStr">
        <is>
          <t>No</t>
        </is>
      </c>
      <c r="B582" t="inlineStr">
        <is>
          <t>HM281 .L67 1971b</t>
        </is>
      </c>
      <c r="C582" t="inlineStr">
        <is>
          <t>0                      HM 0281000L  67          1971b</t>
        </is>
      </c>
      <c r="D582" t="inlineStr">
        <is>
          <t>"All we are saying ... " The philosophy of the New Left.</t>
        </is>
      </c>
      <c r="F582" t="inlineStr">
        <is>
          <t>No</t>
        </is>
      </c>
      <c r="G582" t="inlineStr">
        <is>
          <t>1</t>
        </is>
      </c>
      <c r="H582" t="inlineStr">
        <is>
          <t>No</t>
        </is>
      </c>
      <c r="I582" t="inlineStr">
        <is>
          <t>No</t>
        </is>
      </c>
      <c r="J582" t="inlineStr">
        <is>
          <t>0</t>
        </is>
      </c>
      <c r="K582" t="inlineStr">
        <is>
          <t>Lothstein, Arthur compiler.</t>
        </is>
      </c>
      <c r="L582" t="inlineStr">
        <is>
          <t>New York, Putnam [1971, c1970]</t>
        </is>
      </c>
      <c r="M582" t="inlineStr">
        <is>
          <t>1971</t>
        </is>
      </c>
      <c r="O582" t="inlineStr">
        <is>
          <t>eng</t>
        </is>
      </c>
      <c r="P582" t="inlineStr">
        <is>
          <t>nyu</t>
        </is>
      </c>
      <c r="R582" t="inlineStr">
        <is>
          <t xml:space="preserve">HM </t>
        </is>
      </c>
      <c r="S582" t="n">
        <v>3</v>
      </c>
      <c r="T582" t="n">
        <v>3</v>
      </c>
      <c r="U582" t="inlineStr">
        <is>
          <t>2001-05-15</t>
        </is>
      </c>
      <c r="V582" t="inlineStr">
        <is>
          <t>2001-05-15</t>
        </is>
      </c>
      <c r="W582" t="inlineStr">
        <is>
          <t>1997-08-04</t>
        </is>
      </c>
      <c r="X582" t="inlineStr">
        <is>
          <t>1997-08-04</t>
        </is>
      </c>
      <c r="Y582" t="n">
        <v>581</v>
      </c>
      <c r="Z582" t="n">
        <v>543</v>
      </c>
      <c r="AA582" t="n">
        <v>742</v>
      </c>
      <c r="AB582" t="n">
        <v>6</v>
      </c>
      <c r="AC582" t="n">
        <v>6</v>
      </c>
      <c r="AD582" t="n">
        <v>30</v>
      </c>
      <c r="AE582" t="n">
        <v>36</v>
      </c>
      <c r="AF582" t="n">
        <v>12</v>
      </c>
      <c r="AG582" t="n">
        <v>16</v>
      </c>
      <c r="AH582" t="n">
        <v>4</v>
      </c>
      <c r="AI582" t="n">
        <v>5</v>
      </c>
      <c r="AJ582" t="n">
        <v>16</v>
      </c>
      <c r="AK582" t="n">
        <v>20</v>
      </c>
      <c r="AL582" t="n">
        <v>5</v>
      </c>
      <c r="AM582" t="n">
        <v>5</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HYPERLINK("https://creighton-primo.hosted.exlibrisgroup.com/primo-explore/search?tab=default_tab&amp;search_scope=EVERYTHING&amp;vid=01CRU&amp;lang=en_US&amp;offset=0&amp;query=any,contains,991001173719702656","Catalog Record")</f>
        <v/>
      </c>
      <c r="AT582">
        <f>HYPERLINK("http://www.worldcat.org/oclc/188441","WorldCat Record")</f>
        <v/>
      </c>
      <c r="AU582" t="inlineStr">
        <is>
          <t>1342342:eng</t>
        </is>
      </c>
      <c r="AV582" t="inlineStr">
        <is>
          <t>188441</t>
        </is>
      </c>
      <c r="AW582" t="inlineStr">
        <is>
          <t>991001173719702656</t>
        </is>
      </c>
      <c r="AX582" t="inlineStr">
        <is>
          <t>991001173719702656</t>
        </is>
      </c>
      <c r="AY582" t="inlineStr">
        <is>
          <t>2267888130002656</t>
        </is>
      </c>
      <c r="AZ582" t="inlineStr">
        <is>
          <t>BOOK</t>
        </is>
      </c>
      <c r="BC582" t="inlineStr">
        <is>
          <t>32285003019600</t>
        </is>
      </c>
      <c r="BD582" t="inlineStr">
        <is>
          <t>893438930</t>
        </is>
      </c>
    </row>
    <row r="583">
      <c r="A583" t="inlineStr">
        <is>
          <t>No</t>
        </is>
      </c>
      <c r="B583" t="inlineStr">
        <is>
          <t>HM281 .M667 1999</t>
        </is>
      </c>
      <c r="C583" t="inlineStr">
        <is>
          <t>0                      HM 0281000M  667         1999</t>
        </is>
      </c>
      <c r="D583" t="inlineStr">
        <is>
          <t>Revolutions, nations, empires : conceptual limits and theoretical possibilities / Alexander J. Motyl.</t>
        </is>
      </c>
      <c r="F583" t="inlineStr">
        <is>
          <t>No</t>
        </is>
      </c>
      <c r="G583" t="inlineStr">
        <is>
          <t>1</t>
        </is>
      </c>
      <c r="H583" t="inlineStr">
        <is>
          <t>No</t>
        </is>
      </c>
      <c r="I583" t="inlineStr">
        <is>
          <t>No</t>
        </is>
      </c>
      <c r="J583" t="inlineStr">
        <is>
          <t>0</t>
        </is>
      </c>
      <c r="K583" t="inlineStr">
        <is>
          <t>Motyl, Alexander J.</t>
        </is>
      </c>
      <c r="L583" t="inlineStr">
        <is>
          <t>New York : Columbia University Press, c1999.</t>
        </is>
      </c>
      <c r="M583" t="inlineStr">
        <is>
          <t>1999</t>
        </is>
      </c>
      <c r="O583" t="inlineStr">
        <is>
          <t>eng</t>
        </is>
      </c>
      <c r="P583" t="inlineStr">
        <is>
          <t>nyu</t>
        </is>
      </c>
      <c r="R583" t="inlineStr">
        <is>
          <t xml:space="preserve">HM </t>
        </is>
      </c>
      <c r="S583" t="n">
        <v>5</v>
      </c>
      <c r="T583" t="n">
        <v>5</v>
      </c>
      <c r="U583" t="inlineStr">
        <is>
          <t>2007-03-23</t>
        </is>
      </c>
      <c r="V583" t="inlineStr">
        <is>
          <t>2007-03-23</t>
        </is>
      </c>
      <c r="W583" t="inlineStr">
        <is>
          <t>2000-10-18</t>
        </is>
      </c>
      <c r="X583" t="inlineStr">
        <is>
          <t>2000-10-18</t>
        </is>
      </c>
      <c r="Y583" t="n">
        <v>401</v>
      </c>
      <c r="Z583" t="n">
        <v>326</v>
      </c>
      <c r="AA583" t="n">
        <v>326</v>
      </c>
      <c r="AB583" t="n">
        <v>3</v>
      </c>
      <c r="AC583" t="n">
        <v>3</v>
      </c>
      <c r="AD583" t="n">
        <v>23</v>
      </c>
      <c r="AE583" t="n">
        <v>23</v>
      </c>
      <c r="AF583" t="n">
        <v>8</v>
      </c>
      <c r="AG583" t="n">
        <v>8</v>
      </c>
      <c r="AH583" t="n">
        <v>7</v>
      </c>
      <c r="AI583" t="n">
        <v>7</v>
      </c>
      <c r="AJ583" t="n">
        <v>12</v>
      </c>
      <c r="AK583" t="n">
        <v>12</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HYPERLINK("https://creighton-primo.hosted.exlibrisgroup.com/primo-explore/search?tab=default_tab&amp;search_scope=EVERYTHING&amp;vid=01CRU&amp;lang=en_US&amp;offset=0&amp;query=any,contains,991003249279702656","Catalog Record")</f>
        <v/>
      </c>
      <c r="AT583">
        <f>HYPERLINK("http://www.worldcat.org/oclc/40820968","WorldCat Record")</f>
        <v/>
      </c>
      <c r="AU583" t="inlineStr">
        <is>
          <t>836914418:eng</t>
        </is>
      </c>
      <c r="AV583" t="inlineStr">
        <is>
          <t>40820968</t>
        </is>
      </c>
      <c r="AW583" t="inlineStr">
        <is>
          <t>991003249279702656</t>
        </is>
      </c>
      <c r="AX583" t="inlineStr">
        <is>
          <t>991003249279702656</t>
        </is>
      </c>
      <c r="AY583" t="inlineStr">
        <is>
          <t>2272243500002656</t>
        </is>
      </c>
      <c r="AZ583" t="inlineStr">
        <is>
          <t>BOOK</t>
        </is>
      </c>
      <c r="BB583" t="inlineStr">
        <is>
          <t>9780231114301</t>
        </is>
      </c>
      <c r="BC583" t="inlineStr">
        <is>
          <t>32285003768743</t>
        </is>
      </c>
      <c r="BD583" t="inlineStr">
        <is>
          <t>893441069</t>
        </is>
      </c>
    </row>
    <row r="584">
      <c r="A584" t="inlineStr">
        <is>
          <t>No</t>
        </is>
      </c>
      <c r="B584" t="inlineStr">
        <is>
          <t>HM281 .O2 1969</t>
        </is>
      </c>
      <c r="C584" t="inlineStr">
        <is>
          <t>0                      HM 0281000O  2           1969</t>
        </is>
      </c>
      <c r="D584" t="inlineStr">
        <is>
          <t>Society revolution and reform; proceedings. Edited by Robert H. Grimm and Alfred F. MacKay.</t>
        </is>
      </c>
      <c r="F584" t="inlineStr">
        <is>
          <t>No</t>
        </is>
      </c>
      <c r="G584" t="inlineStr">
        <is>
          <t>1</t>
        </is>
      </c>
      <c r="H584" t="inlineStr">
        <is>
          <t>No</t>
        </is>
      </c>
      <c r="I584" t="inlineStr">
        <is>
          <t>No</t>
        </is>
      </c>
      <c r="J584" t="inlineStr">
        <is>
          <t>0</t>
        </is>
      </c>
      <c r="K584" t="inlineStr">
        <is>
          <t>Oberlin Colloquium in Philosophy (10th : 1969 : Oberlin College)</t>
        </is>
      </c>
      <c r="L584" t="inlineStr">
        <is>
          <t>Cleveland, Press of Case Western Reserve University, 1971.</t>
        </is>
      </c>
      <c r="M584" t="inlineStr">
        <is>
          <t>1971</t>
        </is>
      </c>
      <c r="O584" t="inlineStr">
        <is>
          <t>eng</t>
        </is>
      </c>
      <c r="P584" t="inlineStr">
        <is>
          <t>ohu</t>
        </is>
      </c>
      <c r="R584" t="inlineStr">
        <is>
          <t xml:space="preserve">HM </t>
        </is>
      </c>
      <c r="S584" t="n">
        <v>5</v>
      </c>
      <c r="T584" t="n">
        <v>5</v>
      </c>
      <c r="U584" t="inlineStr">
        <is>
          <t>1999-02-22</t>
        </is>
      </c>
      <c r="V584" t="inlineStr">
        <is>
          <t>1999-02-22</t>
        </is>
      </c>
      <c r="W584" t="inlineStr">
        <is>
          <t>1997-08-04</t>
        </is>
      </c>
      <c r="X584" t="inlineStr">
        <is>
          <t>1997-08-04</t>
        </is>
      </c>
      <c r="Y584" t="n">
        <v>439</v>
      </c>
      <c r="Z584" t="n">
        <v>386</v>
      </c>
      <c r="AA584" t="n">
        <v>392</v>
      </c>
      <c r="AB584" t="n">
        <v>3</v>
      </c>
      <c r="AC584" t="n">
        <v>3</v>
      </c>
      <c r="AD584" t="n">
        <v>15</v>
      </c>
      <c r="AE584" t="n">
        <v>15</v>
      </c>
      <c r="AF584" t="n">
        <v>4</v>
      </c>
      <c r="AG584" t="n">
        <v>4</v>
      </c>
      <c r="AH584" t="n">
        <v>5</v>
      </c>
      <c r="AI584" t="n">
        <v>5</v>
      </c>
      <c r="AJ584" t="n">
        <v>6</v>
      </c>
      <c r="AK584" t="n">
        <v>6</v>
      </c>
      <c r="AL584" t="n">
        <v>2</v>
      </c>
      <c r="AM584" t="n">
        <v>2</v>
      </c>
      <c r="AN584" t="n">
        <v>1</v>
      </c>
      <c r="AO584" t="n">
        <v>1</v>
      </c>
      <c r="AP584" t="inlineStr">
        <is>
          <t>No</t>
        </is>
      </c>
      <c r="AQ584" t="inlineStr">
        <is>
          <t>Yes</t>
        </is>
      </c>
      <c r="AR584">
        <f>HYPERLINK("http://catalog.hathitrust.org/Record/000974096","HathiTrust Record")</f>
        <v/>
      </c>
      <c r="AS584">
        <f>HYPERLINK("https://creighton-primo.hosted.exlibrisgroup.com/primo-explore/search?tab=default_tab&amp;search_scope=EVERYTHING&amp;vid=01CRU&amp;lang=en_US&amp;offset=0&amp;query=any,contains,991000780549702656","Catalog Record")</f>
        <v/>
      </c>
      <c r="AT584">
        <f>HYPERLINK("http://www.worldcat.org/oclc/134853","WorldCat Record")</f>
        <v/>
      </c>
      <c r="AU584" t="inlineStr">
        <is>
          <t>350532697:eng</t>
        </is>
      </c>
      <c r="AV584" t="inlineStr">
        <is>
          <t>134853</t>
        </is>
      </c>
      <c r="AW584" t="inlineStr">
        <is>
          <t>991000780549702656</t>
        </is>
      </c>
      <c r="AX584" t="inlineStr">
        <is>
          <t>991000780549702656</t>
        </is>
      </c>
      <c r="AY584" t="inlineStr">
        <is>
          <t>2263356210002656</t>
        </is>
      </c>
      <c r="AZ584" t="inlineStr">
        <is>
          <t>BOOK</t>
        </is>
      </c>
      <c r="BB584" t="inlineStr">
        <is>
          <t>9780829501902</t>
        </is>
      </c>
      <c r="BC584" t="inlineStr">
        <is>
          <t>32285003019634</t>
        </is>
      </c>
      <c r="BD584" t="inlineStr">
        <is>
          <t>893796982</t>
        </is>
      </c>
    </row>
    <row r="585">
      <c r="A585" t="inlineStr">
        <is>
          <t>No</t>
        </is>
      </c>
      <c r="B585" t="inlineStr">
        <is>
          <t>HM281 .P28</t>
        </is>
      </c>
      <c r="C585" t="inlineStr">
        <is>
          <t>0                      HM 0281000P  28</t>
        </is>
      </c>
      <c r="D585" t="inlineStr">
        <is>
          <t>Why revolution? Theories and analyses. Edited with introductions by Clifford T. Paynton and Robert Blackey.</t>
        </is>
      </c>
      <c r="F585" t="inlineStr">
        <is>
          <t>No</t>
        </is>
      </c>
      <c r="G585" t="inlineStr">
        <is>
          <t>1</t>
        </is>
      </c>
      <c r="H585" t="inlineStr">
        <is>
          <t>No</t>
        </is>
      </c>
      <c r="I585" t="inlineStr">
        <is>
          <t>No</t>
        </is>
      </c>
      <c r="J585" t="inlineStr">
        <is>
          <t>0</t>
        </is>
      </c>
      <c r="K585" t="inlineStr">
        <is>
          <t>Paynton, Clifford, compiler.</t>
        </is>
      </c>
      <c r="L585" t="inlineStr">
        <is>
          <t>Cambridge, Mass., Schenkman Pub. Co.; distributed by General Learning Press, Morristown, N.J. [c1971]</t>
        </is>
      </c>
      <c r="M585" t="inlineStr">
        <is>
          <t>1971</t>
        </is>
      </c>
      <c r="O585" t="inlineStr">
        <is>
          <t>eng</t>
        </is>
      </c>
      <c r="P585" t="inlineStr">
        <is>
          <t>mau</t>
        </is>
      </c>
      <c r="R585" t="inlineStr">
        <is>
          <t xml:space="preserve">HM </t>
        </is>
      </c>
      <c r="S585" t="n">
        <v>8</v>
      </c>
      <c r="T585" t="n">
        <v>8</v>
      </c>
      <c r="U585" t="inlineStr">
        <is>
          <t>2008-02-16</t>
        </is>
      </c>
      <c r="V585" t="inlineStr">
        <is>
          <t>2008-02-16</t>
        </is>
      </c>
      <c r="W585" t="inlineStr">
        <is>
          <t>1997-08-04</t>
        </is>
      </c>
      <c r="X585" t="inlineStr">
        <is>
          <t>1997-08-04</t>
        </is>
      </c>
      <c r="Y585" t="n">
        <v>501</v>
      </c>
      <c r="Z585" t="n">
        <v>422</v>
      </c>
      <c r="AA585" t="n">
        <v>430</v>
      </c>
      <c r="AB585" t="n">
        <v>5</v>
      </c>
      <c r="AC585" t="n">
        <v>5</v>
      </c>
      <c r="AD585" t="n">
        <v>19</v>
      </c>
      <c r="AE585" t="n">
        <v>19</v>
      </c>
      <c r="AF585" t="n">
        <v>8</v>
      </c>
      <c r="AG585" t="n">
        <v>8</v>
      </c>
      <c r="AH585" t="n">
        <v>4</v>
      </c>
      <c r="AI585" t="n">
        <v>4</v>
      </c>
      <c r="AJ585" t="n">
        <v>8</v>
      </c>
      <c r="AK585" t="n">
        <v>8</v>
      </c>
      <c r="AL585" t="n">
        <v>4</v>
      </c>
      <c r="AM585" t="n">
        <v>4</v>
      </c>
      <c r="AN585" t="n">
        <v>0</v>
      </c>
      <c r="AO585" t="n">
        <v>0</v>
      </c>
      <c r="AP585" t="inlineStr">
        <is>
          <t>No</t>
        </is>
      </c>
      <c r="AQ585" t="inlineStr">
        <is>
          <t>Yes</t>
        </is>
      </c>
      <c r="AR585">
        <f>HYPERLINK("http://catalog.hathitrust.org/Record/004396696","HathiTrust Record")</f>
        <v/>
      </c>
      <c r="AS585">
        <f>HYPERLINK("https://creighton-primo.hosted.exlibrisgroup.com/primo-explore/search?tab=default_tab&amp;search_scope=EVERYTHING&amp;vid=01CRU&amp;lang=en_US&amp;offset=0&amp;query=any,contains,991002760519702656","Catalog Record")</f>
        <v/>
      </c>
      <c r="AT585">
        <f>HYPERLINK("http://www.worldcat.org/oclc/428504","WorldCat Record")</f>
        <v/>
      </c>
      <c r="AU585" t="inlineStr">
        <is>
          <t>366877275:eng</t>
        </is>
      </c>
      <c r="AV585" t="inlineStr">
        <is>
          <t>428504</t>
        </is>
      </c>
      <c r="AW585" t="inlineStr">
        <is>
          <t>991002760519702656</t>
        </is>
      </c>
      <c r="AX585" t="inlineStr">
        <is>
          <t>991002760519702656</t>
        </is>
      </c>
      <c r="AY585" t="inlineStr">
        <is>
          <t>2266201100002656</t>
        </is>
      </c>
      <c r="AZ585" t="inlineStr">
        <is>
          <t>BOOK</t>
        </is>
      </c>
      <c r="BC585" t="inlineStr">
        <is>
          <t>32285003019642</t>
        </is>
      </c>
      <c r="BD585" t="inlineStr">
        <is>
          <t>893251589</t>
        </is>
      </c>
    </row>
    <row r="586">
      <c r="A586" t="inlineStr">
        <is>
          <t>No</t>
        </is>
      </c>
      <c r="B586" t="inlineStr">
        <is>
          <t>HM281 .P4 1971</t>
        </is>
      </c>
      <c r="C586" t="inlineStr">
        <is>
          <t>0                      HM 0281000P  4           1971</t>
        </is>
      </c>
      <c r="D586" t="inlineStr">
        <is>
          <t>The process of revolution.</t>
        </is>
      </c>
      <c r="F586" t="inlineStr">
        <is>
          <t>No</t>
        </is>
      </c>
      <c r="G586" t="inlineStr">
        <is>
          <t>1</t>
        </is>
      </c>
      <c r="H586" t="inlineStr">
        <is>
          <t>No</t>
        </is>
      </c>
      <c r="I586" t="inlineStr">
        <is>
          <t>No</t>
        </is>
      </c>
      <c r="J586" t="inlineStr">
        <is>
          <t>0</t>
        </is>
      </c>
      <c r="K586" t="inlineStr">
        <is>
          <t>Pettee, George Sawyer, 1904-</t>
        </is>
      </c>
      <c r="L586" t="inlineStr">
        <is>
          <t>New York, H. Fertig, 1971 [c1938]</t>
        </is>
      </c>
      <c r="M586" t="inlineStr">
        <is>
          <t>1971</t>
        </is>
      </c>
      <c r="O586" t="inlineStr">
        <is>
          <t>eng</t>
        </is>
      </c>
      <c r="P586" t="inlineStr">
        <is>
          <t>nyu</t>
        </is>
      </c>
      <c r="R586" t="inlineStr">
        <is>
          <t xml:space="preserve">HM </t>
        </is>
      </c>
      <c r="S586" t="n">
        <v>6</v>
      </c>
      <c r="T586" t="n">
        <v>6</v>
      </c>
      <c r="U586" t="inlineStr">
        <is>
          <t>2005-03-28</t>
        </is>
      </c>
      <c r="V586" t="inlineStr">
        <is>
          <t>2005-03-28</t>
        </is>
      </c>
      <c r="W586" t="inlineStr">
        <is>
          <t>1997-08-04</t>
        </is>
      </c>
      <c r="X586" t="inlineStr">
        <is>
          <t>1997-08-04</t>
        </is>
      </c>
      <c r="Y586" t="n">
        <v>182</v>
      </c>
      <c r="Z586" t="n">
        <v>144</v>
      </c>
      <c r="AA586" t="n">
        <v>225</v>
      </c>
      <c r="AB586" t="n">
        <v>3</v>
      </c>
      <c r="AC586" t="n">
        <v>3</v>
      </c>
      <c r="AD586" t="n">
        <v>8</v>
      </c>
      <c r="AE586" t="n">
        <v>10</v>
      </c>
      <c r="AF586" t="n">
        <v>1</v>
      </c>
      <c r="AG586" t="n">
        <v>1</v>
      </c>
      <c r="AH586" t="n">
        <v>3</v>
      </c>
      <c r="AI586" t="n">
        <v>4</v>
      </c>
      <c r="AJ586" t="n">
        <v>5</v>
      </c>
      <c r="AK586" t="n">
        <v>6</v>
      </c>
      <c r="AL586" t="n">
        <v>2</v>
      </c>
      <c r="AM586" t="n">
        <v>2</v>
      </c>
      <c r="AN586" t="n">
        <v>0</v>
      </c>
      <c r="AO586" t="n">
        <v>0</v>
      </c>
      <c r="AP586" t="inlineStr">
        <is>
          <t>No</t>
        </is>
      </c>
      <c r="AQ586" t="inlineStr">
        <is>
          <t>Yes</t>
        </is>
      </c>
      <c r="AR586">
        <f>HYPERLINK("http://catalog.hathitrust.org/Record/007881438","HathiTrust Record")</f>
        <v/>
      </c>
      <c r="AS586">
        <f>HYPERLINK("https://creighton-primo.hosted.exlibrisgroup.com/primo-explore/search?tab=default_tab&amp;search_scope=EVERYTHING&amp;vid=01CRU&amp;lang=en_US&amp;offset=0&amp;query=any,contains,991001130869702656","Catalog Record")</f>
        <v/>
      </c>
      <c r="AT586">
        <f>HYPERLINK("http://www.worldcat.org/oclc/184765","WorldCat Record")</f>
        <v/>
      </c>
      <c r="AU586" t="inlineStr">
        <is>
          <t>1332472:eng</t>
        </is>
      </c>
      <c r="AV586" t="inlineStr">
        <is>
          <t>184765</t>
        </is>
      </c>
      <c r="AW586" t="inlineStr">
        <is>
          <t>991001130869702656</t>
        </is>
      </c>
      <c r="AX586" t="inlineStr">
        <is>
          <t>991001130869702656</t>
        </is>
      </c>
      <c r="AY586" t="inlineStr">
        <is>
          <t>2270464150002656</t>
        </is>
      </c>
      <c r="AZ586" t="inlineStr">
        <is>
          <t>BOOK</t>
        </is>
      </c>
      <c r="BC586" t="inlineStr">
        <is>
          <t>32285003019659</t>
        </is>
      </c>
      <c r="BD586" t="inlineStr">
        <is>
          <t>893784847</t>
        </is>
      </c>
    </row>
    <row r="587">
      <c r="A587" t="inlineStr">
        <is>
          <t>No</t>
        </is>
      </c>
      <c r="B587" t="inlineStr">
        <is>
          <t>HM281 .R78 1988</t>
        </is>
      </c>
      <c r="C587" t="inlineStr">
        <is>
          <t>0                      HM 0281000R  78          1988</t>
        </is>
      </c>
      <c r="D587" t="inlineStr">
        <is>
          <t>The face of the crowd : studies in revolution, ideology, and popular protest : selected essays of George Rudé / edited and introduced by Harvey J. Kaye.</t>
        </is>
      </c>
      <c r="F587" t="inlineStr">
        <is>
          <t>No</t>
        </is>
      </c>
      <c r="G587" t="inlineStr">
        <is>
          <t>1</t>
        </is>
      </c>
      <c r="H587" t="inlineStr">
        <is>
          <t>No</t>
        </is>
      </c>
      <c r="I587" t="inlineStr">
        <is>
          <t>No</t>
        </is>
      </c>
      <c r="J587" t="inlineStr">
        <is>
          <t>0</t>
        </is>
      </c>
      <c r="K587" t="inlineStr">
        <is>
          <t>Rudé, George F. E.</t>
        </is>
      </c>
      <c r="L587" t="inlineStr">
        <is>
          <t>Atlantic Highlands, NJ : Humanities Press International, 1988.</t>
        </is>
      </c>
      <c r="M587" t="inlineStr">
        <is>
          <t>1988</t>
        </is>
      </c>
      <c r="O587" t="inlineStr">
        <is>
          <t>eng</t>
        </is>
      </c>
      <c r="P587" t="inlineStr">
        <is>
          <t>nju</t>
        </is>
      </c>
      <c r="R587" t="inlineStr">
        <is>
          <t xml:space="preserve">HM </t>
        </is>
      </c>
      <c r="S587" t="n">
        <v>5</v>
      </c>
      <c r="T587" t="n">
        <v>5</v>
      </c>
      <c r="U587" t="inlineStr">
        <is>
          <t>2006-09-11</t>
        </is>
      </c>
      <c r="V587" t="inlineStr">
        <is>
          <t>2006-09-11</t>
        </is>
      </c>
      <c r="W587" t="inlineStr">
        <is>
          <t>1989-12-29</t>
        </is>
      </c>
      <c r="X587" t="inlineStr">
        <is>
          <t>1989-12-29</t>
        </is>
      </c>
      <c r="Y587" t="n">
        <v>178</v>
      </c>
      <c r="Z587" t="n">
        <v>147</v>
      </c>
      <c r="AA587" t="n">
        <v>190</v>
      </c>
      <c r="AB587" t="n">
        <v>1</v>
      </c>
      <c r="AC587" t="n">
        <v>3</v>
      </c>
      <c r="AD587" t="n">
        <v>8</v>
      </c>
      <c r="AE587" t="n">
        <v>10</v>
      </c>
      <c r="AF587" t="n">
        <v>1</v>
      </c>
      <c r="AG587" t="n">
        <v>1</v>
      </c>
      <c r="AH587" t="n">
        <v>4</v>
      </c>
      <c r="AI587" t="n">
        <v>4</v>
      </c>
      <c r="AJ587" t="n">
        <v>5</v>
      </c>
      <c r="AK587" t="n">
        <v>5</v>
      </c>
      <c r="AL587" t="n">
        <v>0</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HYPERLINK("https://creighton-primo.hosted.exlibrisgroup.com/primo-explore/search?tab=default_tab&amp;search_scope=EVERYTHING&amp;vid=01CRU&amp;lang=en_US&amp;offset=0&amp;query=any,contains,991001310969702656","Catalog Record")</f>
        <v/>
      </c>
      <c r="AT587">
        <f>HYPERLINK("http://www.worldcat.org/oclc/18136819","WorldCat Record")</f>
        <v/>
      </c>
      <c r="AU587" t="inlineStr">
        <is>
          <t>20938366:eng</t>
        </is>
      </c>
      <c r="AV587" t="inlineStr">
        <is>
          <t>18136819</t>
        </is>
      </c>
      <c r="AW587" t="inlineStr">
        <is>
          <t>991001310969702656</t>
        </is>
      </c>
      <c r="AX587" t="inlineStr">
        <is>
          <t>991001310969702656</t>
        </is>
      </c>
      <c r="AY587" t="inlineStr">
        <is>
          <t>2268028310002656</t>
        </is>
      </c>
      <c r="AZ587" t="inlineStr">
        <is>
          <t>BOOK</t>
        </is>
      </c>
      <c r="BB587" t="inlineStr">
        <is>
          <t>9780391035898</t>
        </is>
      </c>
      <c r="BC587" t="inlineStr">
        <is>
          <t>32285000025154</t>
        </is>
      </c>
      <c r="BD587" t="inlineStr">
        <is>
          <t>893602508</t>
        </is>
      </c>
    </row>
    <row r="588">
      <c r="A588" t="inlineStr">
        <is>
          <t>No</t>
        </is>
      </c>
      <c r="B588" t="inlineStr">
        <is>
          <t>HM281 .R8</t>
        </is>
      </c>
      <c r="C588" t="inlineStr">
        <is>
          <t>0                      HM 0281000R  8</t>
        </is>
      </c>
      <c r="D588" t="inlineStr">
        <is>
          <t>Ideology and popular protest / by George Rudé.</t>
        </is>
      </c>
      <c r="F588" t="inlineStr">
        <is>
          <t>No</t>
        </is>
      </c>
      <c r="G588" t="inlineStr">
        <is>
          <t>1</t>
        </is>
      </c>
      <c r="H588" t="inlineStr">
        <is>
          <t>No</t>
        </is>
      </c>
      <c r="I588" t="inlineStr">
        <is>
          <t>No</t>
        </is>
      </c>
      <c r="J588" t="inlineStr">
        <is>
          <t>0</t>
        </is>
      </c>
      <c r="K588" t="inlineStr">
        <is>
          <t>Rudé, George F. E.</t>
        </is>
      </c>
      <c r="L588" t="inlineStr">
        <is>
          <t>New York : Pantheon Books, c1980.</t>
        </is>
      </c>
      <c r="M588" t="inlineStr">
        <is>
          <t>1980</t>
        </is>
      </c>
      <c r="N588" t="inlineStr">
        <is>
          <t>1st American ed.</t>
        </is>
      </c>
      <c r="O588" t="inlineStr">
        <is>
          <t>eng</t>
        </is>
      </c>
      <c r="P588" t="inlineStr">
        <is>
          <t>nyu</t>
        </is>
      </c>
      <c r="R588" t="inlineStr">
        <is>
          <t xml:space="preserve">HM </t>
        </is>
      </c>
      <c r="S588" t="n">
        <v>5</v>
      </c>
      <c r="T588" t="n">
        <v>5</v>
      </c>
      <c r="U588" t="inlineStr">
        <is>
          <t>2006-09-11</t>
        </is>
      </c>
      <c r="V588" t="inlineStr">
        <is>
          <t>2006-09-11</t>
        </is>
      </c>
      <c r="W588" t="inlineStr">
        <is>
          <t>1992-09-09</t>
        </is>
      </c>
      <c r="X588" t="inlineStr">
        <is>
          <t>1992-09-09</t>
        </is>
      </c>
      <c r="Y588" t="n">
        <v>545</v>
      </c>
      <c r="Z588" t="n">
        <v>475</v>
      </c>
      <c r="AA588" t="n">
        <v>598</v>
      </c>
      <c r="AB588" t="n">
        <v>2</v>
      </c>
      <c r="AC588" t="n">
        <v>3</v>
      </c>
      <c r="AD588" t="n">
        <v>21</v>
      </c>
      <c r="AE588" t="n">
        <v>31</v>
      </c>
      <c r="AF588" t="n">
        <v>7</v>
      </c>
      <c r="AG588" t="n">
        <v>12</v>
      </c>
      <c r="AH588" t="n">
        <v>6</v>
      </c>
      <c r="AI588" t="n">
        <v>9</v>
      </c>
      <c r="AJ588" t="n">
        <v>15</v>
      </c>
      <c r="AK588" t="n">
        <v>18</v>
      </c>
      <c r="AL588" t="n">
        <v>1</v>
      </c>
      <c r="AM588" t="n">
        <v>2</v>
      </c>
      <c r="AN588" t="n">
        <v>0</v>
      </c>
      <c r="AO588" t="n">
        <v>0</v>
      </c>
      <c r="AP588" t="inlineStr">
        <is>
          <t>No</t>
        </is>
      </c>
      <c r="AQ588" t="inlineStr">
        <is>
          <t>Yes</t>
        </is>
      </c>
      <c r="AR588">
        <f>HYPERLINK("http://catalog.hathitrust.org/Record/000728689","HathiTrust Record")</f>
        <v/>
      </c>
      <c r="AS588">
        <f>HYPERLINK("https://creighton-primo.hosted.exlibrisgroup.com/primo-explore/search?tab=default_tab&amp;search_scope=EVERYTHING&amp;vid=01CRU&amp;lang=en_US&amp;offset=0&amp;query=any,contains,991004968229702656","Catalog Record")</f>
        <v/>
      </c>
      <c r="AT588">
        <f>HYPERLINK("http://www.worldcat.org/oclc/6355349","WorldCat Record")</f>
        <v/>
      </c>
      <c r="AU588" t="inlineStr">
        <is>
          <t>464686:eng</t>
        </is>
      </c>
      <c r="AV588" t="inlineStr">
        <is>
          <t>6355349</t>
        </is>
      </c>
      <c r="AW588" t="inlineStr">
        <is>
          <t>991004968229702656</t>
        </is>
      </c>
      <c r="AX588" t="inlineStr">
        <is>
          <t>991004968229702656</t>
        </is>
      </c>
      <c r="AY588" t="inlineStr">
        <is>
          <t>2256511690002656</t>
        </is>
      </c>
      <c r="AZ588" t="inlineStr">
        <is>
          <t>BOOK</t>
        </is>
      </c>
      <c r="BB588" t="inlineStr">
        <is>
          <t>9780394513720</t>
        </is>
      </c>
      <c r="BC588" t="inlineStr">
        <is>
          <t>32285001268548</t>
        </is>
      </c>
      <c r="BD588" t="inlineStr">
        <is>
          <t>893776641</t>
        </is>
      </c>
    </row>
    <row r="589">
      <c r="A589" t="inlineStr">
        <is>
          <t>No</t>
        </is>
      </c>
      <c r="B589" t="inlineStr">
        <is>
          <t>HM281 .R86</t>
        </is>
      </c>
      <c r="C589" t="inlineStr">
        <is>
          <t>0                      HM 0281000R  86</t>
        </is>
      </c>
      <c r="D589" t="inlineStr">
        <is>
          <t>Rebellion, revolution, and armed force; a comparative study of fifteen countries with special emphasis on Cuba and South Africa [by] D. E. H. Russell.</t>
        </is>
      </c>
      <c r="F589" t="inlineStr">
        <is>
          <t>No</t>
        </is>
      </c>
      <c r="G589" t="inlineStr">
        <is>
          <t>1</t>
        </is>
      </c>
      <c r="H589" t="inlineStr">
        <is>
          <t>No</t>
        </is>
      </c>
      <c r="I589" t="inlineStr">
        <is>
          <t>No</t>
        </is>
      </c>
      <c r="J589" t="inlineStr">
        <is>
          <t>0</t>
        </is>
      </c>
      <c r="K589" t="inlineStr">
        <is>
          <t>Russell, Diana E. H.</t>
        </is>
      </c>
      <c r="L589" t="inlineStr">
        <is>
          <t>New York, Academic Press [1974]</t>
        </is>
      </c>
      <c r="M589" t="inlineStr">
        <is>
          <t>1974</t>
        </is>
      </c>
      <c r="O589" t="inlineStr">
        <is>
          <t>eng</t>
        </is>
      </c>
      <c r="P589" t="inlineStr">
        <is>
          <t>nyu</t>
        </is>
      </c>
      <c r="Q589" t="inlineStr">
        <is>
          <t>Studies in social discontinuity</t>
        </is>
      </c>
      <c r="R589" t="inlineStr">
        <is>
          <t xml:space="preserve">HM </t>
        </is>
      </c>
      <c r="S589" t="n">
        <v>2</v>
      </c>
      <c r="T589" t="n">
        <v>2</v>
      </c>
      <c r="U589" t="inlineStr">
        <is>
          <t>2005-02-20</t>
        </is>
      </c>
      <c r="V589" t="inlineStr">
        <is>
          <t>2005-02-20</t>
        </is>
      </c>
      <c r="W589" t="inlineStr">
        <is>
          <t>1997-08-04</t>
        </is>
      </c>
      <c r="X589" t="inlineStr">
        <is>
          <t>1997-08-04</t>
        </is>
      </c>
      <c r="Y589" t="n">
        <v>562</v>
      </c>
      <c r="Z589" t="n">
        <v>434</v>
      </c>
      <c r="AA589" t="n">
        <v>478</v>
      </c>
      <c r="AB589" t="n">
        <v>3</v>
      </c>
      <c r="AC589" t="n">
        <v>3</v>
      </c>
      <c r="AD589" t="n">
        <v>20</v>
      </c>
      <c r="AE589" t="n">
        <v>22</v>
      </c>
      <c r="AF589" t="n">
        <v>6</v>
      </c>
      <c r="AG589" t="n">
        <v>7</v>
      </c>
      <c r="AH589" t="n">
        <v>6</v>
      </c>
      <c r="AI589" t="n">
        <v>7</v>
      </c>
      <c r="AJ589" t="n">
        <v>12</v>
      </c>
      <c r="AK589" t="n">
        <v>12</v>
      </c>
      <c r="AL589" t="n">
        <v>2</v>
      </c>
      <c r="AM589" t="n">
        <v>2</v>
      </c>
      <c r="AN589" t="n">
        <v>0</v>
      </c>
      <c r="AO589" t="n">
        <v>0</v>
      </c>
      <c r="AP589" t="inlineStr">
        <is>
          <t>No</t>
        </is>
      </c>
      <c r="AQ589" t="inlineStr">
        <is>
          <t>Yes</t>
        </is>
      </c>
      <c r="AR589">
        <f>HYPERLINK("http://catalog.hathitrust.org/Record/000965294","HathiTrust Record")</f>
        <v/>
      </c>
      <c r="AS589">
        <f>HYPERLINK("https://creighton-primo.hosted.exlibrisgroup.com/primo-explore/search?tab=default_tab&amp;search_scope=EVERYTHING&amp;vid=01CRU&amp;lang=en_US&amp;offset=0&amp;query=any,contains,991003353649702656","Catalog Record")</f>
        <v/>
      </c>
      <c r="AT589">
        <f>HYPERLINK("http://www.worldcat.org/oclc/886393","WorldCat Record")</f>
        <v/>
      </c>
      <c r="AU589" t="inlineStr">
        <is>
          <t>796087997:eng</t>
        </is>
      </c>
      <c r="AV589" t="inlineStr">
        <is>
          <t>886393</t>
        </is>
      </c>
      <c r="AW589" t="inlineStr">
        <is>
          <t>991003353649702656</t>
        </is>
      </c>
      <c r="AX589" t="inlineStr">
        <is>
          <t>991003353649702656</t>
        </is>
      </c>
      <c r="AY589" t="inlineStr">
        <is>
          <t>2258007300002656</t>
        </is>
      </c>
      <c r="AZ589" t="inlineStr">
        <is>
          <t>BOOK</t>
        </is>
      </c>
      <c r="BB589" t="inlineStr">
        <is>
          <t>9780127857459</t>
        </is>
      </c>
      <c r="BC589" t="inlineStr">
        <is>
          <t>32285003019667</t>
        </is>
      </c>
      <c r="BD589" t="inlineStr">
        <is>
          <t>893434927</t>
        </is>
      </c>
    </row>
    <row r="590">
      <c r="A590" t="inlineStr">
        <is>
          <t>No</t>
        </is>
      </c>
      <c r="B590" t="inlineStr">
        <is>
          <t>HM281 .S29</t>
        </is>
      </c>
      <c r="C590" t="inlineStr">
        <is>
          <t>0                      HM 0281000S  29</t>
        </is>
      </c>
      <c r="D590" t="inlineStr">
        <is>
          <t>Revolutions and revolutionaries : four theories / Barbara Salert.</t>
        </is>
      </c>
      <c r="F590" t="inlineStr">
        <is>
          <t>No</t>
        </is>
      </c>
      <c r="G590" t="inlineStr">
        <is>
          <t>1</t>
        </is>
      </c>
      <c r="H590" t="inlineStr">
        <is>
          <t>No</t>
        </is>
      </c>
      <c r="I590" t="inlineStr">
        <is>
          <t>No</t>
        </is>
      </c>
      <c r="J590" t="inlineStr">
        <is>
          <t>0</t>
        </is>
      </c>
      <c r="K590" t="inlineStr">
        <is>
          <t>Salert, Barbara.</t>
        </is>
      </c>
      <c r="L590" t="inlineStr">
        <is>
          <t>New York : Elsevier Scientific Pub. Co., c1976.</t>
        </is>
      </c>
      <c r="M590" t="inlineStr">
        <is>
          <t>1976</t>
        </is>
      </c>
      <c r="O590" t="inlineStr">
        <is>
          <t>eng</t>
        </is>
      </c>
      <c r="P590" t="inlineStr">
        <is>
          <t>nyu</t>
        </is>
      </c>
      <c r="R590" t="inlineStr">
        <is>
          <t xml:space="preserve">HM </t>
        </is>
      </c>
      <c r="S590" t="n">
        <v>15</v>
      </c>
      <c r="T590" t="n">
        <v>15</v>
      </c>
      <c r="U590" t="inlineStr">
        <is>
          <t>2005-03-28</t>
        </is>
      </c>
      <c r="V590" t="inlineStr">
        <is>
          <t>2005-03-28</t>
        </is>
      </c>
      <c r="W590" t="inlineStr">
        <is>
          <t>1992-09-09</t>
        </is>
      </c>
      <c r="X590" t="inlineStr">
        <is>
          <t>1992-09-09</t>
        </is>
      </c>
      <c r="Y590" t="n">
        <v>128</v>
      </c>
      <c r="Z590" t="n">
        <v>118</v>
      </c>
      <c r="AA590" t="n">
        <v>433</v>
      </c>
      <c r="AB590" t="n">
        <v>1</v>
      </c>
      <c r="AC590" t="n">
        <v>2</v>
      </c>
      <c r="AD590" t="n">
        <v>10</v>
      </c>
      <c r="AE590" t="n">
        <v>19</v>
      </c>
      <c r="AF590" t="n">
        <v>3</v>
      </c>
      <c r="AG590" t="n">
        <v>6</v>
      </c>
      <c r="AH590" t="n">
        <v>3</v>
      </c>
      <c r="AI590" t="n">
        <v>7</v>
      </c>
      <c r="AJ590" t="n">
        <v>7</v>
      </c>
      <c r="AK590" t="n">
        <v>12</v>
      </c>
      <c r="AL590" t="n">
        <v>0</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HYPERLINK("https://creighton-primo.hosted.exlibrisgroup.com/primo-explore/search?tab=default_tab&amp;search_scope=EVERYTHING&amp;vid=01CRU&amp;lang=en_US&amp;offset=0&amp;query=any,contains,991004161569702656","Catalog Record")</f>
        <v/>
      </c>
      <c r="AT590">
        <f>HYPERLINK("http://www.worldcat.org/oclc/2552597","WorldCat Record")</f>
        <v/>
      </c>
      <c r="AU590" t="inlineStr">
        <is>
          <t>889835773:eng</t>
        </is>
      </c>
      <c r="AV590" t="inlineStr">
        <is>
          <t>2552597</t>
        </is>
      </c>
      <c r="AW590" t="inlineStr">
        <is>
          <t>991004161569702656</t>
        </is>
      </c>
      <c r="AX590" t="inlineStr">
        <is>
          <t>991004161569702656</t>
        </is>
      </c>
      <c r="AY590" t="inlineStr">
        <is>
          <t>2254863800002656</t>
        </is>
      </c>
      <c r="AZ590" t="inlineStr">
        <is>
          <t>BOOK</t>
        </is>
      </c>
      <c r="BB590" t="inlineStr">
        <is>
          <t>9780444990211</t>
        </is>
      </c>
      <c r="BC590" t="inlineStr">
        <is>
          <t>32285001268563</t>
        </is>
      </c>
      <c r="BD590" t="inlineStr">
        <is>
          <t>893318872</t>
        </is>
      </c>
    </row>
    <row r="591">
      <c r="A591" t="inlineStr">
        <is>
          <t>No</t>
        </is>
      </c>
      <c r="B591" t="inlineStr">
        <is>
          <t>HM281 .S6</t>
        </is>
      </c>
      <c r="C591" t="inlineStr">
        <is>
          <t>0                      HM 0281000S  6</t>
        </is>
      </c>
      <c r="D591" t="inlineStr">
        <is>
          <t>The sociology of revolution, by Pitirim A. Sorokin.</t>
        </is>
      </c>
      <c r="F591" t="inlineStr">
        <is>
          <t>No</t>
        </is>
      </c>
      <c r="G591" t="inlineStr">
        <is>
          <t>1</t>
        </is>
      </c>
      <c r="H591" t="inlineStr">
        <is>
          <t>No</t>
        </is>
      </c>
      <c r="I591" t="inlineStr">
        <is>
          <t>No</t>
        </is>
      </c>
      <c r="J591" t="inlineStr">
        <is>
          <t>0</t>
        </is>
      </c>
      <c r="K591" t="inlineStr">
        <is>
          <t>Sorokin, Pitirim Aleksandrovich, 1889-1968.</t>
        </is>
      </c>
      <c r="L591" t="inlineStr">
        <is>
          <t>Philadelphia, London, J.B. Lippincott Company [c1925]</t>
        </is>
      </c>
      <c r="M591" t="inlineStr">
        <is>
          <t>1925</t>
        </is>
      </c>
      <c r="O591" t="inlineStr">
        <is>
          <t>eng</t>
        </is>
      </c>
      <c r="P591" t="inlineStr">
        <is>
          <t>pau</t>
        </is>
      </c>
      <c r="Q591" t="inlineStr">
        <is>
          <t>Lippincott sociological series</t>
        </is>
      </c>
      <c r="R591" t="inlineStr">
        <is>
          <t xml:space="preserve">HM </t>
        </is>
      </c>
      <c r="S591" t="n">
        <v>6</v>
      </c>
      <c r="T591" t="n">
        <v>6</v>
      </c>
      <c r="U591" t="inlineStr">
        <is>
          <t>2005-03-28</t>
        </is>
      </c>
      <c r="V591" t="inlineStr">
        <is>
          <t>2005-03-28</t>
        </is>
      </c>
      <c r="W591" t="inlineStr">
        <is>
          <t>1997-08-04</t>
        </is>
      </c>
      <c r="X591" t="inlineStr">
        <is>
          <t>1997-08-04</t>
        </is>
      </c>
      <c r="Y591" t="n">
        <v>299</v>
      </c>
      <c r="Z591" t="n">
        <v>255</v>
      </c>
      <c r="AA591" t="n">
        <v>700</v>
      </c>
      <c r="AB591" t="n">
        <v>3</v>
      </c>
      <c r="AC591" t="n">
        <v>6</v>
      </c>
      <c r="AD591" t="n">
        <v>11</v>
      </c>
      <c r="AE591" t="n">
        <v>31</v>
      </c>
      <c r="AF591" t="n">
        <v>1</v>
      </c>
      <c r="AG591" t="n">
        <v>9</v>
      </c>
      <c r="AH591" t="n">
        <v>2</v>
      </c>
      <c r="AI591" t="n">
        <v>8</v>
      </c>
      <c r="AJ591" t="n">
        <v>7</v>
      </c>
      <c r="AK591" t="n">
        <v>17</v>
      </c>
      <c r="AL591" t="n">
        <v>2</v>
      </c>
      <c r="AM591" t="n">
        <v>5</v>
      </c>
      <c r="AN591" t="n">
        <v>0</v>
      </c>
      <c r="AO591" t="n">
        <v>0</v>
      </c>
      <c r="AP591" t="inlineStr">
        <is>
          <t>No</t>
        </is>
      </c>
      <c r="AQ591" t="inlineStr">
        <is>
          <t>Yes</t>
        </is>
      </c>
      <c r="AR591">
        <f>HYPERLINK("http://catalog.hathitrust.org/Record/000974108","HathiTrust Record")</f>
        <v/>
      </c>
      <c r="AS591">
        <f>HYPERLINK("https://creighton-primo.hosted.exlibrisgroup.com/primo-explore/search?tab=default_tab&amp;search_scope=EVERYTHING&amp;vid=01CRU&amp;lang=en_US&amp;offset=0&amp;query=any,contains,991003757679702656","Catalog Record")</f>
        <v/>
      </c>
      <c r="AT591">
        <f>HYPERLINK("http://www.worldcat.org/oclc/1440849","WorldCat Record")</f>
        <v/>
      </c>
      <c r="AU591" t="inlineStr">
        <is>
          <t>1413081:eng</t>
        </is>
      </c>
      <c r="AV591" t="inlineStr">
        <is>
          <t>1440849</t>
        </is>
      </c>
      <c r="AW591" t="inlineStr">
        <is>
          <t>991003757679702656</t>
        </is>
      </c>
      <c r="AX591" t="inlineStr">
        <is>
          <t>991003757679702656</t>
        </is>
      </c>
      <c r="AY591" t="inlineStr">
        <is>
          <t>2257707940002656</t>
        </is>
      </c>
      <c r="AZ591" t="inlineStr">
        <is>
          <t>BOOK</t>
        </is>
      </c>
      <c r="BC591" t="inlineStr">
        <is>
          <t>32285003019683</t>
        </is>
      </c>
      <c r="BD591" t="inlineStr">
        <is>
          <t>893711747</t>
        </is>
      </c>
    </row>
    <row r="592">
      <c r="A592" t="inlineStr">
        <is>
          <t>No</t>
        </is>
      </c>
      <c r="B592" t="inlineStr">
        <is>
          <t>HM281 .S69 1992</t>
        </is>
      </c>
      <c r="C592" t="inlineStr">
        <is>
          <t>0                      HM 0281000S  69          1992</t>
        </is>
      </c>
      <c r="D592" t="inlineStr">
        <is>
          <t>The roots of evil : the origins of genocide and other group violence / Ervin Staub.</t>
        </is>
      </c>
      <c r="F592" t="inlineStr">
        <is>
          <t>No</t>
        </is>
      </c>
      <c r="G592" t="inlineStr">
        <is>
          <t>1</t>
        </is>
      </c>
      <c r="H592" t="inlineStr">
        <is>
          <t>No</t>
        </is>
      </c>
      <c r="I592" t="inlineStr">
        <is>
          <t>No</t>
        </is>
      </c>
      <c r="J592" t="inlineStr">
        <is>
          <t>0</t>
        </is>
      </c>
      <c r="K592" t="inlineStr">
        <is>
          <t>Staub, Ervin.</t>
        </is>
      </c>
      <c r="L592" t="inlineStr">
        <is>
          <t>Cambridge [England] ; New York : Cambridge University Press, 1992, c1989.</t>
        </is>
      </c>
      <c r="M592" t="inlineStr">
        <is>
          <t>1992</t>
        </is>
      </c>
      <c r="N592" t="inlineStr">
        <is>
          <t>1st pbk. ed.</t>
        </is>
      </c>
      <c r="O592" t="inlineStr">
        <is>
          <t>eng</t>
        </is>
      </c>
      <c r="P592" t="inlineStr">
        <is>
          <t>enk</t>
        </is>
      </c>
      <c r="R592" t="inlineStr">
        <is>
          <t xml:space="preserve">HM </t>
        </is>
      </c>
      <c r="S592" t="n">
        <v>4</v>
      </c>
      <c r="T592" t="n">
        <v>4</v>
      </c>
      <c r="U592" t="inlineStr">
        <is>
          <t>2006-10-12</t>
        </is>
      </c>
      <c r="V592" t="inlineStr">
        <is>
          <t>2006-10-12</t>
        </is>
      </c>
      <c r="W592" t="inlineStr">
        <is>
          <t>2001-09-18</t>
        </is>
      </c>
      <c r="X592" t="inlineStr">
        <is>
          <t>2001-09-18</t>
        </is>
      </c>
      <c r="Y592" t="n">
        <v>206</v>
      </c>
      <c r="Z592" t="n">
        <v>158</v>
      </c>
      <c r="AA592" t="n">
        <v>821</v>
      </c>
      <c r="AB592" t="n">
        <v>2</v>
      </c>
      <c r="AC592" t="n">
        <v>4</v>
      </c>
      <c r="AD592" t="n">
        <v>4</v>
      </c>
      <c r="AE592" t="n">
        <v>34</v>
      </c>
      <c r="AF592" t="n">
        <v>3</v>
      </c>
      <c r="AG592" t="n">
        <v>15</v>
      </c>
      <c r="AH592" t="n">
        <v>0</v>
      </c>
      <c r="AI592" t="n">
        <v>6</v>
      </c>
      <c r="AJ592" t="n">
        <v>1</v>
      </c>
      <c r="AK592" t="n">
        <v>18</v>
      </c>
      <c r="AL592" t="n">
        <v>1</v>
      </c>
      <c r="AM592" t="n">
        <v>3</v>
      </c>
      <c r="AN592" t="n">
        <v>0</v>
      </c>
      <c r="AO592" t="n">
        <v>1</v>
      </c>
      <c r="AP592" t="inlineStr">
        <is>
          <t>No</t>
        </is>
      </c>
      <c r="AQ592" t="inlineStr">
        <is>
          <t>No</t>
        </is>
      </c>
      <c r="AS592">
        <f>HYPERLINK("https://creighton-primo.hosted.exlibrisgroup.com/primo-explore/search?tab=default_tab&amp;search_scope=EVERYTHING&amp;vid=01CRU&amp;lang=en_US&amp;offset=0&amp;query=any,contains,991003610999702656","Catalog Record")</f>
        <v/>
      </c>
      <c r="AT592">
        <f>HYPERLINK("http://www.worldcat.org/oclc/27262632","WorldCat Record")</f>
        <v/>
      </c>
      <c r="AU592" t="inlineStr">
        <is>
          <t>21795758:eng</t>
        </is>
      </c>
      <c r="AV592" t="inlineStr">
        <is>
          <t>27262632</t>
        </is>
      </c>
      <c r="AW592" t="inlineStr">
        <is>
          <t>991003610999702656</t>
        </is>
      </c>
      <c r="AX592" t="inlineStr">
        <is>
          <t>991003610999702656</t>
        </is>
      </c>
      <c r="AY592" t="inlineStr">
        <is>
          <t>2271251590002656</t>
        </is>
      </c>
      <c r="AZ592" t="inlineStr">
        <is>
          <t>BOOK</t>
        </is>
      </c>
      <c r="BB592" t="inlineStr">
        <is>
          <t>9780521354073</t>
        </is>
      </c>
      <c r="BC592" t="inlineStr">
        <is>
          <t>32285004392006</t>
        </is>
      </c>
      <c r="BD592" t="inlineStr">
        <is>
          <t>893318170</t>
        </is>
      </c>
    </row>
    <row r="593">
      <c r="A593" t="inlineStr">
        <is>
          <t>No</t>
        </is>
      </c>
      <c r="B593" t="inlineStr">
        <is>
          <t>HM281 .T345 1991</t>
        </is>
      </c>
      <c r="C593" t="inlineStr">
        <is>
          <t>0                      HM 0281000T  345         1991</t>
        </is>
      </c>
      <c r="D593" t="inlineStr">
        <is>
          <t>The fanatics : a behavioural approach to political violence / by Maxwell Taylor.</t>
        </is>
      </c>
      <c r="F593" t="inlineStr">
        <is>
          <t>No</t>
        </is>
      </c>
      <c r="G593" t="inlineStr">
        <is>
          <t>1</t>
        </is>
      </c>
      <c r="H593" t="inlineStr">
        <is>
          <t>No</t>
        </is>
      </c>
      <c r="I593" t="inlineStr">
        <is>
          <t>No</t>
        </is>
      </c>
      <c r="J593" t="inlineStr">
        <is>
          <t>0</t>
        </is>
      </c>
      <c r="K593" t="inlineStr">
        <is>
          <t>Taylor, Maxwell, 1945-</t>
        </is>
      </c>
      <c r="L593" t="inlineStr">
        <is>
          <t>London ; Washington : Brassey's, 1991.</t>
        </is>
      </c>
      <c r="M593" t="inlineStr">
        <is>
          <t>1991</t>
        </is>
      </c>
      <c r="N593" t="inlineStr">
        <is>
          <t>1st ed.</t>
        </is>
      </c>
      <c r="O593" t="inlineStr">
        <is>
          <t>eng</t>
        </is>
      </c>
      <c r="P593" t="inlineStr">
        <is>
          <t>enk</t>
        </is>
      </c>
      <c r="R593" t="inlineStr">
        <is>
          <t xml:space="preserve">HM </t>
        </is>
      </c>
      <c r="S593" t="n">
        <v>6</v>
      </c>
      <c r="T593" t="n">
        <v>6</v>
      </c>
      <c r="U593" t="inlineStr">
        <is>
          <t>2000-11-09</t>
        </is>
      </c>
      <c r="V593" t="inlineStr">
        <is>
          <t>2000-11-09</t>
        </is>
      </c>
      <c r="W593" t="inlineStr">
        <is>
          <t>1992-09-05</t>
        </is>
      </c>
      <c r="X593" t="inlineStr">
        <is>
          <t>1992-09-05</t>
        </is>
      </c>
      <c r="Y593" t="n">
        <v>233</v>
      </c>
      <c r="Z593" t="n">
        <v>161</v>
      </c>
      <c r="AA593" t="n">
        <v>163</v>
      </c>
      <c r="AB593" t="n">
        <v>2</v>
      </c>
      <c r="AC593" t="n">
        <v>2</v>
      </c>
      <c r="AD593" t="n">
        <v>7</v>
      </c>
      <c r="AE593" t="n">
        <v>7</v>
      </c>
      <c r="AF593" t="n">
        <v>2</v>
      </c>
      <c r="AG593" t="n">
        <v>2</v>
      </c>
      <c r="AH593" t="n">
        <v>1</v>
      </c>
      <c r="AI593" t="n">
        <v>1</v>
      </c>
      <c r="AJ593" t="n">
        <v>6</v>
      </c>
      <c r="AK593" t="n">
        <v>6</v>
      </c>
      <c r="AL593" t="n">
        <v>1</v>
      </c>
      <c r="AM593" t="n">
        <v>1</v>
      </c>
      <c r="AN593" t="n">
        <v>0</v>
      </c>
      <c r="AO593" t="n">
        <v>0</v>
      </c>
      <c r="AP593" t="inlineStr">
        <is>
          <t>No</t>
        </is>
      </c>
      <c r="AQ593" t="inlineStr">
        <is>
          <t>Yes</t>
        </is>
      </c>
      <c r="AR593">
        <f>HYPERLINK("http://catalog.hathitrust.org/Record/002483699","HathiTrust Record")</f>
        <v/>
      </c>
      <c r="AS593">
        <f>HYPERLINK("https://creighton-primo.hosted.exlibrisgroup.com/primo-explore/search?tab=default_tab&amp;search_scope=EVERYTHING&amp;vid=01CRU&amp;lang=en_US&amp;offset=0&amp;query=any,contains,991001860819702656","Catalog Record")</f>
        <v/>
      </c>
      <c r="AT593">
        <f>HYPERLINK("http://www.worldcat.org/oclc/23383210","WorldCat Record")</f>
        <v/>
      </c>
      <c r="AU593" t="inlineStr">
        <is>
          <t>25313100:eng</t>
        </is>
      </c>
      <c r="AV593" t="inlineStr">
        <is>
          <t>23383210</t>
        </is>
      </c>
      <c r="AW593" t="inlineStr">
        <is>
          <t>991001860819702656</t>
        </is>
      </c>
      <c r="AX593" t="inlineStr">
        <is>
          <t>991001860819702656</t>
        </is>
      </c>
      <c r="AY593" t="inlineStr">
        <is>
          <t>2268359860002656</t>
        </is>
      </c>
      <c r="AZ593" t="inlineStr">
        <is>
          <t>BOOK</t>
        </is>
      </c>
      <c r="BB593" t="inlineStr">
        <is>
          <t>9780080362748</t>
        </is>
      </c>
      <c r="BC593" t="inlineStr">
        <is>
          <t>32285001286292</t>
        </is>
      </c>
      <c r="BD593" t="inlineStr">
        <is>
          <t>893615428</t>
        </is>
      </c>
    </row>
    <row r="594">
      <c r="A594" t="inlineStr">
        <is>
          <t>No</t>
        </is>
      </c>
      <c r="B594" t="inlineStr">
        <is>
          <t>HM281 .T47</t>
        </is>
      </c>
      <c r="C594" t="inlineStr">
        <is>
          <t>0                      HM 0281000T  47</t>
        </is>
      </c>
      <c r="D594" t="inlineStr">
        <is>
          <t>War and revolution, by Nicholas S. Timasheff. Edited with a pref. by Joseph F. Scheuer.</t>
        </is>
      </c>
      <c r="F594" t="inlineStr">
        <is>
          <t>No</t>
        </is>
      </c>
      <c r="G594" t="inlineStr">
        <is>
          <t>1</t>
        </is>
      </c>
      <c r="H594" t="inlineStr">
        <is>
          <t>No</t>
        </is>
      </c>
      <c r="I594" t="inlineStr">
        <is>
          <t>No</t>
        </is>
      </c>
      <c r="J594" t="inlineStr">
        <is>
          <t>0</t>
        </is>
      </c>
      <c r="K594" t="inlineStr">
        <is>
          <t>Timasheff, Nicholas S. (Nicholas Sergeyevitch), 1886-1970.</t>
        </is>
      </c>
      <c r="L594" t="inlineStr">
        <is>
          <t>New York, Sheed and Ward [1965]</t>
        </is>
      </c>
      <c r="M594" t="inlineStr">
        <is>
          <t>1965</t>
        </is>
      </c>
      <c r="O594" t="inlineStr">
        <is>
          <t>eng</t>
        </is>
      </c>
      <c r="P594" t="inlineStr">
        <is>
          <t>nyu</t>
        </is>
      </c>
      <c r="R594" t="inlineStr">
        <is>
          <t xml:space="preserve">HM </t>
        </is>
      </c>
      <c r="S594" t="n">
        <v>1</v>
      </c>
      <c r="T594" t="n">
        <v>1</v>
      </c>
      <c r="U594" t="inlineStr">
        <is>
          <t>2003-04-11</t>
        </is>
      </c>
      <c r="V594" t="inlineStr">
        <is>
          <t>2003-04-11</t>
        </is>
      </c>
      <c r="W594" t="inlineStr">
        <is>
          <t>1997-08-04</t>
        </is>
      </c>
      <c r="X594" t="inlineStr">
        <is>
          <t>1997-08-04</t>
        </is>
      </c>
      <c r="Y594" t="n">
        <v>549</v>
      </c>
      <c r="Z594" t="n">
        <v>474</v>
      </c>
      <c r="AA594" t="n">
        <v>482</v>
      </c>
      <c r="AB594" t="n">
        <v>3</v>
      </c>
      <c r="AC594" t="n">
        <v>3</v>
      </c>
      <c r="AD594" t="n">
        <v>25</v>
      </c>
      <c r="AE594" t="n">
        <v>25</v>
      </c>
      <c r="AF594" t="n">
        <v>6</v>
      </c>
      <c r="AG594" t="n">
        <v>6</v>
      </c>
      <c r="AH594" t="n">
        <v>8</v>
      </c>
      <c r="AI594" t="n">
        <v>8</v>
      </c>
      <c r="AJ594" t="n">
        <v>15</v>
      </c>
      <c r="AK594" t="n">
        <v>15</v>
      </c>
      <c r="AL594" t="n">
        <v>2</v>
      </c>
      <c r="AM594" t="n">
        <v>2</v>
      </c>
      <c r="AN594" t="n">
        <v>2</v>
      </c>
      <c r="AO594" t="n">
        <v>2</v>
      </c>
      <c r="AP594" t="inlineStr">
        <is>
          <t>No</t>
        </is>
      </c>
      <c r="AQ594" t="inlineStr">
        <is>
          <t>Yes</t>
        </is>
      </c>
      <c r="AR594">
        <f>HYPERLINK("http://catalog.hathitrust.org/Record/000974113","HathiTrust Record")</f>
        <v/>
      </c>
      <c r="AS594">
        <f>HYPERLINK("https://creighton-primo.hosted.exlibrisgroup.com/primo-explore/search?tab=default_tab&amp;search_scope=EVERYTHING&amp;vid=01CRU&amp;lang=en_US&amp;offset=0&amp;query=any,contains,991002459599702656","Catalog Record")</f>
        <v/>
      </c>
      <c r="AT594">
        <f>HYPERLINK("http://www.worldcat.org/oclc/355567","WorldCat Record")</f>
        <v/>
      </c>
      <c r="AU594" t="inlineStr">
        <is>
          <t>1398229:eng</t>
        </is>
      </c>
      <c r="AV594" t="inlineStr">
        <is>
          <t>355567</t>
        </is>
      </c>
      <c r="AW594" t="inlineStr">
        <is>
          <t>991002459599702656</t>
        </is>
      </c>
      <c r="AX594" t="inlineStr">
        <is>
          <t>991002459599702656</t>
        </is>
      </c>
      <c r="AY594" t="inlineStr">
        <is>
          <t>2264687350002656</t>
        </is>
      </c>
      <c r="AZ594" t="inlineStr">
        <is>
          <t>BOOK</t>
        </is>
      </c>
      <c r="BC594" t="inlineStr">
        <is>
          <t>32285003019709</t>
        </is>
      </c>
      <c r="BD594" t="inlineStr">
        <is>
          <t>893798614</t>
        </is>
      </c>
    </row>
    <row r="595">
      <c r="A595" t="inlineStr">
        <is>
          <t>No</t>
        </is>
      </c>
      <c r="B595" t="inlineStr">
        <is>
          <t>HM281 .V46</t>
        </is>
      </c>
      <c r="C595" t="inlineStr">
        <is>
          <t>0                      HM 0281000V  46</t>
        </is>
      </c>
      <c r="D595" t="inlineStr">
        <is>
          <t>Vigilante politics / H. Jon Rosenbaum and Peter C. Sederberg, editors ; Dane Archer ... [et al.].</t>
        </is>
      </c>
      <c r="F595" t="inlineStr">
        <is>
          <t>No</t>
        </is>
      </c>
      <c r="G595" t="inlineStr">
        <is>
          <t>1</t>
        </is>
      </c>
      <c r="H595" t="inlineStr">
        <is>
          <t>No</t>
        </is>
      </c>
      <c r="I595" t="inlineStr">
        <is>
          <t>No</t>
        </is>
      </c>
      <c r="J595" t="inlineStr">
        <is>
          <t>0</t>
        </is>
      </c>
      <c r="L595" t="inlineStr">
        <is>
          <t>[Philadelphia] : University of Pennsylvania Press, 1976.</t>
        </is>
      </c>
      <c r="M595" t="inlineStr">
        <is>
          <t>1976</t>
        </is>
      </c>
      <c r="O595" t="inlineStr">
        <is>
          <t>eng</t>
        </is>
      </c>
      <c r="P595" t="inlineStr">
        <is>
          <t>pau</t>
        </is>
      </c>
      <c r="R595" t="inlineStr">
        <is>
          <t xml:space="preserve">HM </t>
        </is>
      </c>
      <c r="S595" t="n">
        <v>3</v>
      </c>
      <c r="T595" t="n">
        <v>3</v>
      </c>
      <c r="U595" t="inlineStr">
        <is>
          <t>2000-11-09</t>
        </is>
      </c>
      <c r="V595" t="inlineStr">
        <is>
          <t>2000-11-09</t>
        </is>
      </c>
      <c r="W595" t="inlineStr">
        <is>
          <t>1997-08-04</t>
        </is>
      </c>
      <c r="X595" t="inlineStr">
        <is>
          <t>1997-08-04</t>
        </is>
      </c>
      <c r="Y595" t="n">
        <v>531</v>
      </c>
      <c r="Z595" t="n">
        <v>461</v>
      </c>
      <c r="AA595" t="n">
        <v>633</v>
      </c>
      <c r="AB595" t="n">
        <v>3</v>
      </c>
      <c r="AC595" t="n">
        <v>3</v>
      </c>
      <c r="AD595" t="n">
        <v>16</v>
      </c>
      <c r="AE595" t="n">
        <v>25</v>
      </c>
      <c r="AF595" t="n">
        <v>3</v>
      </c>
      <c r="AG595" t="n">
        <v>10</v>
      </c>
      <c r="AH595" t="n">
        <v>4</v>
      </c>
      <c r="AI595" t="n">
        <v>6</v>
      </c>
      <c r="AJ595" t="n">
        <v>10</v>
      </c>
      <c r="AK595" t="n">
        <v>13</v>
      </c>
      <c r="AL595" t="n">
        <v>2</v>
      </c>
      <c r="AM595" t="n">
        <v>2</v>
      </c>
      <c r="AN595" t="n">
        <v>1</v>
      </c>
      <c r="AO595" t="n">
        <v>1</v>
      </c>
      <c r="AP595" t="inlineStr">
        <is>
          <t>No</t>
        </is>
      </c>
      <c r="AQ595" t="inlineStr">
        <is>
          <t>Yes</t>
        </is>
      </c>
      <c r="AR595">
        <f>HYPERLINK("http://catalog.hathitrust.org/Record/000701778","HathiTrust Record")</f>
        <v/>
      </c>
      <c r="AS595">
        <f>HYPERLINK("https://creighton-primo.hosted.exlibrisgroup.com/primo-explore/search?tab=default_tab&amp;search_scope=EVERYTHING&amp;vid=01CRU&amp;lang=en_US&amp;offset=0&amp;query=any,contains,991004001219702656","Catalog Record")</f>
        <v/>
      </c>
      <c r="AT595">
        <f>HYPERLINK("http://www.worldcat.org/oclc/2073878","WorldCat Record")</f>
        <v/>
      </c>
      <c r="AU595" t="inlineStr">
        <is>
          <t>349900476:eng</t>
        </is>
      </c>
      <c r="AV595" t="inlineStr">
        <is>
          <t>2073878</t>
        </is>
      </c>
      <c r="AW595" t="inlineStr">
        <is>
          <t>991004001219702656</t>
        </is>
      </c>
      <c r="AX595" t="inlineStr">
        <is>
          <t>991004001219702656</t>
        </is>
      </c>
      <c r="AY595" t="inlineStr">
        <is>
          <t>2255334170002656</t>
        </is>
      </c>
      <c r="AZ595" t="inlineStr">
        <is>
          <t>BOOK</t>
        </is>
      </c>
      <c r="BB595" t="inlineStr">
        <is>
          <t>9780812276947</t>
        </is>
      </c>
      <c r="BC595" t="inlineStr">
        <is>
          <t>32285003019717</t>
        </is>
      </c>
      <c r="BD595" t="inlineStr">
        <is>
          <t>893228788</t>
        </is>
      </c>
    </row>
    <row r="596">
      <c r="A596" t="inlineStr">
        <is>
          <t>No</t>
        </is>
      </c>
      <c r="B596" t="inlineStr">
        <is>
          <t>HM281 .V483 1996</t>
        </is>
      </c>
      <c r="C596" t="inlineStr">
        <is>
          <t>0                      HM 0281000V  483         1996</t>
        </is>
      </c>
      <c r="D596" t="inlineStr">
        <is>
          <t>Violence and gender relations : theories and interventions / edited by Barbara Fawcett ... [et al.].</t>
        </is>
      </c>
      <c r="F596" t="inlineStr">
        <is>
          <t>No</t>
        </is>
      </c>
      <c r="G596" t="inlineStr">
        <is>
          <t>1</t>
        </is>
      </c>
      <c r="H596" t="inlineStr">
        <is>
          <t>No</t>
        </is>
      </c>
      <c r="I596" t="inlineStr">
        <is>
          <t>No</t>
        </is>
      </c>
      <c r="J596" t="inlineStr">
        <is>
          <t>0</t>
        </is>
      </c>
      <c r="L596" t="inlineStr">
        <is>
          <t>London ; Thousand Oaks, Calif. : Sage, 1996.</t>
        </is>
      </c>
      <c r="M596" t="inlineStr">
        <is>
          <t>1996</t>
        </is>
      </c>
      <c r="O596" t="inlineStr">
        <is>
          <t>eng</t>
        </is>
      </c>
      <c r="P596" t="inlineStr">
        <is>
          <t>enk</t>
        </is>
      </c>
      <c r="R596" t="inlineStr">
        <is>
          <t xml:space="preserve">HM </t>
        </is>
      </c>
      <c r="S596" t="n">
        <v>4</v>
      </c>
      <c r="T596" t="n">
        <v>4</v>
      </c>
      <c r="U596" t="inlineStr">
        <is>
          <t>2003-05-02</t>
        </is>
      </c>
      <c r="V596" t="inlineStr">
        <is>
          <t>2003-05-02</t>
        </is>
      </c>
      <c r="W596" t="inlineStr">
        <is>
          <t>1996-12-05</t>
        </is>
      </c>
      <c r="X596" t="inlineStr">
        <is>
          <t>1996-12-05</t>
        </is>
      </c>
      <c r="Y596" t="n">
        <v>431</v>
      </c>
      <c r="Z596" t="n">
        <v>253</v>
      </c>
      <c r="AA596" t="n">
        <v>259</v>
      </c>
      <c r="AB596" t="n">
        <v>2</v>
      </c>
      <c r="AC596" t="n">
        <v>2</v>
      </c>
      <c r="AD596" t="n">
        <v>12</v>
      </c>
      <c r="AE596" t="n">
        <v>12</v>
      </c>
      <c r="AF596" t="n">
        <v>3</v>
      </c>
      <c r="AG596" t="n">
        <v>3</v>
      </c>
      <c r="AH596" t="n">
        <v>3</v>
      </c>
      <c r="AI596" t="n">
        <v>3</v>
      </c>
      <c r="AJ596" t="n">
        <v>9</v>
      </c>
      <c r="AK596" t="n">
        <v>9</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HYPERLINK("https://creighton-primo.hosted.exlibrisgroup.com/primo-explore/search?tab=default_tab&amp;search_scope=EVERYTHING&amp;vid=01CRU&amp;lang=en_US&amp;offset=0&amp;query=any,contains,991002616739702656","Catalog Record")</f>
        <v/>
      </c>
      <c r="AT596">
        <f>HYPERLINK("http://www.worldcat.org/oclc/34303653","WorldCat Record")</f>
        <v/>
      </c>
      <c r="AU596" t="inlineStr">
        <is>
          <t>836911734:eng</t>
        </is>
      </c>
      <c r="AV596" t="inlineStr">
        <is>
          <t>34303653</t>
        </is>
      </c>
      <c r="AW596" t="inlineStr">
        <is>
          <t>991002616739702656</t>
        </is>
      </c>
      <c r="AX596" t="inlineStr">
        <is>
          <t>991002616739702656</t>
        </is>
      </c>
      <c r="AY596" t="inlineStr">
        <is>
          <t>2260838790002656</t>
        </is>
      </c>
      <c r="AZ596" t="inlineStr">
        <is>
          <t>BOOK</t>
        </is>
      </c>
      <c r="BB596" t="inlineStr">
        <is>
          <t>9780803976504</t>
        </is>
      </c>
      <c r="BC596" t="inlineStr">
        <is>
          <t>32285002388527</t>
        </is>
      </c>
      <c r="BD596" t="inlineStr">
        <is>
          <t>893523832</t>
        </is>
      </c>
    </row>
    <row r="597">
      <c r="A597" t="inlineStr">
        <is>
          <t>No</t>
        </is>
      </c>
      <c r="B597" t="inlineStr">
        <is>
          <t>HM281 .W63 1972b</t>
        </is>
      </c>
      <c r="C597" t="inlineStr">
        <is>
          <t>0                      HM 0281000W  63          1972b</t>
        </is>
      </c>
      <c r="D597" t="inlineStr">
        <is>
          <t>New theories of revolution; a commentary on the views of Frantz Fanon, Regis Debray and Herbert Marcuse.</t>
        </is>
      </c>
      <c r="F597" t="inlineStr">
        <is>
          <t>No</t>
        </is>
      </c>
      <c r="G597" t="inlineStr">
        <is>
          <t>1</t>
        </is>
      </c>
      <c r="H597" t="inlineStr">
        <is>
          <t>No</t>
        </is>
      </c>
      <c r="I597" t="inlineStr">
        <is>
          <t>No</t>
        </is>
      </c>
      <c r="J597" t="inlineStr">
        <is>
          <t>0</t>
        </is>
      </c>
      <c r="K597" t="inlineStr">
        <is>
          <t>Woddis, Jack.</t>
        </is>
      </c>
      <c r="L597" t="inlineStr">
        <is>
          <t>New York, International Publishers [1972]</t>
        </is>
      </c>
      <c r="M597" t="inlineStr">
        <is>
          <t>1972</t>
        </is>
      </c>
      <c r="N597" t="inlineStr">
        <is>
          <t>[1st ed.]</t>
        </is>
      </c>
      <c r="O597" t="inlineStr">
        <is>
          <t>eng</t>
        </is>
      </c>
      <c r="P597" t="inlineStr">
        <is>
          <t>nyu</t>
        </is>
      </c>
      <c r="R597" t="inlineStr">
        <is>
          <t xml:space="preserve">HM </t>
        </is>
      </c>
      <c r="S597" t="n">
        <v>7</v>
      </c>
      <c r="T597" t="n">
        <v>7</v>
      </c>
      <c r="U597" t="inlineStr">
        <is>
          <t>2010-06-15</t>
        </is>
      </c>
      <c r="V597" t="inlineStr">
        <is>
          <t>2010-06-15</t>
        </is>
      </c>
      <c r="W597" t="inlineStr">
        <is>
          <t>1997-08-04</t>
        </is>
      </c>
      <c r="X597" t="inlineStr">
        <is>
          <t>1997-08-04</t>
        </is>
      </c>
      <c r="Y597" t="n">
        <v>439</v>
      </c>
      <c r="Z597" t="n">
        <v>371</v>
      </c>
      <c r="AA597" t="n">
        <v>426</v>
      </c>
      <c r="AB597" t="n">
        <v>2</v>
      </c>
      <c r="AC597" t="n">
        <v>2</v>
      </c>
      <c r="AD597" t="n">
        <v>23</v>
      </c>
      <c r="AE597" t="n">
        <v>24</v>
      </c>
      <c r="AF597" t="n">
        <v>9</v>
      </c>
      <c r="AG597" t="n">
        <v>9</v>
      </c>
      <c r="AH597" t="n">
        <v>6</v>
      </c>
      <c r="AI597" t="n">
        <v>6</v>
      </c>
      <c r="AJ597" t="n">
        <v>13</v>
      </c>
      <c r="AK597" t="n">
        <v>14</v>
      </c>
      <c r="AL597" t="n">
        <v>1</v>
      </c>
      <c r="AM597" t="n">
        <v>1</v>
      </c>
      <c r="AN597" t="n">
        <v>1</v>
      </c>
      <c r="AO597" t="n">
        <v>1</v>
      </c>
      <c r="AP597" t="inlineStr">
        <is>
          <t>No</t>
        </is>
      </c>
      <c r="AQ597" t="inlineStr">
        <is>
          <t>Yes</t>
        </is>
      </c>
      <c r="AR597">
        <f>HYPERLINK("http://catalog.hathitrust.org/Record/000008140","HathiTrust Record")</f>
        <v/>
      </c>
      <c r="AS597">
        <f>HYPERLINK("https://creighton-primo.hosted.exlibrisgroup.com/primo-explore/search?tab=default_tab&amp;search_scope=EVERYTHING&amp;vid=01CRU&amp;lang=en_US&amp;offset=0&amp;query=any,contains,991003029099702656","Catalog Record")</f>
        <v/>
      </c>
      <c r="AT597">
        <f>HYPERLINK("http://www.worldcat.org/oclc/592307","WorldCat Record")</f>
        <v/>
      </c>
      <c r="AU597" t="inlineStr">
        <is>
          <t>447391:eng</t>
        </is>
      </c>
      <c r="AV597" t="inlineStr">
        <is>
          <t>592307</t>
        </is>
      </c>
      <c r="AW597" t="inlineStr">
        <is>
          <t>991003029099702656</t>
        </is>
      </c>
      <c r="AX597" t="inlineStr">
        <is>
          <t>991003029099702656</t>
        </is>
      </c>
      <c r="AY597" t="inlineStr">
        <is>
          <t>2264327290002656</t>
        </is>
      </c>
      <c r="AZ597" t="inlineStr">
        <is>
          <t>BOOK</t>
        </is>
      </c>
      <c r="BB597" t="inlineStr">
        <is>
          <t>9780717803507</t>
        </is>
      </c>
      <c r="BC597" t="inlineStr">
        <is>
          <t>32285003019733</t>
        </is>
      </c>
      <c r="BD597" t="inlineStr">
        <is>
          <t>893262603</t>
        </is>
      </c>
    </row>
    <row r="598">
      <c r="A598" t="inlineStr">
        <is>
          <t>No</t>
        </is>
      </c>
      <c r="B598" t="inlineStr">
        <is>
          <t>HM283 .B54</t>
        </is>
      </c>
      <c r="C598" t="inlineStr">
        <is>
          <t>0                      HM 0283000B  54</t>
        </is>
      </c>
      <c r="D598" t="inlineStr">
        <is>
          <t>Fire in the minds of men : origins of the revolutionary faith / James H. Billington.</t>
        </is>
      </c>
      <c r="F598" t="inlineStr">
        <is>
          <t>No</t>
        </is>
      </c>
      <c r="G598" t="inlineStr">
        <is>
          <t>1</t>
        </is>
      </c>
      <c r="H598" t="inlineStr">
        <is>
          <t>No</t>
        </is>
      </c>
      <c r="I598" t="inlineStr">
        <is>
          <t>No</t>
        </is>
      </c>
      <c r="J598" t="inlineStr">
        <is>
          <t>0</t>
        </is>
      </c>
      <c r="K598" t="inlineStr">
        <is>
          <t>Billington, James H.</t>
        </is>
      </c>
      <c r="L598" t="inlineStr">
        <is>
          <t>New York : Basic Books, c1980.</t>
        </is>
      </c>
      <c r="M598" t="inlineStr">
        <is>
          <t>1980</t>
        </is>
      </c>
      <c r="O598" t="inlineStr">
        <is>
          <t>eng</t>
        </is>
      </c>
      <c r="P598" t="inlineStr">
        <is>
          <t>nyu</t>
        </is>
      </c>
      <c r="R598" t="inlineStr">
        <is>
          <t xml:space="preserve">HM </t>
        </is>
      </c>
      <c r="S598" t="n">
        <v>3</v>
      </c>
      <c r="T598" t="n">
        <v>3</v>
      </c>
      <c r="U598" t="inlineStr">
        <is>
          <t>2010-10-27</t>
        </is>
      </c>
      <c r="V598" t="inlineStr">
        <is>
          <t>2010-10-27</t>
        </is>
      </c>
      <c r="W598" t="inlineStr">
        <is>
          <t>1992-09-18</t>
        </is>
      </c>
      <c r="X598" t="inlineStr">
        <is>
          <t>1992-09-18</t>
        </is>
      </c>
      <c r="Y598" t="n">
        <v>1173</v>
      </c>
      <c r="Z598" t="n">
        <v>1054</v>
      </c>
      <c r="AA598" t="n">
        <v>1150</v>
      </c>
      <c r="AB598" t="n">
        <v>8</v>
      </c>
      <c r="AC598" t="n">
        <v>8</v>
      </c>
      <c r="AD598" t="n">
        <v>51</v>
      </c>
      <c r="AE598" t="n">
        <v>53</v>
      </c>
      <c r="AF598" t="n">
        <v>21</v>
      </c>
      <c r="AG598" t="n">
        <v>22</v>
      </c>
      <c r="AH598" t="n">
        <v>10</v>
      </c>
      <c r="AI598" t="n">
        <v>10</v>
      </c>
      <c r="AJ598" t="n">
        <v>26</v>
      </c>
      <c r="AK598" t="n">
        <v>27</v>
      </c>
      <c r="AL598" t="n">
        <v>6</v>
      </c>
      <c r="AM598" t="n">
        <v>6</v>
      </c>
      <c r="AN598" t="n">
        <v>2</v>
      </c>
      <c r="AO598" t="n">
        <v>2</v>
      </c>
      <c r="AP598" t="inlineStr">
        <is>
          <t>No</t>
        </is>
      </c>
      <c r="AQ598" t="inlineStr">
        <is>
          <t>Yes</t>
        </is>
      </c>
      <c r="AR598">
        <f>HYPERLINK("http://catalog.hathitrust.org/Record/000036969","HathiTrust Record")</f>
        <v/>
      </c>
      <c r="AS598">
        <f>HYPERLINK("https://creighton-primo.hosted.exlibrisgroup.com/primo-explore/search?tab=default_tab&amp;search_scope=EVERYTHING&amp;vid=01CRU&amp;lang=en_US&amp;offset=0&amp;query=any,contains,991004928139702656","Catalog Record")</f>
        <v/>
      </c>
      <c r="AT598">
        <f>HYPERLINK("http://www.worldcat.org/oclc/6087769","WorldCat Record")</f>
        <v/>
      </c>
      <c r="AU598" t="inlineStr">
        <is>
          <t>487371:eng</t>
        </is>
      </c>
      <c r="AV598" t="inlineStr">
        <is>
          <t>6087769</t>
        </is>
      </c>
      <c r="AW598" t="inlineStr">
        <is>
          <t>991004928139702656</t>
        </is>
      </c>
      <c r="AX598" t="inlineStr">
        <is>
          <t>991004928139702656</t>
        </is>
      </c>
      <c r="AY598" t="inlineStr">
        <is>
          <t>2259635630002656</t>
        </is>
      </c>
      <c r="AZ598" t="inlineStr">
        <is>
          <t>BOOK</t>
        </is>
      </c>
      <c r="BB598" t="inlineStr">
        <is>
          <t>9780465024056</t>
        </is>
      </c>
      <c r="BC598" t="inlineStr">
        <is>
          <t>32285001268571</t>
        </is>
      </c>
      <c r="BD598" t="inlineStr">
        <is>
          <t>893230010</t>
        </is>
      </c>
    </row>
    <row r="599">
      <c r="A599" t="inlineStr">
        <is>
          <t>No</t>
        </is>
      </c>
      <c r="B599" t="inlineStr">
        <is>
          <t>HM283 .D37</t>
        </is>
      </c>
      <c r="C599" t="inlineStr">
        <is>
          <t>0                      HM 0283000D  37</t>
        </is>
      </c>
      <c r="D599" t="inlineStr">
        <is>
          <t>When men revolt and why : a reader in political violence and revolution.</t>
        </is>
      </c>
      <c r="F599" t="inlineStr">
        <is>
          <t>No</t>
        </is>
      </c>
      <c r="G599" t="inlineStr">
        <is>
          <t>1</t>
        </is>
      </c>
      <c r="H599" t="inlineStr">
        <is>
          <t>No</t>
        </is>
      </c>
      <c r="I599" t="inlineStr">
        <is>
          <t>No</t>
        </is>
      </c>
      <c r="J599" t="inlineStr">
        <is>
          <t>0</t>
        </is>
      </c>
      <c r="K599" t="inlineStr">
        <is>
          <t>Davies, James Chowning, 1918-2012.</t>
        </is>
      </c>
      <c r="L599" t="inlineStr">
        <is>
          <t>New York : Free Press, [1970, c1971]</t>
        </is>
      </c>
      <c r="M599" t="inlineStr">
        <is>
          <t>1970</t>
        </is>
      </c>
      <c r="O599" t="inlineStr">
        <is>
          <t>eng</t>
        </is>
      </c>
      <c r="P599" t="inlineStr">
        <is>
          <t>nyu</t>
        </is>
      </c>
      <c r="R599" t="inlineStr">
        <is>
          <t xml:space="preserve">HM </t>
        </is>
      </c>
      <c r="S599" t="n">
        <v>15</v>
      </c>
      <c r="T599" t="n">
        <v>15</v>
      </c>
      <c r="U599" t="inlineStr">
        <is>
          <t>2005-03-28</t>
        </is>
      </c>
      <c r="V599" t="inlineStr">
        <is>
          <t>2005-03-28</t>
        </is>
      </c>
      <c r="W599" t="inlineStr">
        <is>
          <t>1992-10-30</t>
        </is>
      </c>
      <c r="X599" t="inlineStr">
        <is>
          <t>1992-10-30</t>
        </is>
      </c>
      <c r="Y599" t="n">
        <v>872</v>
      </c>
      <c r="Z599" t="n">
        <v>743</v>
      </c>
      <c r="AA599" t="n">
        <v>756</v>
      </c>
      <c r="AB599" t="n">
        <v>11</v>
      </c>
      <c r="AC599" t="n">
        <v>11</v>
      </c>
      <c r="AD599" t="n">
        <v>37</v>
      </c>
      <c r="AE599" t="n">
        <v>37</v>
      </c>
      <c r="AF599" t="n">
        <v>14</v>
      </c>
      <c r="AG599" t="n">
        <v>14</v>
      </c>
      <c r="AH599" t="n">
        <v>6</v>
      </c>
      <c r="AI599" t="n">
        <v>6</v>
      </c>
      <c r="AJ599" t="n">
        <v>14</v>
      </c>
      <c r="AK599" t="n">
        <v>14</v>
      </c>
      <c r="AL599" t="n">
        <v>9</v>
      </c>
      <c r="AM599" t="n">
        <v>9</v>
      </c>
      <c r="AN599" t="n">
        <v>1</v>
      </c>
      <c r="AO599" t="n">
        <v>1</v>
      </c>
      <c r="AP599" t="inlineStr">
        <is>
          <t>No</t>
        </is>
      </c>
      <c r="AQ599" t="inlineStr">
        <is>
          <t>No</t>
        </is>
      </c>
      <c r="AS599">
        <f>HYPERLINK("https://creighton-primo.hosted.exlibrisgroup.com/primo-explore/search?tab=default_tab&amp;search_scope=EVERYTHING&amp;vid=01CRU&amp;lang=en_US&amp;offset=0&amp;query=any,contains,991000758799702656","Catalog Record")</f>
        <v/>
      </c>
      <c r="AT599">
        <f>HYPERLINK("http://www.worldcat.org/oclc/130678","WorldCat Record")</f>
        <v/>
      </c>
      <c r="AU599" t="inlineStr">
        <is>
          <t>40713493:eng</t>
        </is>
      </c>
      <c r="AV599" t="inlineStr">
        <is>
          <t>130678</t>
        </is>
      </c>
      <c r="AW599" t="inlineStr">
        <is>
          <t>991000758799702656</t>
        </is>
      </c>
      <c r="AX599" t="inlineStr">
        <is>
          <t>991000758799702656</t>
        </is>
      </c>
      <c r="AY599" t="inlineStr">
        <is>
          <t>2255045080002656</t>
        </is>
      </c>
      <c r="AZ599" t="inlineStr">
        <is>
          <t>BOOK</t>
        </is>
      </c>
      <c r="BC599" t="inlineStr">
        <is>
          <t>32285001387462</t>
        </is>
      </c>
      <c r="BD599" t="inlineStr">
        <is>
          <t>893413657</t>
        </is>
      </c>
    </row>
    <row r="600">
      <c r="A600" t="inlineStr">
        <is>
          <t>No</t>
        </is>
      </c>
      <c r="B600" t="inlineStr">
        <is>
          <t>HM283 .D44 1991</t>
        </is>
      </c>
      <c r="C600" t="inlineStr">
        <is>
          <t>0                      HM 0283000D  44          1991</t>
        </is>
      </c>
      <c r="D600" t="inlineStr">
        <is>
          <t>Revolutions and revolutionary movements / James DeFronzo.</t>
        </is>
      </c>
      <c r="F600" t="inlineStr">
        <is>
          <t>No</t>
        </is>
      </c>
      <c r="G600" t="inlineStr">
        <is>
          <t>1</t>
        </is>
      </c>
      <c r="H600" t="inlineStr">
        <is>
          <t>No</t>
        </is>
      </c>
      <c r="I600" t="inlineStr">
        <is>
          <t>No</t>
        </is>
      </c>
      <c r="J600" t="inlineStr">
        <is>
          <t>0</t>
        </is>
      </c>
      <c r="K600" t="inlineStr">
        <is>
          <t>DeFronzo, James.</t>
        </is>
      </c>
      <c r="L600" t="inlineStr">
        <is>
          <t>Boulder : Westview Press, 1991.</t>
        </is>
      </c>
      <c r="M600" t="inlineStr">
        <is>
          <t>1991</t>
        </is>
      </c>
      <c r="O600" t="inlineStr">
        <is>
          <t>eng</t>
        </is>
      </c>
      <c r="P600" t="inlineStr">
        <is>
          <t>cou</t>
        </is>
      </c>
      <c r="R600" t="inlineStr">
        <is>
          <t xml:space="preserve">HM </t>
        </is>
      </c>
      <c r="S600" t="n">
        <v>7</v>
      </c>
      <c r="T600" t="n">
        <v>7</v>
      </c>
      <c r="U600" t="inlineStr">
        <is>
          <t>2005-03-28</t>
        </is>
      </c>
      <c r="V600" t="inlineStr">
        <is>
          <t>2005-03-28</t>
        </is>
      </c>
      <c r="W600" t="inlineStr">
        <is>
          <t>1991-09-24</t>
        </is>
      </c>
      <c r="X600" t="inlineStr">
        <is>
          <t>1991-09-24</t>
        </is>
      </c>
      <c r="Y600" t="n">
        <v>473</v>
      </c>
      <c r="Z600" t="n">
        <v>379</v>
      </c>
      <c r="AA600" t="n">
        <v>1236</v>
      </c>
      <c r="AB600" t="n">
        <v>3</v>
      </c>
      <c r="AC600" t="n">
        <v>6</v>
      </c>
      <c r="AD600" t="n">
        <v>16</v>
      </c>
      <c r="AE600" t="n">
        <v>42</v>
      </c>
      <c r="AF600" t="n">
        <v>7</v>
      </c>
      <c r="AG600" t="n">
        <v>17</v>
      </c>
      <c r="AH600" t="n">
        <v>3</v>
      </c>
      <c r="AI600" t="n">
        <v>10</v>
      </c>
      <c r="AJ600" t="n">
        <v>8</v>
      </c>
      <c r="AK600" t="n">
        <v>19</v>
      </c>
      <c r="AL600" t="n">
        <v>2</v>
      </c>
      <c r="AM600" t="n">
        <v>5</v>
      </c>
      <c r="AN600" t="n">
        <v>0</v>
      </c>
      <c r="AO600" t="n">
        <v>1</v>
      </c>
      <c r="AP600" t="inlineStr">
        <is>
          <t>No</t>
        </is>
      </c>
      <c r="AQ600" t="inlineStr">
        <is>
          <t>Yes</t>
        </is>
      </c>
      <c r="AR600">
        <f>HYPERLINK("http://catalog.hathitrust.org/Record/002471608","HathiTrust Record")</f>
        <v/>
      </c>
      <c r="AS600">
        <f>HYPERLINK("https://creighton-primo.hosted.exlibrisgroup.com/primo-explore/search?tab=default_tab&amp;search_scope=EVERYTHING&amp;vid=01CRU&amp;lang=en_US&amp;offset=0&amp;query=any,contains,991001860469702656","Catalog Record")</f>
        <v/>
      </c>
      <c r="AT600">
        <f>HYPERLINK("http://www.worldcat.org/oclc/23382362","WorldCat Record")</f>
        <v/>
      </c>
      <c r="AU600" t="inlineStr">
        <is>
          <t>25276836:eng</t>
        </is>
      </c>
      <c r="AV600" t="inlineStr">
        <is>
          <t>23382362</t>
        </is>
      </c>
      <c r="AW600" t="inlineStr">
        <is>
          <t>991001860469702656</t>
        </is>
      </c>
      <c r="AX600" t="inlineStr">
        <is>
          <t>991001860469702656</t>
        </is>
      </c>
      <c r="AY600" t="inlineStr">
        <is>
          <t>2266469990002656</t>
        </is>
      </c>
      <c r="AZ600" t="inlineStr">
        <is>
          <t>BOOK</t>
        </is>
      </c>
      <c r="BB600" t="inlineStr">
        <is>
          <t>9780813306698</t>
        </is>
      </c>
      <c r="BC600" t="inlineStr">
        <is>
          <t>32285000704899</t>
        </is>
      </c>
      <c r="BD600" t="inlineStr">
        <is>
          <t>893602944</t>
        </is>
      </c>
    </row>
    <row r="601">
      <c r="A601" t="inlineStr">
        <is>
          <t>No</t>
        </is>
      </c>
      <c r="B601" t="inlineStr">
        <is>
          <t>HM283 .H6513</t>
        </is>
      </c>
      <c r="C601" t="inlineStr">
        <is>
          <t>0                      HM 0283000H  6513</t>
        </is>
      </c>
      <c r="D601" t="inlineStr">
        <is>
          <t>The church and revolution; from the French Revolution of 1789 to the Paris riots of 1968, from Cuba to Southern Africa, from Vietnam to Latin America, by François Houtart and André Rousseau. Translated by Violet Nevile.</t>
        </is>
      </c>
      <c r="F601" t="inlineStr">
        <is>
          <t>No</t>
        </is>
      </c>
      <c r="G601" t="inlineStr">
        <is>
          <t>1</t>
        </is>
      </c>
      <c r="H601" t="inlineStr">
        <is>
          <t>No</t>
        </is>
      </c>
      <c r="I601" t="inlineStr">
        <is>
          <t>No</t>
        </is>
      </c>
      <c r="J601" t="inlineStr">
        <is>
          <t>0</t>
        </is>
      </c>
      <c r="K601" t="inlineStr">
        <is>
          <t>Houtart, François, 1925-2017.</t>
        </is>
      </c>
      <c r="L601" t="inlineStr">
        <is>
          <t>Maryknoll, N.Y., Orbis Books [1971]</t>
        </is>
      </c>
      <c r="M601" t="inlineStr">
        <is>
          <t>1971</t>
        </is>
      </c>
      <c r="O601" t="inlineStr">
        <is>
          <t>eng</t>
        </is>
      </c>
      <c r="P601" t="inlineStr">
        <is>
          <t>nyu</t>
        </is>
      </c>
      <c r="R601" t="inlineStr">
        <is>
          <t xml:space="preserve">HM </t>
        </is>
      </c>
      <c r="S601" t="n">
        <v>4</v>
      </c>
      <c r="T601" t="n">
        <v>4</v>
      </c>
      <c r="U601" t="inlineStr">
        <is>
          <t>1993-04-12</t>
        </is>
      </c>
      <c r="V601" t="inlineStr">
        <is>
          <t>1993-04-12</t>
        </is>
      </c>
      <c r="W601" t="inlineStr">
        <is>
          <t>1992-10-30</t>
        </is>
      </c>
      <c r="X601" t="inlineStr">
        <is>
          <t>1992-10-30</t>
        </is>
      </c>
      <c r="Y601" t="n">
        <v>322</v>
      </c>
      <c r="Z601" t="n">
        <v>272</v>
      </c>
      <c r="AA601" t="n">
        <v>279</v>
      </c>
      <c r="AB601" t="n">
        <v>1</v>
      </c>
      <c r="AC601" t="n">
        <v>1</v>
      </c>
      <c r="AD601" t="n">
        <v>26</v>
      </c>
      <c r="AE601" t="n">
        <v>26</v>
      </c>
      <c r="AF601" t="n">
        <v>8</v>
      </c>
      <c r="AG601" t="n">
        <v>8</v>
      </c>
      <c r="AH601" t="n">
        <v>8</v>
      </c>
      <c r="AI601" t="n">
        <v>8</v>
      </c>
      <c r="AJ601" t="n">
        <v>19</v>
      </c>
      <c r="AK601" t="n">
        <v>19</v>
      </c>
      <c r="AL601" t="n">
        <v>0</v>
      </c>
      <c r="AM601" t="n">
        <v>0</v>
      </c>
      <c r="AN601" t="n">
        <v>0</v>
      </c>
      <c r="AO601" t="n">
        <v>0</v>
      </c>
      <c r="AP601" t="inlineStr">
        <is>
          <t>No</t>
        </is>
      </c>
      <c r="AQ601" t="inlineStr">
        <is>
          <t>Yes</t>
        </is>
      </c>
      <c r="AR601">
        <f>HYPERLINK("http://catalog.hathitrust.org/Record/000974125","HathiTrust Record")</f>
        <v/>
      </c>
      <c r="AS601">
        <f>HYPERLINK("https://creighton-primo.hosted.exlibrisgroup.com/primo-explore/search?tab=default_tab&amp;search_scope=EVERYTHING&amp;vid=01CRU&amp;lang=en_US&amp;offset=0&amp;query=any,contains,991001386799702656","Catalog Record")</f>
        <v/>
      </c>
      <c r="AT601">
        <f>HYPERLINK("http://www.worldcat.org/oclc/227366","WorldCat Record")</f>
        <v/>
      </c>
      <c r="AU601" t="inlineStr">
        <is>
          <t>312486580:eng</t>
        </is>
      </c>
      <c r="AV601" t="inlineStr">
        <is>
          <t>227366</t>
        </is>
      </c>
      <c r="AW601" t="inlineStr">
        <is>
          <t>991001386799702656</t>
        </is>
      </c>
      <c r="AX601" t="inlineStr">
        <is>
          <t>991001386799702656</t>
        </is>
      </c>
      <c r="AY601" t="inlineStr">
        <is>
          <t>2255813150002656</t>
        </is>
      </c>
      <c r="AZ601" t="inlineStr">
        <is>
          <t>BOOK</t>
        </is>
      </c>
      <c r="BC601" t="inlineStr">
        <is>
          <t>32285001387470</t>
        </is>
      </c>
      <c r="BD601" t="inlineStr">
        <is>
          <t>893408094</t>
        </is>
      </c>
    </row>
    <row r="602">
      <c r="A602" t="inlineStr">
        <is>
          <t>No</t>
        </is>
      </c>
      <c r="B602" t="inlineStr">
        <is>
          <t>HM283 .N36</t>
        </is>
      </c>
      <c r="C602" t="inlineStr">
        <is>
          <t>0                      HM 0283000N  36</t>
        </is>
      </c>
      <c r="D602" t="inlineStr">
        <is>
          <t>National liberation; revolution in the third world. Edited by Norman Miller and Roderick Aya. With an introd. by Eric R. Wolf.</t>
        </is>
      </c>
      <c r="F602" t="inlineStr">
        <is>
          <t>No</t>
        </is>
      </c>
      <c r="G602" t="inlineStr">
        <is>
          <t>1</t>
        </is>
      </c>
      <c r="H602" t="inlineStr">
        <is>
          <t>No</t>
        </is>
      </c>
      <c r="I602" t="inlineStr">
        <is>
          <t>No</t>
        </is>
      </c>
      <c r="J602" t="inlineStr">
        <is>
          <t>0</t>
        </is>
      </c>
      <c r="L602" t="inlineStr">
        <is>
          <t>New York, Free Press [1971]</t>
        </is>
      </c>
      <c r="M602" t="inlineStr">
        <is>
          <t>1971</t>
        </is>
      </c>
      <c r="O602" t="inlineStr">
        <is>
          <t>eng</t>
        </is>
      </c>
      <c r="P602" t="inlineStr">
        <is>
          <t>nyu</t>
        </is>
      </c>
      <c r="R602" t="inlineStr">
        <is>
          <t xml:space="preserve">HM </t>
        </is>
      </c>
      <c r="S602" t="n">
        <v>3</v>
      </c>
      <c r="T602" t="n">
        <v>3</v>
      </c>
      <c r="U602" t="inlineStr">
        <is>
          <t>2008-11-24</t>
        </is>
      </c>
      <c r="V602" t="inlineStr">
        <is>
          <t>2008-11-24</t>
        </is>
      </c>
      <c r="W602" t="inlineStr">
        <is>
          <t>1997-08-04</t>
        </is>
      </c>
      <c r="X602" t="inlineStr">
        <is>
          <t>1997-08-04</t>
        </is>
      </c>
      <c r="Y602" t="n">
        <v>708</v>
      </c>
      <c r="Z602" t="n">
        <v>578</v>
      </c>
      <c r="AA602" t="n">
        <v>584</v>
      </c>
      <c r="AB602" t="n">
        <v>6</v>
      </c>
      <c r="AC602" t="n">
        <v>6</v>
      </c>
      <c r="AD602" t="n">
        <v>28</v>
      </c>
      <c r="AE602" t="n">
        <v>28</v>
      </c>
      <c r="AF602" t="n">
        <v>10</v>
      </c>
      <c r="AG602" t="n">
        <v>10</v>
      </c>
      <c r="AH602" t="n">
        <v>6</v>
      </c>
      <c r="AI602" t="n">
        <v>6</v>
      </c>
      <c r="AJ602" t="n">
        <v>17</v>
      </c>
      <c r="AK602" t="n">
        <v>17</v>
      </c>
      <c r="AL602" t="n">
        <v>4</v>
      </c>
      <c r="AM602" t="n">
        <v>4</v>
      </c>
      <c r="AN602" t="n">
        <v>0</v>
      </c>
      <c r="AO602" t="n">
        <v>0</v>
      </c>
      <c r="AP602" t="inlineStr">
        <is>
          <t>No</t>
        </is>
      </c>
      <c r="AQ602" t="inlineStr">
        <is>
          <t>Yes</t>
        </is>
      </c>
      <c r="AR602">
        <f>HYPERLINK("http://catalog.hathitrust.org/Record/001109495","HathiTrust Record")</f>
        <v/>
      </c>
      <c r="AS602">
        <f>HYPERLINK("https://creighton-primo.hosted.exlibrisgroup.com/primo-explore/search?tab=default_tab&amp;search_scope=EVERYTHING&amp;vid=01CRU&amp;lang=en_US&amp;offset=0&amp;query=any,contains,991000779269702656","Catalog Record")</f>
        <v/>
      </c>
      <c r="AT602">
        <f>HYPERLINK("http://www.worldcat.org/oclc/134275","WorldCat Record")</f>
        <v/>
      </c>
      <c r="AU602" t="inlineStr">
        <is>
          <t>845820393:eng</t>
        </is>
      </c>
      <c r="AV602" t="inlineStr">
        <is>
          <t>134275</t>
        </is>
      </c>
      <c r="AW602" t="inlineStr">
        <is>
          <t>991000779269702656</t>
        </is>
      </c>
      <c r="AX602" t="inlineStr">
        <is>
          <t>991000779269702656</t>
        </is>
      </c>
      <c r="AY602" t="inlineStr">
        <is>
          <t>2260818780002656</t>
        </is>
      </c>
      <c r="AZ602" t="inlineStr">
        <is>
          <t>BOOK</t>
        </is>
      </c>
      <c r="BC602" t="inlineStr">
        <is>
          <t>32285003019758</t>
        </is>
      </c>
      <c r="BD602" t="inlineStr">
        <is>
          <t>893696170</t>
        </is>
      </c>
    </row>
    <row r="603">
      <c r="A603" t="inlineStr">
        <is>
          <t>No</t>
        </is>
      </c>
      <c r="B603" t="inlineStr">
        <is>
          <t>HM283 .R8</t>
        </is>
      </c>
      <c r="C603" t="inlineStr">
        <is>
          <t>0                      HM 0283000R  8</t>
        </is>
      </c>
      <c r="D603" t="inlineStr">
        <is>
          <t>The crowd in history; a study of popular disturbances in France and England, 1730-1848 [by] George Rudé.</t>
        </is>
      </c>
      <c r="F603" t="inlineStr">
        <is>
          <t>No</t>
        </is>
      </c>
      <c r="G603" t="inlineStr">
        <is>
          <t>1</t>
        </is>
      </c>
      <c r="H603" t="inlineStr">
        <is>
          <t>No</t>
        </is>
      </c>
      <c r="I603" t="inlineStr">
        <is>
          <t>No</t>
        </is>
      </c>
      <c r="J603" t="inlineStr">
        <is>
          <t>0</t>
        </is>
      </c>
      <c r="K603" t="inlineStr">
        <is>
          <t>Rudé, George F. E.</t>
        </is>
      </c>
      <c r="L603" t="inlineStr">
        <is>
          <t>New York, Wiley [1964]</t>
        </is>
      </c>
      <c r="M603" t="inlineStr">
        <is>
          <t>1964</t>
        </is>
      </c>
      <c r="O603" t="inlineStr">
        <is>
          <t>eng</t>
        </is>
      </c>
      <c r="P603" t="inlineStr">
        <is>
          <t>nyu</t>
        </is>
      </c>
      <c r="Q603" t="inlineStr">
        <is>
          <t>New dimensions in history. Essays in comparative history</t>
        </is>
      </c>
      <c r="R603" t="inlineStr">
        <is>
          <t xml:space="preserve">HM </t>
        </is>
      </c>
      <c r="S603" t="n">
        <v>3</v>
      </c>
      <c r="T603" t="n">
        <v>3</v>
      </c>
      <c r="U603" t="inlineStr">
        <is>
          <t>2006-09-11</t>
        </is>
      </c>
      <c r="V603" t="inlineStr">
        <is>
          <t>2006-09-11</t>
        </is>
      </c>
      <c r="W603" t="inlineStr">
        <is>
          <t>1997-08-04</t>
        </is>
      </c>
      <c r="X603" t="inlineStr">
        <is>
          <t>1997-08-04</t>
        </is>
      </c>
      <c r="Y603" t="n">
        <v>976</v>
      </c>
      <c r="Z603" t="n">
        <v>782</v>
      </c>
      <c r="AA603" t="n">
        <v>995</v>
      </c>
      <c r="AB603" t="n">
        <v>6</v>
      </c>
      <c r="AC603" t="n">
        <v>6</v>
      </c>
      <c r="AD603" t="n">
        <v>38</v>
      </c>
      <c r="AE603" t="n">
        <v>42</v>
      </c>
      <c r="AF603" t="n">
        <v>14</v>
      </c>
      <c r="AG603" t="n">
        <v>17</v>
      </c>
      <c r="AH603" t="n">
        <v>8</v>
      </c>
      <c r="AI603" t="n">
        <v>9</v>
      </c>
      <c r="AJ603" t="n">
        <v>20</v>
      </c>
      <c r="AK603" t="n">
        <v>22</v>
      </c>
      <c r="AL603" t="n">
        <v>5</v>
      </c>
      <c r="AM603" t="n">
        <v>5</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HYPERLINK("https://creighton-primo.hosted.exlibrisgroup.com/primo-explore/search?tab=default_tab&amp;search_scope=EVERYTHING&amp;vid=01CRU&amp;lang=en_US&amp;offset=0&amp;query=any,contains,991003429869702656","Catalog Record")</f>
        <v/>
      </c>
      <c r="AT603">
        <f>HYPERLINK("http://www.worldcat.org/oclc/965339","WorldCat Record")</f>
        <v/>
      </c>
      <c r="AU603" t="inlineStr">
        <is>
          <t>180350:eng</t>
        </is>
      </c>
      <c r="AV603" t="inlineStr">
        <is>
          <t>965339</t>
        </is>
      </c>
      <c r="AW603" t="inlineStr">
        <is>
          <t>991003429869702656</t>
        </is>
      </c>
      <c r="AX603" t="inlineStr">
        <is>
          <t>991003429869702656</t>
        </is>
      </c>
      <c r="AY603" t="inlineStr">
        <is>
          <t>2258324840002656</t>
        </is>
      </c>
      <c r="AZ603" t="inlineStr">
        <is>
          <t>BOOK</t>
        </is>
      </c>
      <c r="BC603" t="inlineStr">
        <is>
          <t>32285003019766</t>
        </is>
      </c>
      <c r="BD603" t="inlineStr">
        <is>
          <t>893499278</t>
        </is>
      </c>
    </row>
    <row r="604">
      <c r="A604" t="inlineStr">
        <is>
          <t>No</t>
        </is>
      </c>
      <c r="B604" t="inlineStr">
        <is>
          <t>HM283 .V56</t>
        </is>
      </c>
      <c r="C604" t="inlineStr">
        <is>
          <t>0                      HM 0283000V  56</t>
        </is>
      </c>
      <c r="D604" t="inlineStr">
        <is>
          <t>Violence and aggression in the history of ideas. Edited by Philip P. Wiener and John Fisher. With an introd. by Philip P. Wiener.</t>
        </is>
      </c>
      <c r="F604" t="inlineStr">
        <is>
          <t>No</t>
        </is>
      </c>
      <c r="G604" t="inlineStr">
        <is>
          <t>1</t>
        </is>
      </c>
      <c r="H604" t="inlineStr">
        <is>
          <t>No</t>
        </is>
      </c>
      <c r="I604" t="inlineStr">
        <is>
          <t>No</t>
        </is>
      </c>
      <c r="J604" t="inlineStr">
        <is>
          <t>0</t>
        </is>
      </c>
      <c r="L604" t="inlineStr">
        <is>
          <t>New Brunswick, N.J., Rutgers University Press [1974]</t>
        </is>
      </c>
      <c r="M604" t="inlineStr">
        <is>
          <t>1974</t>
        </is>
      </c>
      <c r="O604" t="inlineStr">
        <is>
          <t>eng</t>
        </is>
      </c>
      <c r="P604" t="inlineStr">
        <is>
          <t>nju</t>
        </is>
      </c>
      <c r="R604" t="inlineStr">
        <is>
          <t xml:space="preserve">HM </t>
        </is>
      </c>
      <c r="S604" t="n">
        <v>3</v>
      </c>
      <c r="T604" t="n">
        <v>3</v>
      </c>
      <c r="U604" t="inlineStr">
        <is>
          <t>2003-05-02</t>
        </is>
      </c>
      <c r="V604" t="inlineStr">
        <is>
          <t>2003-05-02</t>
        </is>
      </c>
      <c r="W604" t="inlineStr">
        <is>
          <t>1997-08-04</t>
        </is>
      </c>
      <c r="X604" t="inlineStr">
        <is>
          <t>1997-08-04</t>
        </is>
      </c>
      <c r="Y604" t="n">
        <v>550</v>
      </c>
      <c r="Z604" t="n">
        <v>448</v>
      </c>
      <c r="AA604" t="n">
        <v>450</v>
      </c>
      <c r="AB604" t="n">
        <v>4</v>
      </c>
      <c r="AC604" t="n">
        <v>4</v>
      </c>
      <c r="AD604" t="n">
        <v>25</v>
      </c>
      <c r="AE604" t="n">
        <v>25</v>
      </c>
      <c r="AF604" t="n">
        <v>7</v>
      </c>
      <c r="AG604" t="n">
        <v>7</v>
      </c>
      <c r="AH604" t="n">
        <v>7</v>
      </c>
      <c r="AI604" t="n">
        <v>7</v>
      </c>
      <c r="AJ604" t="n">
        <v>11</v>
      </c>
      <c r="AK604" t="n">
        <v>11</v>
      </c>
      <c r="AL604" t="n">
        <v>2</v>
      </c>
      <c r="AM604" t="n">
        <v>2</v>
      </c>
      <c r="AN604" t="n">
        <v>3</v>
      </c>
      <c r="AO604" t="n">
        <v>3</v>
      </c>
      <c r="AP604" t="inlineStr">
        <is>
          <t>No</t>
        </is>
      </c>
      <c r="AQ604" t="inlineStr">
        <is>
          <t>No</t>
        </is>
      </c>
      <c r="AS604">
        <f>HYPERLINK("https://creighton-primo.hosted.exlibrisgroup.com/primo-explore/search?tab=default_tab&amp;search_scope=EVERYTHING&amp;vid=01CRU&amp;lang=en_US&amp;offset=0&amp;query=any,contains,991003229789702656","Catalog Record")</f>
        <v/>
      </c>
      <c r="AT604">
        <f>HYPERLINK("http://www.worldcat.org/oclc/754543","WorldCat Record")</f>
        <v/>
      </c>
      <c r="AU604" t="inlineStr">
        <is>
          <t>279643117:eng</t>
        </is>
      </c>
      <c r="AV604" t="inlineStr">
        <is>
          <t>754543</t>
        </is>
      </c>
      <c r="AW604" t="inlineStr">
        <is>
          <t>991003229789702656</t>
        </is>
      </c>
      <c r="AX604" t="inlineStr">
        <is>
          <t>991003229789702656</t>
        </is>
      </c>
      <c r="AY604" t="inlineStr">
        <is>
          <t>2267624190002656</t>
        </is>
      </c>
      <c r="AZ604" t="inlineStr">
        <is>
          <t>BOOK</t>
        </is>
      </c>
      <c r="BB604" t="inlineStr">
        <is>
          <t>9780813507729</t>
        </is>
      </c>
      <c r="BC604" t="inlineStr">
        <is>
          <t>32285003019774</t>
        </is>
      </c>
      <c r="BD604" t="inlineStr">
        <is>
          <t>893410057</t>
        </is>
      </c>
    </row>
    <row r="605">
      <c r="A605" t="inlineStr">
        <is>
          <t>No</t>
        </is>
      </c>
      <c r="B605" t="inlineStr">
        <is>
          <t>HM291 .A45 1994</t>
        </is>
      </c>
      <c r="C605" t="inlineStr">
        <is>
          <t>0                      HM 0291000A  45          1994</t>
        </is>
      </c>
      <c r="D605" t="inlineStr">
        <is>
          <t>Alienation and social criticism / edited by Richard Schmitt and Thomas E. Moody.</t>
        </is>
      </c>
      <c r="F605" t="inlineStr">
        <is>
          <t>No</t>
        </is>
      </c>
      <c r="G605" t="inlineStr">
        <is>
          <t>1</t>
        </is>
      </c>
      <c r="H605" t="inlineStr">
        <is>
          <t>No</t>
        </is>
      </c>
      <c r="I605" t="inlineStr">
        <is>
          <t>No</t>
        </is>
      </c>
      <c r="J605" t="inlineStr">
        <is>
          <t>0</t>
        </is>
      </c>
      <c r="L605" t="inlineStr">
        <is>
          <t>Atlantic Highlands, N.J. : Humanities Press, 1994.</t>
        </is>
      </c>
      <c r="M605" t="inlineStr">
        <is>
          <t>1994</t>
        </is>
      </c>
      <c r="O605" t="inlineStr">
        <is>
          <t>eng</t>
        </is>
      </c>
      <c r="P605" t="inlineStr">
        <is>
          <t>nju</t>
        </is>
      </c>
      <c r="Q605" t="inlineStr">
        <is>
          <t>Key concepts in critical theory</t>
        </is>
      </c>
      <c r="R605" t="inlineStr">
        <is>
          <t xml:space="preserve">HM </t>
        </is>
      </c>
      <c r="S605" t="n">
        <v>4</v>
      </c>
      <c r="T605" t="n">
        <v>4</v>
      </c>
      <c r="U605" t="inlineStr">
        <is>
          <t>1997-04-06</t>
        </is>
      </c>
      <c r="V605" t="inlineStr">
        <is>
          <t>1997-04-06</t>
        </is>
      </c>
      <c r="W605" t="inlineStr">
        <is>
          <t>1994-07-12</t>
        </is>
      </c>
      <c r="X605" t="inlineStr">
        <is>
          <t>1994-07-12</t>
        </is>
      </c>
      <c r="Y605" t="n">
        <v>199</v>
      </c>
      <c r="Z605" t="n">
        <v>159</v>
      </c>
      <c r="AA605" t="n">
        <v>164</v>
      </c>
      <c r="AB605" t="n">
        <v>2</v>
      </c>
      <c r="AC605" t="n">
        <v>2</v>
      </c>
      <c r="AD605" t="n">
        <v>10</v>
      </c>
      <c r="AE605" t="n">
        <v>10</v>
      </c>
      <c r="AF605" t="n">
        <v>2</v>
      </c>
      <c r="AG605" t="n">
        <v>2</v>
      </c>
      <c r="AH605" t="n">
        <v>3</v>
      </c>
      <c r="AI605" t="n">
        <v>3</v>
      </c>
      <c r="AJ605" t="n">
        <v>5</v>
      </c>
      <c r="AK605" t="n">
        <v>5</v>
      </c>
      <c r="AL605" t="n">
        <v>1</v>
      </c>
      <c r="AM605" t="n">
        <v>1</v>
      </c>
      <c r="AN605" t="n">
        <v>0</v>
      </c>
      <c r="AO605" t="n">
        <v>0</v>
      </c>
      <c r="AP605" t="inlineStr">
        <is>
          <t>No</t>
        </is>
      </c>
      <c r="AQ605" t="inlineStr">
        <is>
          <t>Yes</t>
        </is>
      </c>
      <c r="AR605">
        <f>HYPERLINK("http://catalog.hathitrust.org/Record/002782163","HathiTrust Record")</f>
        <v/>
      </c>
      <c r="AS605">
        <f>HYPERLINK("https://creighton-primo.hosted.exlibrisgroup.com/primo-explore/search?tab=default_tab&amp;search_scope=EVERYTHING&amp;vid=01CRU&amp;lang=en_US&amp;offset=0&amp;query=any,contains,991002148489702656","Catalog Record")</f>
        <v/>
      </c>
      <c r="AT605">
        <f>HYPERLINK("http://www.worldcat.org/oclc/27682888","WorldCat Record")</f>
        <v/>
      </c>
      <c r="AU605" t="inlineStr">
        <is>
          <t>375573324:eng</t>
        </is>
      </c>
      <c r="AV605" t="inlineStr">
        <is>
          <t>27682888</t>
        </is>
      </c>
      <c r="AW605" t="inlineStr">
        <is>
          <t>991002148489702656</t>
        </is>
      </c>
      <c r="AX605" t="inlineStr">
        <is>
          <t>991002148489702656</t>
        </is>
      </c>
      <c r="AY605" t="inlineStr">
        <is>
          <t>2259014760002656</t>
        </is>
      </c>
      <c r="AZ605" t="inlineStr">
        <is>
          <t>BOOK</t>
        </is>
      </c>
      <c r="BB605" t="inlineStr">
        <is>
          <t>9780391037977</t>
        </is>
      </c>
      <c r="BC605" t="inlineStr">
        <is>
          <t>32285001931905</t>
        </is>
      </c>
      <c r="BD605" t="inlineStr">
        <is>
          <t>893497766</t>
        </is>
      </c>
    </row>
    <row r="606">
      <c r="A606" t="inlineStr">
        <is>
          <t>No</t>
        </is>
      </c>
      <c r="B606" t="inlineStr">
        <is>
          <t>HM291 .A489</t>
        </is>
      </c>
      <c r="C606" t="inlineStr">
        <is>
          <t>0                      HM 0291000A  489</t>
        </is>
      </c>
      <c r="D606" t="inlineStr">
        <is>
          <t>The environment and social behavior : privacy, personal space, territory, crowding / Irwin Altman ; Lawrence S. Wrightsman, consulting editor.</t>
        </is>
      </c>
      <c r="F606" t="inlineStr">
        <is>
          <t>No</t>
        </is>
      </c>
      <c r="G606" t="inlineStr">
        <is>
          <t>1</t>
        </is>
      </c>
      <c r="H606" t="inlineStr">
        <is>
          <t>No</t>
        </is>
      </c>
      <c r="I606" t="inlineStr">
        <is>
          <t>No</t>
        </is>
      </c>
      <c r="J606" t="inlineStr">
        <is>
          <t>0</t>
        </is>
      </c>
      <c r="K606" t="inlineStr">
        <is>
          <t>Altman, Irwin.</t>
        </is>
      </c>
      <c r="L606" t="inlineStr">
        <is>
          <t>Monterey, Calif. : Brooks/Cole Pub. Co., c1975.</t>
        </is>
      </c>
      <c r="M606" t="inlineStr">
        <is>
          <t>1975</t>
        </is>
      </c>
      <c r="O606" t="inlineStr">
        <is>
          <t>eng</t>
        </is>
      </c>
      <c r="P606" t="inlineStr">
        <is>
          <t>cau</t>
        </is>
      </c>
      <c r="R606" t="inlineStr">
        <is>
          <t xml:space="preserve">HM </t>
        </is>
      </c>
      <c r="S606" t="n">
        <v>13</v>
      </c>
      <c r="T606" t="n">
        <v>13</v>
      </c>
      <c r="U606" t="inlineStr">
        <is>
          <t>2002-11-15</t>
        </is>
      </c>
      <c r="V606" t="inlineStr">
        <is>
          <t>2002-11-15</t>
        </is>
      </c>
      <c r="W606" t="inlineStr">
        <is>
          <t>1992-04-01</t>
        </is>
      </c>
      <c r="X606" t="inlineStr">
        <is>
          <t>1992-04-01</t>
        </is>
      </c>
      <c r="Y606" t="n">
        <v>711</v>
      </c>
      <c r="Z606" t="n">
        <v>564</v>
      </c>
      <c r="AA606" t="n">
        <v>593</v>
      </c>
      <c r="AB606" t="n">
        <v>5</v>
      </c>
      <c r="AC606" t="n">
        <v>5</v>
      </c>
      <c r="AD606" t="n">
        <v>27</v>
      </c>
      <c r="AE606" t="n">
        <v>27</v>
      </c>
      <c r="AF606" t="n">
        <v>9</v>
      </c>
      <c r="AG606" t="n">
        <v>9</v>
      </c>
      <c r="AH606" t="n">
        <v>4</v>
      </c>
      <c r="AI606" t="n">
        <v>4</v>
      </c>
      <c r="AJ606" t="n">
        <v>12</v>
      </c>
      <c r="AK606" t="n">
        <v>12</v>
      </c>
      <c r="AL606" t="n">
        <v>4</v>
      </c>
      <c r="AM606" t="n">
        <v>4</v>
      </c>
      <c r="AN606" t="n">
        <v>1</v>
      </c>
      <c r="AO606" t="n">
        <v>1</v>
      </c>
      <c r="AP606" t="inlineStr">
        <is>
          <t>No</t>
        </is>
      </c>
      <c r="AQ606" t="inlineStr">
        <is>
          <t>Yes</t>
        </is>
      </c>
      <c r="AR606">
        <f>HYPERLINK("http://catalog.hathitrust.org/Record/000706359","HathiTrust Record")</f>
        <v/>
      </c>
      <c r="AS606">
        <f>HYPERLINK("https://creighton-primo.hosted.exlibrisgroup.com/primo-explore/search?tab=default_tab&amp;search_scope=EVERYTHING&amp;vid=01CRU&amp;lang=en_US&amp;offset=0&amp;query=any,contains,991003950029702656","Catalog Record")</f>
        <v/>
      </c>
      <c r="AT606">
        <f>HYPERLINK("http://www.worldcat.org/oclc/1955548","WorldCat Record")</f>
        <v/>
      </c>
      <c r="AU606" t="inlineStr">
        <is>
          <t>803115687:eng</t>
        </is>
      </c>
      <c r="AV606" t="inlineStr">
        <is>
          <t>1955548</t>
        </is>
      </c>
      <c r="AW606" t="inlineStr">
        <is>
          <t>991003950029702656</t>
        </is>
      </c>
      <c r="AX606" t="inlineStr">
        <is>
          <t>991003950029702656</t>
        </is>
      </c>
      <c r="AY606" t="inlineStr">
        <is>
          <t>2267812790002656</t>
        </is>
      </c>
      <c r="AZ606" t="inlineStr">
        <is>
          <t>BOOK</t>
        </is>
      </c>
      <c r="BB606" t="inlineStr">
        <is>
          <t>9780818501685</t>
        </is>
      </c>
      <c r="BC606" t="inlineStr">
        <is>
          <t>32285001031383</t>
        </is>
      </c>
      <c r="BD606" t="inlineStr">
        <is>
          <t>893228717</t>
        </is>
      </c>
    </row>
    <row r="607">
      <c r="A607" t="inlineStr">
        <is>
          <t>No</t>
        </is>
      </c>
      <c r="B607" t="inlineStr">
        <is>
          <t>HM291 .A84</t>
        </is>
      </c>
      <c r="C607" t="inlineStr">
        <is>
          <t>0                      HM 0291000A  84</t>
        </is>
      </c>
      <c r="D607" t="inlineStr">
        <is>
          <t>People space : the making and breaking of human boundaries / Norman Ashcraft and Albert E. Scheflen.</t>
        </is>
      </c>
      <c r="F607" t="inlineStr">
        <is>
          <t>No</t>
        </is>
      </c>
      <c r="G607" t="inlineStr">
        <is>
          <t>1</t>
        </is>
      </c>
      <c r="H607" t="inlineStr">
        <is>
          <t>No</t>
        </is>
      </c>
      <c r="I607" t="inlineStr">
        <is>
          <t>No</t>
        </is>
      </c>
      <c r="J607" t="inlineStr">
        <is>
          <t>0</t>
        </is>
      </c>
      <c r="K607" t="inlineStr">
        <is>
          <t>Ashcraft, Norman.</t>
        </is>
      </c>
      <c r="L607" t="inlineStr">
        <is>
          <t>Garden City, N.Y. : Anchor Press, 1976.</t>
        </is>
      </c>
      <c r="M607" t="inlineStr">
        <is>
          <t>1976</t>
        </is>
      </c>
      <c r="N607" t="inlineStr">
        <is>
          <t>1st ed.</t>
        </is>
      </c>
      <c r="O607" t="inlineStr">
        <is>
          <t>eng</t>
        </is>
      </c>
      <c r="P607" t="inlineStr">
        <is>
          <t>nyu</t>
        </is>
      </c>
      <c r="R607" t="inlineStr">
        <is>
          <t xml:space="preserve">HM </t>
        </is>
      </c>
      <c r="S607" t="n">
        <v>3</v>
      </c>
      <c r="T607" t="n">
        <v>3</v>
      </c>
      <c r="U607" t="inlineStr">
        <is>
          <t>2002-11-25</t>
        </is>
      </c>
      <c r="V607" t="inlineStr">
        <is>
          <t>2002-11-25</t>
        </is>
      </c>
      <c r="W607" t="inlineStr">
        <is>
          <t>1997-08-04</t>
        </is>
      </c>
      <c r="X607" t="inlineStr">
        <is>
          <t>1997-08-04</t>
        </is>
      </c>
      <c r="Y607" t="n">
        <v>516</v>
      </c>
      <c r="Z607" t="n">
        <v>442</v>
      </c>
      <c r="AA607" t="n">
        <v>449</v>
      </c>
      <c r="AB607" t="n">
        <v>6</v>
      </c>
      <c r="AC607" t="n">
        <v>6</v>
      </c>
      <c r="AD607" t="n">
        <v>18</v>
      </c>
      <c r="AE607" t="n">
        <v>18</v>
      </c>
      <c r="AF607" t="n">
        <v>7</v>
      </c>
      <c r="AG607" t="n">
        <v>7</v>
      </c>
      <c r="AH607" t="n">
        <v>4</v>
      </c>
      <c r="AI607" t="n">
        <v>4</v>
      </c>
      <c r="AJ607" t="n">
        <v>7</v>
      </c>
      <c r="AK607" t="n">
        <v>7</v>
      </c>
      <c r="AL607" t="n">
        <v>5</v>
      </c>
      <c r="AM607" t="n">
        <v>5</v>
      </c>
      <c r="AN607" t="n">
        <v>0</v>
      </c>
      <c r="AO607" t="n">
        <v>0</v>
      </c>
      <c r="AP607" t="inlineStr">
        <is>
          <t>No</t>
        </is>
      </c>
      <c r="AQ607" t="inlineStr">
        <is>
          <t>Yes</t>
        </is>
      </c>
      <c r="AR607">
        <f>HYPERLINK("http://catalog.hathitrust.org/Record/000724218","HathiTrust Record")</f>
        <v/>
      </c>
      <c r="AS607">
        <f>HYPERLINK("https://creighton-primo.hosted.exlibrisgroup.com/primo-explore/search?tab=default_tab&amp;search_scope=EVERYTHING&amp;vid=01CRU&amp;lang=en_US&amp;offset=0&amp;query=any,contains,991004090629702656","Catalog Record")</f>
        <v/>
      </c>
      <c r="AT607">
        <f>HYPERLINK("http://www.worldcat.org/oclc/2345576","WorldCat Record")</f>
        <v/>
      </c>
      <c r="AU607" t="inlineStr">
        <is>
          <t>423963375:eng</t>
        </is>
      </c>
      <c r="AV607" t="inlineStr">
        <is>
          <t>2345576</t>
        </is>
      </c>
      <c r="AW607" t="inlineStr">
        <is>
          <t>991004090629702656</t>
        </is>
      </c>
      <c r="AX607" t="inlineStr">
        <is>
          <t>991004090629702656</t>
        </is>
      </c>
      <c r="AY607" t="inlineStr">
        <is>
          <t>2261946560002656</t>
        </is>
      </c>
      <c r="AZ607" t="inlineStr">
        <is>
          <t>BOOK</t>
        </is>
      </c>
      <c r="BB607" t="inlineStr">
        <is>
          <t>9780385112291</t>
        </is>
      </c>
      <c r="BC607" t="inlineStr">
        <is>
          <t>32285003019816</t>
        </is>
      </c>
      <c r="BD607" t="inlineStr">
        <is>
          <t>893794460</t>
        </is>
      </c>
    </row>
    <row r="608">
      <c r="A608" t="inlineStr">
        <is>
          <t>No</t>
        </is>
      </c>
      <c r="B608" t="inlineStr">
        <is>
          <t>HM291 .B279 1983</t>
        </is>
      </c>
      <c r="C608" t="inlineStr">
        <is>
          <t>0                      HM 0291000B  279         1983</t>
        </is>
      </c>
      <c r="D608" t="inlineStr">
        <is>
          <t>The logic and limits of trust / Bernard Barber.</t>
        </is>
      </c>
      <c r="F608" t="inlineStr">
        <is>
          <t>No</t>
        </is>
      </c>
      <c r="G608" t="inlineStr">
        <is>
          <t>1</t>
        </is>
      </c>
      <c r="H608" t="inlineStr">
        <is>
          <t>No</t>
        </is>
      </c>
      <c r="I608" t="inlineStr">
        <is>
          <t>No</t>
        </is>
      </c>
      <c r="J608" t="inlineStr">
        <is>
          <t>0</t>
        </is>
      </c>
      <c r="K608" t="inlineStr">
        <is>
          <t>Barber, Bernard.</t>
        </is>
      </c>
      <c r="L608" t="inlineStr">
        <is>
          <t>New Brunswick, N.J. : Rutgers University Press, c1983.</t>
        </is>
      </c>
      <c r="M608" t="inlineStr">
        <is>
          <t>1983</t>
        </is>
      </c>
      <c r="O608" t="inlineStr">
        <is>
          <t>eng</t>
        </is>
      </c>
      <c r="P608" t="inlineStr">
        <is>
          <t>nju</t>
        </is>
      </c>
      <c r="R608" t="inlineStr">
        <is>
          <t xml:space="preserve">HM </t>
        </is>
      </c>
      <c r="S608" t="n">
        <v>10</v>
      </c>
      <c r="T608" t="n">
        <v>10</v>
      </c>
      <c r="U608" t="inlineStr">
        <is>
          <t>2003-09-30</t>
        </is>
      </c>
      <c r="V608" t="inlineStr">
        <is>
          <t>2003-09-30</t>
        </is>
      </c>
      <c r="W608" t="inlineStr">
        <is>
          <t>1992-09-18</t>
        </is>
      </c>
      <c r="X608" t="inlineStr">
        <is>
          <t>1992-09-18</t>
        </is>
      </c>
      <c r="Y608" t="n">
        <v>588</v>
      </c>
      <c r="Z608" t="n">
        <v>502</v>
      </c>
      <c r="AA608" t="n">
        <v>503</v>
      </c>
      <c r="AB608" t="n">
        <v>4</v>
      </c>
      <c r="AC608" t="n">
        <v>4</v>
      </c>
      <c r="AD608" t="n">
        <v>35</v>
      </c>
      <c r="AE608" t="n">
        <v>35</v>
      </c>
      <c r="AF608" t="n">
        <v>14</v>
      </c>
      <c r="AG608" t="n">
        <v>14</v>
      </c>
      <c r="AH608" t="n">
        <v>7</v>
      </c>
      <c r="AI608" t="n">
        <v>7</v>
      </c>
      <c r="AJ608" t="n">
        <v>17</v>
      </c>
      <c r="AK608" t="n">
        <v>17</v>
      </c>
      <c r="AL608" t="n">
        <v>3</v>
      </c>
      <c r="AM608" t="n">
        <v>3</v>
      </c>
      <c r="AN608" t="n">
        <v>3</v>
      </c>
      <c r="AO608" t="n">
        <v>3</v>
      </c>
      <c r="AP608" t="inlineStr">
        <is>
          <t>No</t>
        </is>
      </c>
      <c r="AQ608" t="inlineStr">
        <is>
          <t>No</t>
        </is>
      </c>
      <c r="AS608">
        <f>HYPERLINK("https://creighton-primo.hosted.exlibrisgroup.com/primo-explore/search?tab=default_tab&amp;search_scope=EVERYTHING&amp;vid=01CRU&amp;lang=en_US&amp;offset=0&amp;query=any,contains,991005206199702656","Catalog Record")</f>
        <v/>
      </c>
      <c r="AT608">
        <f>HYPERLINK("http://www.worldcat.org/oclc/8114969","WorldCat Record")</f>
        <v/>
      </c>
      <c r="AU608" t="inlineStr">
        <is>
          <t>474671:eng</t>
        </is>
      </c>
      <c r="AV608" t="inlineStr">
        <is>
          <t>8114969</t>
        </is>
      </c>
      <c r="AW608" t="inlineStr">
        <is>
          <t>991005206199702656</t>
        </is>
      </c>
      <c r="AX608" t="inlineStr">
        <is>
          <t>991005206199702656</t>
        </is>
      </c>
      <c r="AY608" t="inlineStr">
        <is>
          <t>2255058330002656</t>
        </is>
      </c>
      <c r="AZ608" t="inlineStr">
        <is>
          <t>BOOK</t>
        </is>
      </c>
      <c r="BB608" t="inlineStr">
        <is>
          <t>9780813509587</t>
        </is>
      </c>
      <c r="BC608" t="inlineStr">
        <is>
          <t>32285001268639</t>
        </is>
      </c>
      <c r="BD608" t="inlineStr">
        <is>
          <t>893260721</t>
        </is>
      </c>
    </row>
    <row r="609">
      <c r="A609" t="inlineStr">
        <is>
          <t>No</t>
        </is>
      </c>
      <c r="B609" t="inlineStr">
        <is>
          <t>HM291 .B386 1985</t>
        </is>
      </c>
      <c r="C609" t="inlineStr">
        <is>
          <t>0                      HM 0291000B  386         1985</t>
        </is>
      </c>
      <c r="D609" t="inlineStr">
        <is>
          <t>Deviance and moral boundaries : witchcraft, the occult, science fiction, deviant sciences and scientists / Nachman Ben-Yehuda.</t>
        </is>
      </c>
      <c r="F609" t="inlineStr">
        <is>
          <t>No</t>
        </is>
      </c>
      <c r="G609" t="inlineStr">
        <is>
          <t>1</t>
        </is>
      </c>
      <c r="H609" t="inlineStr">
        <is>
          <t>No</t>
        </is>
      </c>
      <c r="I609" t="inlineStr">
        <is>
          <t>No</t>
        </is>
      </c>
      <c r="J609" t="inlineStr">
        <is>
          <t>0</t>
        </is>
      </c>
      <c r="K609" t="inlineStr">
        <is>
          <t>Ben-Yehuda, Nachman.</t>
        </is>
      </c>
      <c r="L609" t="inlineStr">
        <is>
          <t>Chicago : University of Chicago Press, 1985.</t>
        </is>
      </c>
      <c r="M609" t="inlineStr">
        <is>
          <t>1985</t>
        </is>
      </c>
      <c r="O609" t="inlineStr">
        <is>
          <t>eng</t>
        </is>
      </c>
      <c r="P609" t="inlineStr">
        <is>
          <t>ilu</t>
        </is>
      </c>
      <c r="R609" t="inlineStr">
        <is>
          <t xml:space="preserve">HM </t>
        </is>
      </c>
      <c r="S609" t="n">
        <v>3</v>
      </c>
      <c r="T609" t="n">
        <v>3</v>
      </c>
      <c r="U609" t="inlineStr">
        <is>
          <t>1993-04-05</t>
        </is>
      </c>
      <c r="V609" t="inlineStr">
        <is>
          <t>1993-04-05</t>
        </is>
      </c>
      <c r="W609" t="inlineStr">
        <is>
          <t>1992-11-19</t>
        </is>
      </c>
      <c r="X609" t="inlineStr">
        <is>
          <t>1992-11-19</t>
        </is>
      </c>
      <c r="Y609" t="n">
        <v>576</v>
      </c>
      <c r="Z609" t="n">
        <v>491</v>
      </c>
      <c r="AA609" t="n">
        <v>511</v>
      </c>
      <c r="AB609" t="n">
        <v>4</v>
      </c>
      <c r="AC609" t="n">
        <v>4</v>
      </c>
      <c r="AD609" t="n">
        <v>25</v>
      </c>
      <c r="AE609" t="n">
        <v>28</v>
      </c>
      <c r="AF609" t="n">
        <v>13</v>
      </c>
      <c r="AG609" t="n">
        <v>14</v>
      </c>
      <c r="AH609" t="n">
        <v>6</v>
      </c>
      <c r="AI609" t="n">
        <v>6</v>
      </c>
      <c r="AJ609" t="n">
        <v>11</v>
      </c>
      <c r="AK609" t="n">
        <v>13</v>
      </c>
      <c r="AL609" t="n">
        <v>3</v>
      </c>
      <c r="AM609" t="n">
        <v>3</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HYPERLINK("https://creighton-primo.hosted.exlibrisgroup.com/primo-explore/search?tab=default_tab&amp;search_scope=EVERYTHING&amp;vid=01CRU&amp;lang=en_US&amp;offset=0&amp;query=any,contains,991000606109702656","Catalog Record")</f>
        <v/>
      </c>
      <c r="AT609">
        <f>HYPERLINK("http://www.worldcat.org/oclc/11866775","WorldCat Record")</f>
        <v/>
      </c>
      <c r="AU609" t="inlineStr">
        <is>
          <t>355722691:eng</t>
        </is>
      </c>
      <c r="AV609" t="inlineStr">
        <is>
          <t>11866775</t>
        </is>
      </c>
      <c r="AW609" t="inlineStr">
        <is>
          <t>991000606109702656</t>
        </is>
      </c>
      <c r="AX609" t="inlineStr">
        <is>
          <t>991000606109702656</t>
        </is>
      </c>
      <c r="AY609" t="inlineStr">
        <is>
          <t>2264987580002656</t>
        </is>
      </c>
      <c r="AZ609" t="inlineStr">
        <is>
          <t>BOOK</t>
        </is>
      </c>
      <c r="BB609" t="inlineStr">
        <is>
          <t>9780226043357</t>
        </is>
      </c>
      <c r="BC609" t="inlineStr">
        <is>
          <t>32285001406791</t>
        </is>
      </c>
      <c r="BD609" t="inlineStr">
        <is>
          <t>893626373</t>
        </is>
      </c>
    </row>
    <row r="610">
      <c r="A610" t="inlineStr">
        <is>
          <t>No</t>
        </is>
      </c>
      <c r="B610" t="inlineStr">
        <is>
          <t>HM291 .B43 1964</t>
        </is>
      </c>
      <c r="C610" t="inlineStr">
        <is>
          <t>0                      HM 0291000B  43          1964</t>
        </is>
      </c>
      <c r="D610" t="inlineStr">
        <is>
          <t>Social change and prejudice, including Dynamics of prejudice [by] Bruno Bettelheim and Morris Janowitz.</t>
        </is>
      </c>
      <c r="F610" t="inlineStr">
        <is>
          <t>No</t>
        </is>
      </c>
      <c r="G610" t="inlineStr">
        <is>
          <t>1</t>
        </is>
      </c>
      <c r="H610" t="inlineStr">
        <is>
          <t>No</t>
        </is>
      </c>
      <c r="I610" t="inlineStr">
        <is>
          <t>No</t>
        </is>
      </c>
      <c r="J610" t="inlineStr">
        <is>
          <t>0</t>
        </is>
      </c>
      <c r="K610" t="inlineStr">
        <is>
          <t>Bettelheim, Bruno.</t>
        </is>
      </c>
      <c r="L610" t="inlineStr">
        <is>
          <t>[New York] Free Press of Glencoe [1964]</t>
        </is>
      </c>
      <c r="M610" t="inlineStr">
        <is>
          <t>1964</t>
        </is>
      </c>
      <c r="O610" t="inlineStr">
        <is>
          <t>eng</t>
        </is>
      </c>
      <c r="P610" t="inlineStr">
        <is>
          <t>nyu</t>
        </is>
      </c>
      <c r="R610" t="inlineStr">
        <is>
          <t xml:space="preserve">HM </t>
        </is>
      </c>
      <c r="S610" t="n">
        <v>3</v>
      </c>
      <c r="T610" t="n">
        <v>3</v>
      </c>
      <c r="U610" t="inlineStr">
        <is>
          <t>2002-04-02</t>
        </is>
      </c>
      <c r="V610" t="inlineStr">
        <is>
          <t>2002-04-02</t>
        </is>
      </c>
      <c r="W610" t="inlineStr">
        <is>
          <t>1997-08-04</t>
        </is>
      </c>
      <c r="X610" t="inlineStr">
        <is>
          <t>1997-08-04</t>
        </is>
      </c>
      <c r="Y610" t="n">
        <v>1415</v>
      </c>
      <c r="Z610" t="n">
        <v>1226</v>
      </c>
      <c r="AA610" t="n">
        <v>1340</v>
      </c>
      <c r="AB610" t="n">
        <v>9</v>
      </c>
      <c r="AC610" t="n">
        <v>9</v>
      </c>
      <c r="AD610" t="n">
        <v>42</v>
      </c>
      <c r="AE610" t="n">
        <v>45</v>
      </c>
      <c r="AF610" t="n">
        <v>16</v>
      </c>
      <c r="AG610" t="n">
        <v>17</v>
      </c>
      <c r="AH610" t="n">
        <v>8</v>
      </c>
      <c r="AI610" t="n">
        <v>9</v>
      </c>
      <c r="AJ610" t="n">
        <v>19</v>
      </c>
      <c r="AK610" t="n">
        <v>21</v>
      </c>
      <c r="AL610" t="n">
        <v>8</v>
      </c>
      <c r="AM610" t="n">
        <v>8</v>
      </c>
      <c r="AN610" t="n">
        <v>1</v>
      </c>
      <c r="AO610" t="n">
        <v>1</v>
      </c>
      <c r="AP610" t="inlineStr">
        <is>
          <t>No</t>
        </is>
      </c>
      <c r="AQ610" t="inlineStr">
        <is>
          <t>Yes</t>
        </is>
      </c>
      <c r="AR610">
        <f>HYPERLINK("http://catalog.hathitrust.org/Record/001109502","HathiTrust Record")</f>
        <v/>
      </c>
      <c r="AS610">
        <f>HYPERLINK("https://creighton-primo.hosted.exlibrisgroup.com/primo-explore/search?tab=default_tab&amp;search_scope=EVERYTHING&amp;vid=01CRU&amp;lang=en_US&amp;offset=0&amp;query=any,contains,991001997729702656","Catalog Record")</f>
        <v/>
      </c>
      <c r="AT610">
        <f>HYPERLINK("http://www.worldcat.org/oclc/256019","WorldCat Record")</f>
        <v/>
      </c>
      <c r="AU610" t="inlineStr">
        <is>
          <t>400377:eng</t>
        </is>
      </c>
      <c r="AV610" t="inlineStr">
        <is>
          <t>256019</t>
        </is>
      </c>
      <c r="AW610" t="inlineStr">
        <is>
          <t>991001997729702656</t>
        </is>
      </c>
      <c r="AX610" t="inlineStr">
        <is>
          <t>991001997729702656</t>
        </is>
      </c>
      <c r="AY610" t="inlineStr">
        <is>
          <t>2272130960002656</t>
        </is>
      </c>
      <c r="AZ610" t="inlineStr">
        <is>
          <t>BOOK</t>
        </is>
      </c>
      <c r="BC610" t="inlineStr">
        <is>
          <t>32285003019832</t>
        </is>
      </c>
      <c r="BD610" t="inlineStr">
        <is>
          <t>893244633</t>
        </is>
      </c>
    </row>
    <row r="611">
      <c r="A611" t="inlineStr">
        <is>
          <t>No</t>
        </is>
      </c>
      <c r="B611" t="inlineStr">
        <is>
          <t>HM291 .B535 2000</t>
        </is>
      </c>
      <c r="C611" t="inlineStr">
        <is>
          <t>0                      HM 0291000B  535         2000</t>
        </is>
      </c>
      <c r="D611" t="inlineStr">
        <is>
          <t>The meme machine / Susan Blackmore.</t>
        </is>
      </c>
      <c r="F611" t="inlineStr">
        <is>
          <t>No</t>
        </is>
      </c>
      <c r="G611" t="inlineStr">
        <is>
          <t>1</t>
        </is>
      </c>
      <c r="H611" t="inlineStr">
        <is>
          <t>No</t>
        </is>
      </c>
      <c r="I611" t="inlineStr">
        <is>
          <t>No</t>
        </is>
      </c>
      <c r="J611" t="inlineStr">
        <is>
          <t>0</t>
        </is>
      </c>
      <c r="K611" t="inlineStr">
        <is>
          <t>Blackmore, Susan J., 1951-</t>
        </is>
      </c>
      <c r="L611" t="inlineStr">
        <is>
          <t>Oxford : Oxford University Press, 2000.</t>
        </is>
      </c>
      <c r="M611" t="inlineStr">
        <is>
          <t>2000</t>
        </is>
      </c>
      <c r="O611" t="inlineStr">
        <is>
          <t>eng</t>
        </is>
      </c>
      <c r="P611" t="inlineStr">
        <is>
          <t>enk</t>
        </is>
      </c>
      <c r="R611" t="inlineStr">
        <is>
          <t xml:space="preserve">HM </t>
        </is>
      </c>
      <c r="S611" t="n">
        <v>7</v>
      </c>
      <c r="T611" t="n">
        <v>7</v>
      </c>
      <c r="U611" t="inlineStr">
        <is>
          <t>2010-11-13</t>
        </is>
      </c>
      <c r="V611" t="inlineStr">
        <is>
          <t>2010-11-13</t>
        </is>
      </c>
      <c r="W611" t="inlineStr">
        <is>
          <t>2000-07-24</t>
        </is>
      </c>
      <c r="X611" t="inlineStr">
        <is>
          <t>2000-07-24</t>
        </is>
      </c>
      <c r="Y611" t="n">
        <v>195</v>
      </c>
      <c r="Z611" t="n">
        <v>106</v>
      </c>
      <c r="AA611" t="n">
        <v>1025</v>
      </c>
      <c r="AB611" t="n">
        <v>1</v>
      </c>
      <c r="AC611" t="n">
        <v>7</v>
      </c>
      <c r="AD611" t="n">
        <v>1</v>
      </c>
      <c r="AE611" t="n">
        <v>39</v>
      </c>
      <c r="AF611" t="n">
        <v>1</v>
      </c>
      <c r="AG611" t="n">
        <v>17</v>
      </c>
      <c r="AH611" t="n">
        <v>0</v>
      </c>
      <c r="AI611" t="n">
        <v>7</v>
      </c>
      <c r="AJ611" t="n">
        <v>0</v>
      </c>
      <c r="AK611" t="n">
        <v>21</v>
      </c>
      <c r="AL611" t="n">
        <v>0</v>
      </c>
      <c r="AM611" t="n">
        <v>5</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HYPERLINK("https://creighton-primo.hosted.exlibrisgroup.com/primo-explore/search?tab=default_tab&amp;search_scope=EVERYTHING&amp;vid=01CRU&amp;lang=en_US&amp;offset=0&amp;query=any,contains,991003215149702656","Catalog Record")</f>
        <v/>
      </c>
      <c r="AT611">
        <f>HYPERLINK("http://www.worldcat.org/oclc/52855410","WorldCat Record")</f>
        <v/>
      </c>
      <c r="AU611" t="inlineStr">
        <is>
          <t>10356477:eng</t>
        </is>
      </c>
      <c r="AV611" t="inlineStr">
        <is>
          <t>52855410</t>
        </is>
      </c>
      <c r="AW611" t="inlineStr">
        <is>
          <t>991003215149702656</t>
        </is>
      </c>
      <c r="AX611" t="inlineStr">
        <is>
          <t>991003215149702656</t>
        </is>
      </c>
      <c r="AY611" t="inlineStr">
        <is>
          <t>2256228200002656</t>
        </is>
      </c>
      <c r="AZ611" t="inlineStr">
        <is>
          <t>BOOK</t>
        </is>
      </c>
      <c r="BB611" t="inlineStr">
        <is>
          <t>9780192862129</t>
        </is>
      </c>
      <c r="BC611" t="inlineStr">
        <is>
          <t>32285003711784</t>
        </is>
      </c>
      <c r="BD611" t="inlineStr">
        <is>
          <t>893416165</t>
        </is>
      </c>
    </row>
    <row r="612">
      <c r="A612" t="inlineStr">
        <is>
          <t>No</t>
        </is>
      </c>
      <c r="B612" t="inlineStr">
        <is>
          <t>HM291 .B735 1974</t>
        </is>
      </c>
      <c r="C612" t="inlineStr">
        <is>
          <t>0                      HM 0291000B  735         1974</t>
        </is>
      </c>
      <c r="D612" t="inlineStr">
        <is>
          <t>Deviance and social control / edited by Paul Rock and Mary McIntosh.</t>
        </is>
      </c>
      <c r="F612" t="inlineStr">
        <is>
          <t>No</t>
        </is>
      </c>
      <c r="G612" t="inlineStr">
        <is>
          <t>1</t>
        </is>
      </c>
      <c r="H612" t="inlineStr">
        <is>
          <t>No</t>
        </is>
      </c>
      <c r="I612" t="inlineStr">
        <is>
          <t>No</t>
        </is>
      </c>
      <c r="J612" t="inlineStr">
        <is>
          <t>0</t>
        </is>
      </c>
      <c r="K612" t="inlineStr">
        <is>
          <t>British Sociological Association.</t>
        </is>
      </c>
      <c r="L612" t="inlineStr">
        <is>
          <t>[London] : Tavistock Publications, [1974]</t>
        </is>
      </c>
      <c r="M612" t="inlineStr">
        <is>
          <t>1974</t>
        </is>
      </c>
      <c r="O612" t="inlineStr">
        <is>
          <t>eng</t>
        </is>
      </c>
      <c r="P612" t="inlineStr">
        <is>
          <t>enk</t>
        </is>
      </c>
      <c r="Q612" t="inlineStr">
        <is>
          <t>Explorations in sociology, no. 3</t>
        </is>
      </c>
      <c r="R612" t="inlineStr">
        <is>
          <t xml:space="preserve">HM </t>
        </is>
      </c>
      <c r="S612" t="n">
        <v>1</v>
      </c>
      <c r="T612" t="n">
        <v>1</v>
      </c>
      <c r="U612" t="inlineStr">
        <is>
          <t>2005-04-04</t>
        </is>
      </c>
      <c r="V612" t="inlineStr">
        <is>
          <t>2005-04-04</t>
        </is>
      </c>
      <c r="W612" t="inlineStr">
        <is>
          <t>1991-12-13</t>
        </is>
      </c>
      <c r="X612" t="inlineStr">
        <is>
          <t>1991-12-13</t>
        </is>
      </c>
      <c r="Y612" t="n">
        <v>390</v>
      </c>
      <c r="Z612" t="n">
        <v>204</v>
      </c>
      <c r="AA612" t="n">
        <v>330</v>
      </c>
      <c r="AB612" t="n">
        <v>1</v>
      </c>
      <c r="AC612" t="n">
        <v>5</v>
      </c>
      <c r="AD612" t="n">
        <v>6</v>
      </c>
      <c r="AE612" t="n">
        <v>16</v>
      </c>
      <c r="AF612" t="n">
        <v>4</v>
      </c>
      <c r="AG612" t="n">
        <v>8</v>
      </c>
      <c r="AH612" t="n">
        <v>0</v>
      </c>
      <c r="AI612" t="n">
        <v>1</v>
      </c>
      <c r="AJ612" t="n">
        <v>1</v>
      </c>
      <c r="AK612" t="n">
        <v>4</v>
      </c>
      <c r="AL612" t="n">
        <v>0</v>
      </c>
      <c r="AM612" t="n">
        <v>3</v>
      </c>
      <c r="AN612" t="n">
        <v>2</v>
      </c>
      <c r="AO612" t="n">
        <v>2</v>
      </c>
      <c r="AP612" t="inlineStr">
        <is>
          <t>No</t>
        </is>
      </c>
      <c r="AQ612" t="inlineStr">
        <is>
          <t>Yes</t>
        </is>
      </c>
      <c r="AR612">
        <f>HYPERLINK("http://catalog.hathitrust.org/Record/000974146","HathiTrust Record")</f>
        <v/>
      </c>
      <c r="AS612">
        <f>HYPERLINK("https://creighton-primo.hosted.exlibrisgroup.com/primo-explore/search?tab=default_tab&amp;search_scope=EVERYTHING&amp;vid=01CRU&amp;lang=en_US&amp;offset=0&amp;query=any,contains,991003386809702656","Catalog Record")</f>
        <v/>
      </c>
      <c r="AT612">
        <f>HYPERLINK("http://www.worldcat.org/oclc/923122","WorldCat Record")</f>
        <v/>
      </c>
      <c r="AU612" t="inlineStr">
        <is>
          <t>917557906:eng</t>
        </is>
      </c>
      <c r="AV612" t="inlineStr">
        <is>
          <t>923122</t>
        </is>
      </c>
      <c r="AW612" t="inlineStr">
        <is>
          <t>991003386809702656</t>
        </is>
      </c>
      <c r="AX612" t="inlineStr">
        <is>
          <t>991003386809702656</t>
        </is>
      </c>
      <c r="AY612" t="inlineStr">
        <is>
          <t>2264993180002656</t>
        </is>
      </c>
      <c r="AZ612" t="inlineStr">
        <is>
          <t>BOOK</t>
        </is>
      </c>
      <c r="BB612" t="inlineStr">
        <is>
          <t>9780422742603</t>
        </is>
      </c>
      <c r="BC612" t="inlineStr">
        <is>
          <t>32285000877091</t>
        </is>
      </c>
      <c r="BD612" t="inlineStr">
        <is>
          <t>893348636</t>
        </is>
      </c>
    </row>
    <row r="613">
      <c r="A613" t="inlineStr">
        <is>
          <t>No</t>
        </is>
      </c>
      <c r="B613" t="inlineStr">
        <is>
          <t>HM291 .C58 1999</t>
        </is>
      </c>
      <c r="C613" t="inlineStr">
        <is>
          <t>0                      HM 0291000C  58          1999</t>
        </is>
      </c>
      <c r="D613" t="inlineStr">
        <is>
          <t>Civilization and oppression / edited by Catherine Wilson.</t>
        </is>
      </c>
      <c r="F613" t="inlineStr">
        <is>
          <t>No</t>
        </is>
      </c>
      <c r="G613" t="inlineStr">
        <is>
          <t>1</t>
        </is>
      </c>
      <c r="H613" t="inlineStr">
        <is>
          <t>No</t>
        </is>
      </c>
      <c r="I613" t="inlineStr">
        <is>
          <t>No</t>
        </is>
      </c>
      <c r="J613" t="inlineStr">
        <is>
          <t>0</t>
        </is>
      </c>
      <c r="L613" t="inlineStr">
        <is>
          <t>Calgary : University of Calgary Press, 1999.</t>
        </is>
      </c>
      <c r="M613" t="inlineStr">
        <is>
          <t>1999</t>
        </is>
      </c>
      <c r="O613" t="inlineStr">
        <is>
          <t>eng</t>
        </is>
      </c>
      <c r="P613" t="inlineStr">
        <is>
          <t>abc</t>
        </is>
      </c>
      <c r="Q613" t="inlineStr">
        <is>
          <t>CJP. Supplementary volume, 0229-7052 ; 25</t>
        </is>
      </c>
      <c r="R613" t="inlineStr">
        <is>
          <t xml:space="preserve">HM </t>
        </is>
      </c>
      <c r="S613" t="n">
        <v>8</v>
      </c>
      <c r="T613" t="n">
        <v>8</v>
      </c>
      <c r="U613" t="inlineStr">
        <is>
          <t>2003-03-18</t>
        </is>
      </c>
      <c r="V613" t="inlineStr">
        <is>
          <t>2003-03-18</t>
        </is>
      </c>
      <c r="W613" t="inlineStr">
        <is>
          <t>2000-01-13</t>
        </is>
      </c>
      <c r="X613" t="inlineStr">
        <is>
          <t>2000-01-13</t>
        </is>
      </c>
      <c r="Y613" t="n">
        <v>432</v>
      </c>
      <c r="Z613" t="n">
        <v>290</v>
      </c>
      <c r="AA613" t="n">
        <v>985</v>
      </c>
      <c r="AB613" t="n">
        <v>2</v>
      </c>
      <c r="AC613" t="n">
        <v>3</v>
      </c>
      <c r="AD613" t="n">
        <v>15</v>
      </c>
      <c r="AE613" t="n">
        <v>22</v>
      </c>
      <c r="AF613" t="n">
        <v>3</v>
      </c>
      <c r="AG613" t="n">
        <v>9</v>
      </c>
      <c r="AH613" t="n">
        <v>5</v>
      </c>
      <c r="AI613" t="n">
        <v>5</v>
      </c>
      <c r="AJ613" t="n">
        <v>10</v>
      </c>
      <c r="AK613" t="n">
        <v>11</v>
      </c>
      <c r="AL613" t="n">
        <v>1</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HYPERLINK("https://creighton-primo.hosted.exlibrisgroup.com/primo-explore/search?tab=default_tab&amp;search_scope=EVERYTHING&amp;vid=01CRU&amp;lang=en_US&amp;offset=0&amp;query=any,contains,991003038959702656","Catalog Record")</f>
        <v/>
      </c>
      <c r="AT613">
        <f>HYPERLINK("http://www.worldcat.org/oclc/41978305","WorldCat Record")</f>
        <v/>
      </c>
      <c r="AU613" t="inlineStr">
        <is>
          <t>56448138:eng</t>
        </is>
      </c>
      <c r="AV613" t="inlineStr">
        <is>
          <t>41978305</t>
        </is>
      </c>
      <c r="AW613" t="inlineStr">
        <is>
          <t>991003038959702656</t>
        </is>
      </c>
      <c r="AX613" t="inlineStr">
        <is>
          <t>991003038959702656</t>
        </is>
      </c>
      <c r="AY613" t="inlineStr">
        <is>
          <t>2272805240002656</t>
        </is>
      </c>
      <c r="AZ613" t="inlineStr">
        <is>
          <t>BOOK</t>
        </is>
      </c>
      <c r="BB613" t="inlineStr">
        <is>
          <t>9780919491250</t>
        </is>
      </c>
      <c r="BC613" t="inlineStr">
        <is>
          <t>32285003642153</t>
        </is>
      </c>
      <c r="BD613" t="inlineStr">
        <is>
          <t>893623085</t>
        </is>
      </c>
    </row>
    <row r="614">
      <c r="A614" t="inlineStr">
        <is>
          <t>No</t>
        </is>
      </c>
      <c r="B614" t="inlineStr">
        <is>
          <t>HM291 .C59</t>
        </is>
      </c>
      <c r="C614" t="inlineStr">
        <is>
          <t>0                      HM 0291000C  59</t>
        </is>
      </c>
      <c r="D614" t="inlineStr">
        <is>
          <t>Deviance and control / [by] Albert K. Cohen.</t>
        </is>
      </c>
      <c r="F614" t="inlineStr">
        <is>
          <t>No</t>
        </is>
      </c>
      <c r="G614" t="inlineStr">
        <is>
          <t>1</t>
        </is>
      </c>
      <c r="H614" t="inlineStr">
        <is>
          <t>No</t>
        </is>
      </c>
      <c r="I614" t="inlineStr">
        <is>
          <t>No</t>
        </is>
      </c>
      <c r="J614" t="inlineStr">
        <is>
          <t>0</t>
        </is>
      </c>
      <c r="K614" t="inlineStr">
        <is>
          <t>Cohen, Albert K.</t>
        </is>
      </c>
      <c r="L614" t="inlineStr">
        <is>
          <t>Englewood Cliffs, N.J. : Prentice-Hall, [1966]</t>
        </is>
      </c>
      <c r="M614" t="inlineStr">
        <is>
          <t>1966</t>
        </is>
      </c>
      <c r="O614" t="inlineStr">
        <is>
          <t>eng</t>
        </is>
      </c>
      <c r="P614" t="inlineStr">
        <is>
          <t>nju</t>
        </is>
      </c>
      <c r="Q614" t="inlineStr">
        <is>
          <t>Foundations of modern sociology series</t>
        </is>
      </c>
      <c r="R614" t="inlineStr">
        <is>
          <t xml:space="preserve">HM </t>
        </is>
      </c>
      <c r="S614" t="n">
        <v>11</v>
      </c>
      <c r="T614" t="n">
        <v>11</v>
      </c>
      <c r="U614" t="inlineStr">
        <is>
          <t>2005-11-15</t>
        </is>
      </c>
      <c r="V614" t="inlineStr">
        <is>
          <t>2005-11-15</t>
        </is>
      </c>
      <c r="W614" t="inlineStr">
        <is>
          <t>1995-02-08</t>
        </is>
      </c>
      <c r="X614" t="inlineStr">
        <is>
          <t>1995-02-08</t>
        </is>
      </c>
      <c r="Y614" t="n">
        <v>1275</v>
      </c>
      <c r="Z614" t="n">
        <v>992</v>
      </c>
      <c r="AA614" t="n">
        <v>1000</v>
      </c>
      <c r="AB614" t="n">
        <v>9</v>
      </c>
      <c r="AC614" t="n">
        <v>10</v>
      </c>
      <c r="AD614" t="n">
        <v>41</v>
      </c>
      <c r="AE614" t="n">
        <v>42</v>
      </c>
      <c r="AF614" t="n">
        <v>16</v>
      </c>
      <c r="AG614" t="n">
        <v>16</v>
      </c>
      <c r="AH614" t="n">
        <v>7</v>
      </c>
      <c r="AI614" t="n">
        <v>7</v>
      </c>
      <c r="AJ614" t="n">
        <v>18</v>
      </c>
      <c r="AK614" t="n">
        <v>18</v>
      </c>
      <c r="AL614" t="n">
        <v>8</v>
      </c>
      <c r="AM614" t="n">
        <v>9</v>
      </c>
      <c r="AN614" t="n">
        <v>3</v>
      </c>
      <c r="AO614" t="n">
        <v>3</v>
      </c>
      <c r="AP614" t="inlineStr">
        <is>
          <t>No</t>
        </is>
      </c>
      <c r="AQ614" t="inlineStr">
        <is>
          <t>No</t>
        </is>
      </c>
      <c r="AS614">
        <f>HYPERLINK("https://creighton-primo.hosted.exlibrisgroup.com/primo-explore/search?tab=default_tab&amp;search_scope=EVERYTHING&amp;vid=01CRU&amp;lang=en_US&amp;offset=0&amp;query=any,contains,991001996759702656","Catalog Record")</f>
        <v/>
      </c>
      <c r="AT614">
        <f>HYPERLINK("http://www.worldcat.org/oclc/256010","WorldCat Record")</f>
        <v/>
      </c>
      <c r="AU614" t="inlineStr">
        <is>
          <t>1353815:eng</t>
        </is>
      </c>
      <c r="AV614" t="inlineStr">
        <is>
          <t>256010</t>
        </is>
      </c>
      <c r="AW614" t="inlineStr">
        <is>
          <t>991001996759702656</t>
        </is>
      </c>
      <c r="AX614" t="inlineStr">
        <is>
          <t>991001996759702656</t>
        </is>
      </c>
      <c r="AY614" t="inlineStr">
        <is>
          <t>2272131300002656</t>
        </is>
      </c>
      <c r="AZ614" t="inlineStr">
        <is>
          <t>BOOK</t>
        </is>
      </c>
      <c r="BC614" t="inlineStr">
        <is>
          <t>32285001988467</t>
        </is>
      </c>
      <c r="BD614" t="inlineStr">
        <is>
          <t>893346980</t>
        </is>
      </c>
    </row>
    <row r="615">
      <c r="A615" t="inlineStr">
        <is>
          <t>No</t>
        </is>
      </c>
      <c r="B615" t="inlineStr">
        <is>
          <t>HM291 .C595 1985</t>
        </is>
      </c>
      <c r="C615" t="inlineStr">
        <is>
          <t>0                      HM 0291000C  595         1985</t>
        </is>
      </c>
      <c r="D615" t="inlineStr">
        <is>
          <t>Visions of social control : crime, punishment and classification / Stanley Cohen.</t>
        </is>
      </c>
      <c r="F615" t="inlineStr">
        <is>
          <t>No</t>
        </is>
      </c>
      <c r="G615" t="inlineStr">
        <is>
          <t>1</t>
        </is>
      </c>
      <c r="H615" t="inlineStr">
        <is>
          <t>No</t>
        </is>
      </c>
      <c r="I615" t="inlineStr">
        <is>
          <t>No</t>
        </is>
      </c>
      <c r="J615" t="inlineStr">
        <is>
          <t>0</t>
        </is>
      </c>
      <c r="K615" t="inlineStr">
        <is>
          <t>Cohen, Stanley.</t>
        </is>
      </c>
      <c r="L615" t="inlineStr">
        <is>
          <t>New York : Polity Press, 1985.</t>
        </is>
      </c>
      <c r="M615" t="inlineStr">
        <is>
          <t>1985</t>
        </is>
      </c>
      <c r="O615" t="inlineStr">
        <is>
          <t>eng</t>
        </is>
      </c>
      <c r="P615" t="inlineStr">
        <is>
          <t>nyu</t>
        </is>
      </c>
      <c r="R615" t="inlineStr">
        <is>
          <t xml:space="preserve">HM </t>
        </is>
      </c>
      <c r="S615" t="n">
        <v>10</v>
      </c>
      <c r="T615" t="n">
        <v>10</v>
      </c>
      <c r="U615" t="inlineStr">
        <is>
          <t>2005-04-04</t>
        </is>
      </c>
      <c r="V615" t="inlineStr">
        <is>
          <t>2005-04-04</t>
        </is>
      </c>
      <c r="W615" t="inlineStr">
        <is>
          <t>1991-12-09</t>
        </is>
      </c>
      <c r="X615" t="inlineStr">
        <is>
          <t>1991-12-09</t>
        </is>
      </c>
      <c r="Y615" t="n">
        <v>593</v>
      </c>
      <c r="Z615" t="n">
        <v>352</v>
      </c>
      <c r="AA615" t="n">
        <v>358</v>
      </c>
      <c r="AB615" t="n">
        <v>4</v>
      </c>
      <c r="AC615" t="n">
        <v>4</v>
      </c>
      <c r="AD615" t="n">
        <v>17</v>
      </c>
      <c r="AE615" t="n">
        <v>17</v>
      </c>
      <c r="AF615" t="n">
        <v>5</v>
      </c>
      <c r="AG615" t="n">
        <v>5</v>
      </c>
      <c r="AH615" t="n">
        <v>3</v>
      </c>
      <c r="AI615" t="n">
        <v>3</v>
      </c>
      <c r="AJ615" t="n">
        <v>9</v>
      </c>
      <c r="AK615" t="n">
        <v>9</v>
      </c>
      <c r="AL615" t="n">
        <v>3</v>
      </c>
      <c r="AM615" t="n">
        <v>3</v>
      </c>
      <c r="AN615" t="n">
        <v>1</v>
      </c>
      <c r="AO615" t="n">
        <v>1</v>
      </c>
      <c r="AP615" t="inlineStr">
        <is>
          <t>No</t>
        </is>
      </c>
      <c r="AQ615" t="inlineStr">
        <is>
          <t>No</t>
        </is>
      </c>
      <c r="AS615">
        <f>HYPERLINK("https://creighton-primo.hosted.exlibrisgroup.com/primo-explore/search?tab=default_tab&amp;search_scope=EVERYTHING&amp;vid=01CRU&amp;lang=en_US&amp;offset=0&amp;query=any,contains,991000531539702656","Catalog Record")</f>
        <v/>
      </c>
      <c r="AT615">
        <f>HYPERLINK("http://www.worldcat.org/oclc/11399634","WorldCat Record")</f>
        <v/>
      </c>
      <c r="AU615" t="inlineStr">
        <is>
          <t>836654731:eng</t>
        </is>
      </c>
      <c r="AV615" t="inlineStr">
        <is>
          <t>11399634</t>
        </is>
      </c>
      <c r="AW615" t="inlineStr">
        <is>
          <t>991000531539702656</t>
        </is>
      </c>
      <c r="AX615" t="inlineStr">
        <is>
          <t>991000531539702656</t>
        </is>
      </c>
      <c r="AY615" t="inlineStr">
        <is>
          <t>2268355630002656</t>
        </is>
      </c>
      <c r="AZ615" t="inlineStr">
        <is>
          <t>BOOK</t>
        </is>
      </c>
      <c r="BB615" t="inlineStr">
        <is>
          <t>9780745600215</t>
        </is>
      </c>
      <c r="BC615" t="inlineStr">
        <is>
          <t>32285000719848</t>
        </is>
      </c>
      <c r="BD615" t="inlineStr">
        <is>
          <t>893528127</t>
        </is>
      </c>
    </row>
    <row r="616">
      <c r="A616" t="inlineStr">
        <is>
          <t>No</t>
        </is>
      </c>
      <c r="B616" t="inlineStr">
        <is>
          <t>HM291 .D36 1990</t>
        </is>
      </c>
      <c r="C616" t="inlineStr">
        <is>
          <t>0                      HM 0291000D  36          1990</t>
        </is>
      </c>
      <c r="D616" t="inlineStr">
        <is>
          <t>Status inequality : the self in culture / by George A. De Vos, Marcelo Suárez-Orozco.</t>
        </is>
      </c>
      <c r="F616" t="inlineStr">
        <is>
          <t>No</t>
        </is>
      </c>
      <c r="G616" t="inlineStr">
        <is>
          <t>1</t>
        </is>
      </c>
      <c r="H616" t="inlineStr">
        <is>
          <t>No</t>
        </is>
      </c>
      <c r="I616" t="inlineStr">
        <is>
          <t>No</t>
        </is>
      </c>
      <c r="J616" t="inlineStr">
        <is>
          <t>0</t>
        </is>
      </c>
      <c r="K616" t="inlineStr">
        <is>
          <t>De Vos, George A.</t>
        </is>
      </c>
      <c r="L616" t="inlineStr">
        <is>
          <t>Newbury Park, Calif. : Sage Publications, c1990.</t>
        </is>
      </c>
      <c r="M616" t="inlineStr">
        <is>
          <t>1990</t>
        </is>
      </c>
      <c r="O616" t="inlineStr">
        <is>
          <t>eng</t>
        </is>
      </c>
      <c r="P616" t="inlineStr">
        <is>
          <t>cau</t>
        </is>
      </c>
      <c r="Q616" t="inlineStr">
        <is>
          <t>Cross-cultural research and methodology series ; 15</t>
        </is>
      </c>
      <c r="R616" t="inlineStr">
        <is>
          <t xml:space="preserve">HM </t>
        </is>
      </c>
      <c r="S616" t="n">
        <v>4</v>
      </c>
      <c r="T616" t="n">
        <v>4</v>
      </c>
      <c r="U616" t="inlineStr">
        <is>
          <t>1995-11-15</t>
        </is>
      </c>
      <c r="V616" t="inlineStr">
        <is>
          <t>1995-11-15</t>
        </is>
      </c>
      <c r="W616" t="inlineStr">
        <is>
          <t>1991-02-22</t>
        </is>
      </c>
      <c r="X616" t="inlineStr">
        <is>
          <t>1991-02-22</t>
        </is>
      </c>
      <c r="Y616" t="n">
        <v>353</v>
      </c>
      <c r="Z616" t="n">
        <v>244</v>
      </c>
      <c r="AA616" t="n">
        <v>250</v>
      </c>
      <c r="AB616" t="n">
        <v>2</v>
      </c>
      <c r="AC616" t="n">
        <v>2</v>
      </c>
      <c r="AD616" t="n">
        <v>15</v>
      </c>
      <c r="AE616" t="n">
        <v>15</v>
      </c>
      <c r="AF616" t="n">
        <v>4</v>
      </c>
      <c r="AG616" t="n">
        <v>4</v>
      </c>
      <c r="AH616" t="n">
        <v>3</v>
      </c>
      <c r="AI616" t="n">
        <v>3</v>
      </c>
      <c r="AJ616" t="n">
        <v>10</v>
      </c>
      <c r="AK616" t="n">
        <v>10</v>
      </c>
      <c r="AL616" t="n">
        <v>1</v>
      </c>
      <c r="AM616" t="n">
        <v>1</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HYPERLINK("https://creighton-primo.hosted.exlibrisgroup.com/primo-explore/search?tab=default_tab&amp;search_scope=EVERYTHING&amp;vid=01CRU&amp;lang=en_US&amp;offset=0&amp;query=any,contains,991001720119702656","Catalog Record")</f>
        <v/>
      </c>
      <c r="AT616">
        <f>HYPERLINK("http://www.worldcat.org/oclc/21762397","WorldCat Record")</f>
        <v/>
      </c>
      <c r="AU616" t="inlineStr">
        <is>
          <t>836708995:eng</t>
        </is>
      </c>
      <c r="AV616" t="inlineStr">
        <is>
          <t>21762397</t>
        </is>
      </c>
      <c r="AW616" t="inlineStr">
        <is>
          <t>991001720119702656</t>
        </is>
      </c>
      <c r="AX616" t="inlineStr">
        <is>
          <t>991001720119702656</t>
        </is>
      </c>
      <c r="AY616" t="inlineStr">
        <is>
          <t>2256930450002656</t>
        </is>
      </c>
      <c r="AZ616" t="inlineStr">
        <is>
          <t>BOOK</t>
        </is>
      </c>
      <c r="BB616" t="inlineStr">
        <is>
          <t>9780803939622</t>
        </is>
      </c>
      <c r="BC616" t="inlineStr">
        <is>
          <t>32285000490895</t>
        </is>
      </c>
      <c r="BD616" t="inlineStr">
        <is>
          <t>893315988</t>
        </is>
      </c>
    </row>
    <row r="617">
      <c r="A617" t="inlineStr">
        <is>
          <t>No</t>
        </is>
      </c>
      <c r="B617" t="inlineStr">
        <is>
          <t>HM291 .D4824</t>
        </is>
      </c>
      <c r="C617" t="inlineStr">
        <is>
          <t>0                      HM 0291000D  4824</t>
        </is>
      </c>
      <c r="D617" t="inlineStr">
        <is>
          <t>Deviance and decency : the ethics of research with human subjects / edited by Carl B. Klockars and Finbarr W. O'Connor.</t>
        </is>
      </c>
      <c r="F617" t="inlineStr">
        <is>
          <t>No</t>
        </is>
      </c>
      <c r="G617" t="inlineStr">
        <is>
          <t>1</t>
        </is>
      </c>
      <c r="H617" t="inlineStr">
        <is>
          <t>No</t>
        </is>
      </c>
      <c r="I617" t="inlineStr">
        <is>
          <t>No</t>
        </is>
      </c>
      <c r="J617" t="inlineStr">
        <is>
          <t>0</t>
        </is>
      </c>
      <c r="L617" t="inlineStr">
        <is>
          <t>Beverly Hills : Sage Publications, c1979.</t>
        </is>
      </c>
      <c r="M617" t="inlineStr">
        <is>
          <t>1979</t>
        </is>
      </c>
      <c r="O617" t="inlineStr">
        <is>
          <t>eng</t>
        </is>
      </c>
      <c r="P617" t="inlineStr">
        <is>
          <t>cau</t>
        </is>
      </c>
      <c r="Q617" t="inlineStr">
        <is>
          <t>Sage annual reviews of studies in deviance ; v. 3</t>
        </is>
      </c>
      <c r="R617" t="inlineStr">
        <is>
          <t xml:space="preserve">HM </t>
        </is>
      </c>
      <c r="S617" t="n">
        <v>3</v>
      </c>
      <c r="T617" t="n">
        <v>3</v>
      </c>
      <c r="U617" t="inlineStr">
        <is>
          <t>2002-02-01</t>
        </is>
      </c>
      <c r="V617" t="inlineStr">
        <is>
          <t>2002-02-01</t>
        </is>
      </c>
      <c r="W617" t="inlineStr">
        <is>
          <t>1992-09-18</t>
        </is>
      </c>
      <c r="X617" t="inlineStr">
        <is>
          <t>1992-09-18</t>
        </is>
      </c>
      <c r="Y617" t="n">
        <v>429</v>
      </c>
      <c r="Z617" t="n">
        <v>323</v>
      </c>
      <c r="AA617" t="n">
        <v>331</v>
      </c>
      <c r="AB617" t="n">
        <v>4</v>
      </c>
      <c r="AC617" t="n">
        <v>4</v>
      </c>
      <c r="AD617" t="n">
        <v>19</v>
      </c>
      <c r="AE617" t="n">
        <v>19</v>
      </c>
      <c r="AF617" t="n">
        <v>7</v>
      </c>
      <c r="AG617" t="n">
        <v>7</v>
      </c>
      <c r="AH617" t="n">
        <v>1</v>
      </c>
      <c r="AI617" t="n">
        <v>1</v>
      </c>
      <c r="AJ617" t="n">
        <v>11</v>
      </c>
      <c r="AK617" t="n">
        <v>11</v>
      </c>
      <c r="AL617" t="n">
        <v>1</v>
      </c>
      <c r="AM617" t="n">
        <v>1</v>
      </c>
      <c r="AN617" t="n">
        <v>5</v>
      </c>
      <c r="AO617" t="n">
        <v>5</v>
      </c>
      <c r="AP617" t="inlineStr">
        <is>
          <t>No</t>
        </is>
      </c>
      <c r="AQ617" t="inlineStr">
        <is>
          <t>Yes</t>
        </is>
      </c>
      <c r="AR617">
        <f>HYPERLINK("http://catalog.hathitrust.org/Record/000029320","HathiTrust Record")</f>
        <v/>
      </c>
      <c r="AS617">
        <f>HYPERLINK("https://creighton-primo.hosted.exlibrisgroup.com/primo-explore/search?tab=default_tab&amp;search_scope=EVERYTHING&amp;vid=01CRU&amp;lang=en_US&amp;offset=0&amp;query=any,contains,991004804819702656","Catalog Record")</f>
        <v/>
      </c>
      <c r="AT617">
        <f>HYPERLINK("http://www.worldcat.org/oclc/5239664","WorldCat Record")</f>
        <v/>
      </c>
      <c r="AU617" t="inlineStr">
        <is>
          <t>861042813:eng</t>
        </is>
      </c>
      <c r="AV617" t="inlineStr">
        <is>
          <t>5239664</t>
        </is>
      </c>
      <c r="AW617" t="inlineStr">
        <is>
          <t>991004804819702656</t>
        </is>
      </c>
      <c r="AX617" t="inlineStr">
        <is>
          <t>991004804819702656</t>
        </is>
      </c>
      <c r="AY617" t="inlineStr">
        <is>
          <t>2264303870002656</t>
        </is>
      </c>
      <c r="AZ617" t="inlineStr">
        <is>
          <t>BOOK</t>
        </is>
      </c>
      <c r="BB617" t="inlineStr">
        <is>
          <t>9780803913592</t>
        </is>
      </c>
      <c r="BC617" t="inlineStr">
        <is>
          <t>32285001268654</t>
        </is>
      </c>
      <c r="BD617" t="inlineStr">
        <is>
          <t>893722619</t>
        </is>
      </c>
    </row>
    <row r="618">
      <c r="A618" t="inlineStr">
        <is>
          <t>No</t>
        </is>
      </c>
      <c r="B618" t="inlineStr">
        <is>
          <t>HM291 .D4834 1989</t>
        </is>
      </c>
      <c r="C618" t="inlineStr">
        <is>
          <t>0                      HM 0291000D  4834        1989</t>
        </is>
      </c>
      <c r="D618" t="inlineStr">
        <is>
          <t>Deviance in American life / edited by James M. Henslin.</t>
        </is>
      </c>
      <c r="F618" t="inlineStr">
        <is>
          <t>No</t>
        </is>
      </c>
      <c r="G618" t="inlineStr">
        <is>
          <t>1</t>
        </is>
      </c>
      <c r="H618" t="inlineStr">
        <is>
          <t>No</t>
        </is>
      </c>
      <c r="I618" t="inlineStr">
        <is>
          <t>No</t>
        </is>
      </c>
      <c r="J618" t="inlineStr">
        <is>
          <t>0</t>
        </is>
      </c>
      <c r="L618" t="inlineStr">
        <is>
          <t>New Brunswick, U.S.A. : Transaction Publishers, c1989.</t>
        </is>
      </c>
      <c r="M618" t="inlineStr">
        <is>
          <t>1989</t>
        </is>
      </c>
      <c r="O618" t="inlineStr">
        <is>
          <t>eng</t>
        </is>
      </c>
      <c r="P618" t="inlineStr">
        <is>
          <t>nju</t>
        </is>
      </c>
      <c r="R618" t="inlineStr">
        <is>
          <t xml:space="preserve">HM </t>
        </is>
      </c>
      <c r="S618" t="n">
        <v>5</v>
      </c>
      <c r="T618" t="n">
        <v>5</v>
      </c>
      <c r="U618" t="inlineStr">
        <is>
          <t>2001-11-15</t>
        </is>
      </c>
      <c r="V618" t="inlineStr">
        <is>
          <t>2001-11-15</t>
        </is>
      </c>
      <c r="W618" t="inlineStr">
        <is>
          <t>1990-04-30</t>
        </is>
      </c>
      <c r="X618" t="inlineStr">
        <is>
          <t>1990-04-30</t>
        </is>
      </c>
      <c r="Y618" t="n">
        <v>242</v>
      </c>
      <c r="Z618" t="n">
        <v>212</v>
      </c>
      <c r="AA618" t="n">
        <v>219</v>
      </c>
      <c r="AB618" t="n">
        <v>2</v>
      </c>
      <c r="AC618" t="n">
        <v>2</v>
      </c>
      <c r="AD618" t="n">
        <v>8</v>
      </c>
      <c r="AE618" t="n">
        <v>8</v>
      </c>
      <c r="AF618" t="n">
        <v>2</v>
      </c>
      <c r="AG618" t="n">
        <v>2</v>
      </c>
      <c r="AH618" t="n">
        <v>2</v>
      </c>
      <c r="AI618" t="n">
        <v>2</v>
      </c>
      <c r="AJ618" t="n">
        <v>6</v>
      </c>
      <c r="AK618" t="n">
        <v>6</v>
      </c>
      <c r="AL618" t="n">
        <v>1</v>
      </c>
      <c r="AM618" t="n">
        <v>1</v>
      </c>
      <c r="AN618" t="n">
        <v>1</v>
      </c>
      <c r="AO618" t="n">
        <v>1</v>
      </c>
      <c r="AP618" t="inlineStr">
        <is>
          <t>No</t>
        </is>
      </c>
      <c r="AQ618" t="inlineStr">
        <is>
          <t>No</t>
        </is>
      </c>
      <c r="AS618">
        <f>HYPERLINK("https://creighton-primo.hosted.exlibrisgroup.com/primo-explore/search?tab=default_tab&amp;search_scope=EVERYTHING&amp;vid=01CRU&amp;lang=en_US&amp;offset=0&amp;query=any,contains,991001294739702656","Catalog Record")</f>
        <v/>
      </c>
      <c r="AT618">
        <f>HYPERLINK("http://www.worldcat.org/oclc/18019372","WorldCat Record")</f>
        <v/>
      </c>
      <c r="AU618" t="inlineStr">
        <is>
          <t>55096442:eng</t>
        </is>
      </c>
      <c r="AV618" t="inlineStr">
        <is>
          <t>18019372</t>
        </is>
      </c>
      <c r="AW618" t="inlineStr">
        <is>
          <t>991001294739702656</t>
        </is>
      </c>
      <c r="AX618" t="inlineStr">
        <is>
          <t>991001294739702656</t>
        </is>
      </c>
      <c r="AY618" t="inlineStr">
        <is>
          <t>2255485980002656</t>
        </is>
      </c>
      <c r="AZ618" t="inlineStr">
        <is>
          <t>BOOK</t>
        </is>
      </c>
      <c r="BB618" t="inlineStr">
        <is>
          <t>9780887387241</t>
        </is>
      </c>
      <c r="BC618" t="inlineStr">
        <is>
          <t>32285000129139</t>
        </is>
      </c>
      <c r="BD618" t="inlineStr">
        <is>
          <t>893872449</t>
        </is>
      </c>
    </row>
    <row r="619">
      <c r="A619" t="inlineStr">
        <is>
          <t>No</t>
        </is>
      </c>
      <c r="B619" t="inlineStr">
        <is>
          <t>HM291 .D4844 1991</t>
        </is>
      </c>
      <c r="C619" t="inlineStr">
        <is>
          <t>0                      HM 0291000D  4844        1991</t>
        </is>
      </c>
      <c r="D619" t="inlineStr">
        <is>
          <t>Deviant behavior and human rights / [edited by] John F. Galliher.</t>
        </is>
      </c>
      <c r="F619" t="inlineStr">
        <is>
          <t>No</t>
        </is>
      </c>
      <c r="G619" t="inlineStr">
        <is>
          <t>1</t>
        </is>
      </c>
      <c r="H619" t="inlineStr">
        <is>
          <t>No</t>
        </is>
      </c>
      <c r="I619" t="inlineStr">
        <is>
          <t>No</t>
        </is>
      </c>
      <c r="J619" t="inlineStr">
        <is>
          <t>0</t>
        </is>
      </c>
      <c r="L619" t="inlineStr">
        <is>
          <t>Englewood Cliffs, N.J. : Prentice-Hall, c1991.</t>
        </is>
      </c>
      <c r="M619" t="inlineStr">
        <is>
          <t>1991</t>
        </is>
      </c>
      <c r="O619" t="inlineStr">
        <is>
          <t>eng</t>
        </is>
      </c>
      <c r="P619" t="inlineStr">
        <is>
          <t>nju</t>
        </is>
      </c>
      <c r="R619" t="inlineStr">
        <is>
          <t xml:space="preserve">HM </t>
        </is>
      </c>
      <c r="S619" t="n">
        <v>6</v>
      </c>
      <c r="T619" t="n">
        <v>6</v>
      </c>
      <c r="U619" t="inlineStr">
        <is>
          <t>2007-03-23</t>
        </is>
      </c>
      <c r="V619" t="inlineStr">
        <is>
          <t>2007-03-23</t>
        </is>
      </c>
      <c r="W619" t="inlineStr">
        <is>
          <t>1991-05-08</t>
        </is>
      </c>
      <c r="X619" t="inlineStr">
        <is>
          <t>1991-05-08</t>
        </is>
      </c>
      <c r="Y619" t="n">
        <v>231</v>
      </c>
      <c r="Z619" t="n">
        <v>173</v>
      </c>
      <c r="AA619" t="n">
        <v>180</v>
      </c>
      <c r="AB619" t="n">
        <v>1</v>
      </c>
      <c r="AC619" t="n">
        <v>1</v>
      </c>
      <c r="AD619" t="n">
        <v>10</v>
      </c>
      <c r="AE619" t="n">
        <v>10</v>
      </c>
      <c r="AF619" t="n">
        <v>3</v>
      </c>
      <c r="AG619" t="n">
        <v>3</v>
      </c>
      <c r="AH619" t="n">
        <v>3</v>
      </c>
      <c r="AI619" t="n">
        <v>3</v>
      </c>
      <c r="AJ619" t="n">
        <v>2</v>
      </c>
      <c r="AK619" t="n">
        <v>2</v>
      </c>
      <c r="AL619" t="n">
        <v>0</v>
      </c>
      <c r="AM619" t="n">
        <v>0</v>
      </c>
      <c r="AN619" t="n">
        <v>4</v>
      </c>
      <c r="AO619" t="n">
        <v>4</v>
      </c>
      <c r="AP619" t="inlineStr">
        <is>
          <t>No</t>
        </is>
      </c>
      <c r="AQ619" t="inlineStr">
        <is>
          <t>Yes</t>
        </is>
      </c>
      <c r="AR619">
        <f>HYPERLINK("http://catalog.hathitrust.org/Record/002647328","HathiTrust Record")</f>
        <v/>
      </c>
      <c r="AS619">
        <f>HYPERLINK("https://creighton-primo.hosted.exlibrisgroup.com/primo-explore/search?tab=default_tab&amp;search_scope=EVERYTHING&amp;vid=01CRU&amp;lang=en_US&amp;offset=0&amp;query=any,contains,991001696339702656","Catalog Record")</f>
        <v/>
      </c>
      <c r="AT619">
        <f>HYPERLINK("http://www.worldcat.org/oclc/21483784","WorldCat Record")</f>
        <v/>
      </c>
      <c r="AU619" t="inlineStr">
        <is>
          <t>23400531:eng</t>
        </is>
      </c>
      <c r="AV619" t="inlineStr">
        <is>
          <t>21483784</t>
        </is>
      </c>
      <c r="AW619" t="inlineStr">
        <is>
          <t>991001696339702656</t>
        </is>
      </c>
      <c r="AX619" t="inlineStr">
        <is>
          <t>991001696339702656</t>
        </is>
      </c>
      <c r="AY619" t="inlineStr">
        <is>
          <t>2261588680002656</t>
        </is>
      </c>
      <c r="AZ619" t="inlineStr">
        <is>
          <t>BOOK</t>
        </is>
      </c>
      <c r="BB619" t="inlineStr">
        <is>
          <t>9780132040662</t>
        </is>
      </c>
      <c r="BC619" t="inlineStr">
        <is>
          <t>32285000571959</t>
        </is>
      </c>
      <c r="BD619" t="inlineStr">
        <is>
          <t>893522755</t>
        </is>
      </c>
    </row>
    <row r="620">
      <c r="A620" t="inlineStr">
        <is>
          <t>No</t>
        </is>
      </c>
      <c r="B620" t="inlineStr">
        <is>
          <t>HM291 .D496 1987</t>
        </is>
      </c>
      <c r="C620" t="inlineStr">
        <is>
          <t>0                      HM 0291000D  496         1987</t>
        </is>
      </c>
      <c r="D620" t="inlineStr">
        <is>
          <t>Communicating racism : ethnic prejudice in thought and talk / Teun A. van Dijk.</t>
        </is>
      </c>
      <c r="F620" t="inlineStr">
        <is>
          <t>No</t>
        </is>
      </c>
      <c r="G620" t="inlineStr">
        <is>
          <t>1</t>
        </is>
      </c>
      <c r="H620" t="inlineStr">
        <is>
          <t>No</t>
        </is>
      </c>
      <c r="I620" t="inlineStr">
        <is>
          <t>No</t>
        </is>
      </c>
      <c r="J620" t="inlineStr">
        <is>
          <t>0</t>
        </is>
      </c>
      <c r="K620" t="inlineStr">
        <is>
          <t>Dijk, Teun A. van, 1943-</t>
        </is>
      </c>
      <c r="L620" t="inlineStr">
        <is>
          <t>Newbury Park, Calif. : Sage Publications, c1987.</t>
        </is>
      </c>
      <c r="M620" t="inlineStr">
        <is>
          <t>1987</t>
        </is>
      </c>
      <c r="O620" t="inlineStr">
        <is>
          <t>eng</t>
        </is>
      </c>
      <c r="P620" t="inlineStr">
        <is>
          <t>cau</t>
        </is>
      </c>
      <c r="R620" t="inlineStr">
        <is>
          <t xml:space="preserve">HM </t>
        </is>
      </c>
      <c r="S620" t="n">
        <v>14</v>
      </c>
      <c r="T620" t="n">
        <v>14</v>
      </c>
      <c r="U620" t="inlineStr">
        <is>
          <t>2003-09-09</t>
        </is>
      </c>
      <c r="V620" t="inlineStr">
        <is>
          <t>2003-09-09</t>
        </is>
      </c>
      <c r="W620" t="inlineStr">
        <is>
          <t>1991-12-09</t>
        </is>
      </c>
      <c r="X620" t="inlineStr">
        <is>
          <t>1991-12-09</t>
        </is>
      </c>
      <c r="Y620" t="n">
        <v>856</v>
      </c>
      <c r="Z620" t="n">
        <v>642</v>
      </c>
      <c r="AA620" t="n">
        <v>675</v>
      </c>
      <c r="AB620" t="n">
        <v>6</v>
      </c>
      <c r="AC620" t="n">
        <v>6</v>
      </c>
      <c r="AD620" t="n">
        <v>36</v>
      </c>
      <c r="AE620" t="n">
        <v>36</v>
      </c>
      <c r="AF620" t="n">
        <v>16</v>
      </c>
      <c r="AG620" t="n">
        <v>16</v>
      </c>
      <c r="AH620" t="n">
        <v>7</v>
      </c>
      <c r="AI620" t="n">
        <v>7</v>
      </c>
      <c r="AJ620" t="n">
        <v>17</v>
      </c>
      <c r="AK620" t="n">
        <v>17</v>
      </c>
      <c r="AL620" t="n">
        <v>5</v>
      </c>
      <c r="AM620" t="n">
        <v>5</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HYPERLINK("https://creighton-primo.hosted.exlibrisgroup.com/primo-explore/search?tab=default_tab&amp;search_scope=EVERYTHING&amp;vid=01CRU&amp;lang=en_US&amp;offset=0&amp;query=any,contains,991000889529702656","Catalog Record")</f>
        <v/>
      </c>
      <c r="AT620">
        <f>HYPERLINK("http://www.worldcat.org/oclc/13903380","WorldCat Record")</f>
        <v/>
      </c>
      <c r="AU620" t="inlineStr">
        <is>
          <t>795406419:eng</t>
        </is>
      </c>
      <c r="AV620" t="inlineStr">
        <is>
          <t>13903380</t>
        </is>
      </c>
      <c r="AW620" t="inlineStr">
        <is>
          <t>991000889529702656</t>
        </is>
      </c>
      <c r="AX620" t="inlineStr">
        <is>
          <t>991000889529702656</t>
        </is>
      </c>
      <c r="AY620" t="inlineStr">
        <is>
          <t>2270053850002656</t>
        </is>
      </c>
      <c r="AZ620" t="inlineStr">
        <is>
          <t>BOOK</t>
        </is>
      </c>
      <c r="BB620" t="inlineStr">
        <is>
          <t>9780803926745</t>
        </is>
      </c>
      <c r="BC620" t="inlineStr">
        <is>
          <t>32285000838739</t>
        </is>
      </c>
      <c r="BD620" t="inlineStr">
        <is>
          <t>893620899</t>
        </is>
      </c>
    </row>
    <row r="621">
      <c r="A621" t="inlineStr">
        <is>
          <t>No</t>
        </is>
      </c>
      <c r="B621" t="inlineStr">
        <is>
          <t>HM291 .D497 1986</t>
        </is>
      </c>
      <c r="C621" t="inlineStr">
        <is>
          <t>0                      HM 0291000D  497         1986</t>
        </is>
      </c>
      <c r="D621" t="inlineStr">
        <is>
          <t>The Dilemma of difference : a multidisciplinary view of stigma / edited by Stephen C. Ainlay, Gaylene Becker, and Lerita M. Coleman.</t>
        </is>
      </c>
      <c r="F621" t="inlineStr">
        <is>
          <t>No</t>
        </is>
      </c>
      <c r="G621" t="inlineStr">
        <is>
          <t>1</t>
        </is>
      </c>
      <c r="H621" t="inlineStr">
        <is>
          <t>No</t>
        </is>
      </c>
      <c r="I621" t="inlineStr">
        <is>
          <t>No</t>
        </is>
      </c>
      <c r="J621" t="inlineStr">
        <is>
          <t>0</t>
        </is>
      </c>
      <c r="L621" t="inlineStr">
        <is>
          <t>New York : Plenum, c1986.</t>
        </is>
      </c>
      <c r="M621" t="inlineStr">
        <is>
          <t>1986</t>
        </is>
      </c>
      <c r="O621" t="inlineStr">
        <is>
          <t>eng</t>
        </is>
      </c>
      <c r="P621" t="inlineStr">
        <is>
          <t>nyu</t>
        </is>
      </c>
      <c r="Q621" t="inlineStr">
        <is>
          <t>Perspectives in social psychology</t>
        </is>
      </c>
      <c r="R621" t="inlineStr">
        <is>
          <t xml:space="preserve">HM </t>
        </is>
      </c>
      <c r="S621" t="n">
        <v>8</v>
      </c>
      <c r="T621" t="n">
        <v>8</v>
      </c>
      <c r="U621" t="inlineStr">
        <is>
          <t>2001-10-16</t>
        </is>
      </c>
      <c r="V621" t="inlineStr">
        <is>
          <t>2001-10-16</t>
        </is>
      </c>
      <c r="W621" t="inlineStr">
        <is>
          <t>1992-09-18</t>
        </is>
      </c>
      <c r="X621" t="inlineStr">
        <is>
          <t>1992-09-18</t>
        </is>
      </c>
      <c r="Y621" t="n">
        <v>440</v>
      </c>
      <c r="Z621" t="n">
        <v>339</v>
      </c>
      <c r="AA621" t="n">
        <v>357</v>
      </c>
      <c r="AB621" t="n">
        <v>3</v>
      </c>
      <c r="AC621" t="n">
        <v>3</v>
      </c>
      <c r="AD621" t="n">
        <v>17</v>
      </c>
      <c r="AE621" t="n">
        <v>19</v>
      </c>
      <c r="AF621" t="n">
        <v>3</v>
      </c>
      <c r="AG621" t="n">
        <v>5</v>
      </c>
      <c r="AH621" t="n">
        <v>4</v>
      </c>
      <c r="AI621" t="n">
        <v>4</v>
      </c>
      <c r="AJ621" t="n">
        <v>12</v>
      </c>
      <c r="AK621" t="n">
        <v>13</v>
      </c>
      <c r="AL621" t="n">
        <v>2</v>
      </c>
      <c r="AM621" t="n">
        <v>2</v>
      </c>
      <c r="AN621" t="n">
        <v>1</v>
      </c>
      <c r="AO621" t="n">
        <v>1</v>
      </c>
      <c r="AP621" t="inlineStr">
        <is>
          <t>No</t>
        </is>
      </c>
      <c r="AQ621" t="inlineStr">
        <is>
          <t>No</t>
        </is>
      </c>
      <c r="AS621">
        <f>HYPERLINK("https://creighton-primo.hosted.exlibrisgroup.com/primo-explore/search?tab=default_tab&amp;search_scope=EVERYTHING&amp;vid=01CRU&amp;lang=en_US&amp;offset=0&amp;query=any,contains,991000868859702656","Catalog Record")</f>
        <v/>
      </c>
      <c r="AT621">
        <f>HYPERLINK("http://www.worldcat.org/oclc/13762787","WorldCat Record")</f>
        <v/>
      </c>
      <c r="AU621" t="inlineStr">
        <is>
          <t>836655142:eng</t>
        </is>
      </c>
      <c r="AV621" t="inlineStr">
        <is>
          <t>13762787</t>
        </is>
      </c>
      <c r="AW621" t="inlineStr">
        <is>
          <t>991000868859702656</t>
        </is>
      </c>
      <c r="AX621" t="inlineStr">
        <is>
          <t>991000868859702656</t>
        </is>
      </c>
      <c r="AY621" t="inlineStr">
        <is>
          <t>2265327940002656</t>
        </is>
      </c>
      <c r="AZ621" t="inlineStr">
        <is>
          <t>BOOK</t>
        </is>
      </c>
      <c r="BB621" t="inlineStr">
        <is>
          <t>9780306423048</t>
        </is>
      </c>
      <c r="BC621" t="inlineStr">
        <is>
          <t>32285001268662</t>
        </is>
      </c>
      <c r="BD621" t="inlineStr">
        <is>
          <t>893419840</t>
        </is>
      </c>
    </row>
    <row r="622">
      <c r="A622" t="inlineStr">
        <is>
          <t>No</t>
        </is>
      </c>
      <c r="B622" t="inlineStr">
        <is>
          <t>HM291 .D5</t>
        </is>
      </c>
      <c r="C622" t="inlineStr">
        <is>
          <t>0                      HM 0291000D  5</t>
        </is>
      </c>
      <c r="D622" t="inlineStr">
        <is>
          <t>Deviance; studies in the process of stigmatization and societal reaction [by] Simon Dinitz, Russell R. Dynes [and] Alfred C. Clarke.</t>
        </is>
      </c>
      <c r="F622" t="inlineStr">
        <is>
          <t>No</t>
        </is>
      </c>
      <c r="G622" t="inlineStr">
        <is>
          <t>1</t>
        </is>
      </c>
      <c r="H622" t="inlineStr">
        <is>
          <t>No</t>
        </is>
      </c>
      <c r="I622" t="inlineStr">
        <is>
          <t>No</t>
        </is>
      </c>
      <c r="J622" t="inlineStr">
        <is>
          <t>0</t>
        </is>
      </c>
      <c r="K622" t="inlineStr">
        <is>
          <t>Dinitz, Simon compiler.</t>
        </is>
      </c>
      <c r="L622" t="inlineStr">
        <is>
          <t>New York, Oxford University Press, 1969.</t>
        </is>
      </c>
      <c r="M622" t="inlineStr">
        <is>
          <t>1969</t>
        </is>
      </c>
      <c r="O622" t="inlineStr">
        <is>
          <t>eng</t>
        </is>
      </c>
      <c r="P622" t="inlineStr">
        <is>
          <t>nyu</t>
        </is>
      </c>
      <c r="R622" t="inlineStr">
        <is>
          <t xml:space="preserve">HM </t>
        </is>
      </c>
      <c r="S622" t="n">
        <v>10</v>
      </c>
      <c r="T622" t="n">
        <v>10</v>
      </c>
      <c r="U622" t="inlineStr">
        <is>
          <t>2002-10-04</t>
        </is>
      </c>
      <c r="V622" t="inlineStr">
        <is>
          <t>2002-10-04</t>
        </is>
      </c>
      <c r="W622" t="inlineStr">
        <is>
          <t>1995-08-07</t>
        </is>
      </c>
      <c r="X622" t="inlineStr">
        <is>
          <t>1995-08-07</t>
        </is>
      </c>
      <c r="Y622" t="n">
        <v>639</v>
      </c>
      <c r="Z622" t="n">
        <v>496</v>
      </c>
      <c r="AA622" t="n">
        <v>499</v>
      </c>
      <c r="AB622" t="n">
        <v>4</v>
      </c>
      <c r="AC622" t="n">
        <v>4</v>
      </c>
      <c r="AD622" t="n">
        <v>23</v>
      </c>
      <c r="AE622" t="n">
        <v>23</v>
      </c>
      <c r="AF622" t="n">
        <v>6</v>
      </c>
      <c r="AG622" t="n">
        <v>6</v>
      </c>
      <c r="AH622" t="n">
        <v>2</v>
      </c>
      <c r="AI622" t="n">
        <v>2</v>
      </c>
      <c r="AJ622" t="n">
        <v>10</v>
      </c>
      <c r="AK622" t="n">
        <v>10</v>
      </c>
      <c r="AL622" t="n">
        <v>1</v>
      </c>
      <c r="AM622" t="n">
        <v>1</v>
      </c>
      <c r="AN622" t="n">
        <v>7</v>
      </c>
      <c r="AO622" t="n">
        <v>7</v>
      </c>
      <c r="AP622" t="inlineStr">
        <is>
          <t>No</t>
        </is>
      </c>
      <c r="AQ622" t="inlineStr">
        <is>
          <t>No</t>
        </is>
      </c>
      <c r="AS622">
        <f>HYPERLINK("https://creighton-primo.hosted.exlibrisgroup.com/primo-explore/search?tab=default_tab&amp;search_scope=EVERYTHING&amp;vid=01CRU&amp;lang=en_US&amp;offset=0&amp;query=any,contains,991005438249702656","Catalog Record")</f>
        <v/>
      </c>
      <c r="AT622">
        <f>HYPERLINK("http://www.worldcat.org/oclc/5930","WorldCat Record")</f>
        <v/>
      </c>
      <c r="AU622" t="inlineStr">
        <is>
          <t>887970039:eng</t>
        </is>
      </c>
      <c r="AV622" t="inlineStr">
        <is>
          <t>5930</t>
        </is>
      </c>
      <c r="AW622" t="inlineStr">
        <is>
          <t>991005438249702656</t>
        </is>
      </c>
      <c r="AX622" t="inlineStr">
        <is>
          <t>991005438249702656</t>
        </is>
      </c>
      <c r="AY622" t="inlineStr">
        <is>
          <t>2264696070002656</t>
        </is>
      </c>
      <c r="AZ622" t="inlineStr">
        <is>
          <t>BOOK</t>
        </is>
      </c>
      <c r="BC622" t="inlineStr">
        <is>
          <t>32285002062700</t>
        </is>
      </c>
      <c r="BD622" t="inlineStr">
        <is>
          <t>893701617</t>
        </is>
      </c>
    </row>
    <row r="623">
      <c r="A623" t="inlineStr">
        <is>
          <t>No</t>
        </is>
      </c>
      <c r="B623" t="inlineStr">
        <is>
          <t>HM291 .D68 1970</t>
        </is>
      </c>
      <c r="C623" t="inlineStr">
        <is>
          <t>0                      HM 0291000D  68          1970</t>
        </is>
      </c>
      <c r="D623" t="inlineStr">
        <is>
          <t>Observations of deviance / [edited by] Jack D. Douglas.</t>
        </is>
      </c>
      <c r="F623" t="inlineStr">
        <is>
          <t>No</t>
        </is>
      </c>
      <c r="G623" t="inlineStr">
        <is>
          <t>1</t>
        </is>
      </c>
      <c r="H623" t="inlineStr">
        <is>
          <t>No</t>
        </is>
      </c>
      <c r="I623" t="inlineStr">
        <is>
          <t>No</t>
        </is>
      </c>
      <c r="J623" t="inlineStr">
        <is>
          <t>0</t>
        </is>
      </c>
      <c r="K623" t="inlineStr">
        <is>
          <t>Douglas, Jack D., compiler.</t>
        </is>
      </c>
      <c r="L623" t="inlineStr">
        <is>
          <t>Washington : University Press of America, 1970.</t>
        </is>
      </c>
      <c r="M623" t="inlineStr">
        <is>
          <t>1970</t>
        </is>
      </c>
      <c r="O623" t="inlineStr">
        <is>
          <t>eng</t>
        </is>
      </c>
      <c r="P623" t="inlineStr">
        <is>
          <t>dcu</t>
        </is>
      </c>
      <c r="R623" t="inlineStr">
        <is>
          <t xml:space="preserve">HM </t>
        </is>
      </c>
      <c r="S623" t="n">
        <v>31</v>
      </c>
      <c r="T623" t="n">
        <v>31</v>
      </c>
      <c r="U623" t="inlineStr">
        <is>
          <t>2006-09-26</t>
        </is>
      </c>
      <c r="V623" t="inlineStr">
        <is>
          <t>2006-09-26</t>
        </is>
      </c>
      <c r="W623" t="inlineStr">
        <is>
          <t>1990-04-30</t>
        </is>
      </c>
      <c r="X623" t="inlineStr">
        <is>
          <t>1990-04-30</t>
        </is>
      </c>
      <c r="Y623" t="n">
        <v>53</v>
      </c>
      <c r="Z623" t="n">
        <v>45</v>
      </c>
      <c r="AA623" t="n">
        <v>470</v>
      </c>
      <c r="AB623" t="n">
        <v>1</v>
      </c>
      <c r="AC623" t="n">
        <v>3</v>
      </c>
      <c r="AD623" t="n">
        <v>3</v>
      </c>
      <c r="AE623" t="n">
        <v>15</v>
      </c>
      <c r="AF623" t="n">
        <v>2</v>
      </c>
      <c r="AG623" t="n">
        <v>5</v>
      </c>
      <c r="AH623" t="n">
        <v>0</v>
      </c>
      <c r="AI623" t="n">
        <v>3</v>
      </c>
      <c r="AJ623" t="n">
        <v>2</v>
      </c>
      <c r="AK623" t="n">
        <v>9</v>
      </c>
      <c r="AL623" t="n">
        <v>0</v>
      </c>
      <c r="AM623" t="n">
        <v>2</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HYPERLINK("https://creighton-primo.hosted.exlibrisgroup.com/primo-explore/search?tab=default_tab&amp;search_scope=EVERYTHING&amp;vid=01CRU&amp;lang=en_US&amp;offset=0&amp;query=any,contains,991000181279702656","Catalog Record")</f>
        <v/>
      </c>
      <c r="AT623">
        <f>HYPERLINK("http://www.worldcat.org/oclc/9382750","WorldCat Record")</f>
        <v/>
      </c>
      <c r="AU623" t="inlineStr">
        <is>
          <t>1310628:eng</t>
        </is>
      </c>
      <c r="AV623" t="inlineStr">
        <is>
          <t>9382750</t>
        </is>
      </c>
      <c r="AW623" t="inlineStr">
        <is>
          <t>991000181279702656</t>
        </is>
      </c>
      <c r="AX623" t="inlineStr">
        <is>
          <t>991000181279702656</t>
        </is>
      </c>
      <c r="AY623" t="inlineStr">
        <is>
          <t>2265393770002656</t>
        </is>
      </c>
      <c r="AZ623" t="inlineStr">
        <is>
          <t>BOOK</t>
        </is>
      </c>
      <c r="BB623" t="inlineStr">
        <is>
          <t>9780819118196</t>
        </is>
      </c>
      <c r="BC623" t="inlineStr">
        <is>
          <t>32285000129121</t>
        </is>
      </c>
      <c r="BD623" t="inlineStr">
        <is>
          <t>893407008</t>
        </is>
      </c>
    </row>
    <row r="624">
      <c r="A624" t="inlineStr">
        <is>
          <t>No</t>
        </is>
      </c>
      <c r="B624" t="inlineStr">
        <is>
          <t>HM291 .E63 1990</t>
        </is>
      </c>
      <c r="C624" t="inlineStr">
        <is>
          <t>0                      HM 0291000E  63          1990</t>
        </is>
      </c>
      <c r="D624" t="inlineStr">
        <is>
          <t>Deviance and psychopathology : the sociology and psychology of outsiders / by Robert Endleman.</t>
        </is>
      </c>
      <c r="F624" t="inlineStr">
        <is>
          <t>No</t>
        </is>
      </c>
      <c r="G624" t="inlineStr">
        <is>
          <t>1</t>
        </is>
      </c>
      <c r="H624" t="inlineStr">
        <is>
          <t>No</t>
        </is>
      </c>
      <c r="I624" t="inlineStr">
        <is>
          <t>No</t>
        </is>
      </c>
      <c r="J624" t="inlineStr">
        <is>
          <t>0</t>
        </is>
      </c>
      <c r="K624" t="inlineStr">
        <is>
          <t>Endleman, Robert.</t>
        </is>
      </c>
      <c r="L624" t="inlineStr">
        <is>
          <t>Malabar, Fla. : R.E. Krieger Pub. Co., 1990.</t>
        </is>
      </c>
      <c r="M624" t="inlineStr">
        <is>
          <t>1990</t>
        </is>
      </c>
      <c r="N624" t="inlineStr">
        <is>
          <t>Original ed.</t>
        </is>
      </c>
      <c r="O624" t="inlineStr">
        <is>
          <t>eng</t>
        </is>
      </c>
      <c r="P624" t="inlineStr">
        <is>
          <t>flu</t>
        </is>
      </c>
      <c r="R624" t="inlineStr">
        <is>
          <t xml:space="preserve">HM </t>
        </is>
      </c>
      <c r="S624" t="n">
        <v>10</v>
      </c>
      <c r="T624" t="n">
        <v>10</v>
      </c>
      <c r="U624" t="inlineStr">
        <is>
          <t>2005-11-18</t>
        </is>
      </c>
      <c r="V624" t="inlineStr">
        <is>
          <t>2005-11-18</t>
        </is>
      </c>
      <c r="W624" t="inlineStr">
        <is>
          <t>1995-07-23</t>
        </is>
      </c>
      <c r="X624" t="inlineStr">
        <is>
          <t>1995-07-23</t>
        </is>
      </c>
      <c r="Y624" t="n">
        <v>334</v>
      </c>
      <c r="Z624" t="n">
        <v>276</v>
      </c>
      <c r="AA624" t="n">
        <v>283</v>
      </c>
      <c r="AB624" t="n">
        <v>3</v>
      </c>
      <c r="AC624" t="n">
        <v>3</v>
      </c>
      <c r="AD624" t="n">
        <v>15</v>
      </c>
      <c r="AE624" t="n">
        <v>15</v>
      </c>
      <c r="AF624" t="n">
        <v>6</v>
      </c>
      <c r="AG624" t="n">
        <v>6</v>
      </c>
      <c r="AH624" t="n">
        <v>3</v>
      </c>
      <c r="AI624" t="n">
        <v>3</v>
      </c>
      <c r="AJ624" t="n">
        <v>8</v>
      </c>
      <c r="AK624" t="n">
        <v>8</v>
      </c>
      <c r="AL624" t="n">
        <v>2</v>
      </c>
      <c r="AM624" t="n">
        <v>2</v>
      </c>
      <c r="AN624" t="n">
        <v>0</v>
      </c>
      <c r="AO624" t="n">
        <v>0</v>
      </c>
      <c r="AP624" t="inlineStr">
        <is>
          <t>No</t>
        </is>
      </c>
      <c r="AQ624" t="inlineStr">
        <is>
          <t>Yes</t>
        </is>
      </c>
      <c r="AR624">
        <f>HYPERLINK("http://catalog.hathitrust.org/Record/002237748","HathiTrust Record")</f>
        <v/>
      </c>
      <c r="AS624">
        <f>HYPERLINK("https://creighton-primo.hosted.exlibrisgroup.com/primo-explore/search?tab=default_tab&amp;search_scope=EVERYTHING&amp;vid=01CRU&amp;lang=en_US&amp;offset=0&amp;query=any,contains,991001364469702656","Catalog Record")</f>
        <v/>
      </c>
      <c r="AT624">
        <f>HYPERLINK("http://www.worldcat.org/oclc/18557377","WorldCat Record")</f>
        <v/>
      </c>
      <c r="AU624" t="inlineStr">
        <is>
          <t>422980461:eng</t>
        </is>
      </c>
      <c r="AV624" t="inlineStr">
        <is>
          <t>18557377</t>
        </is>
      </c>
      <c r="AW624" t="inlineStr">
        <is>
          <t>991001364469702656</t>
        </is>
      </c>
      <c r="AX624" t="inlineStr">
        <is>
          <t>991001364469702656</t>
        </is>
      </c>
      <c r="AY624" t="inlineStr">
        <is>
          <t>2264159770002656</t>
        </is>
      </c>
      <c r="AZ624" t="inlineStr">
        <is>
          <t>BOOK</t>
        </is>
      </c>
      <c r="BB624" t="inlineStr">
        <is>
          <t>9780894643446</t>
        </is>
      </c>
      <c r="BC624" t="inlineStr">
        <is>
          <t>32285002075827</t>
        </is>
      </c>
      <c r="BD624" t="inlineStr">
        <is>
          <t>893608791</t>
        </is>
      </c>
    </row>
    <row r="625">
      <c r="A625" t="inlineStr">
        <is>
          <t>No</t>
        </is>
      </c>
      <c r="B625" t="inlineStr">
        <is>
          <t>HM291 .E78 1988</t>
        </is>
      </c>
      <c r="C625" t="inlineStr">
        <is>
          <t>0                      HM 0291000E  78          1988</t>
        </is>
      </c>
      <c r="D625" t="inlineStr">
        <is>
          <t>Erving Goffman : exploring the interaction order / edited by Paul Drew and Anthony Wootton.</t>
        </is>
      </c>
      <c r="F625" t="inlineStr">
        <is>
          <t>No</t>
        </is>
      </c>
      <c r="G625" t="inlineStr">
        <is>
          <t>1</t>
        </is>
      </c>
      <c r="H625" t="inlineStr">
        <is>
          <t>No</t>
        </is>
      </c>
      <c r="I625" t="inlineStr">
        <is>
          <t>No</t>
        </is>
      </c>
      <c r="J625" t="inlineStr">
        <is>
          <t>0</t>
        </is>
      </c>
      <c r="L625" t="inlineStr">
        <is>
          <t>Boston : Northeastern University Press, 1988.</t>
        </is>
      </c>
      <c r="M625" t="inlineStr">
        <is>
          <t>1988</t>
        </is>
      </c>
      <c r="O625" t="inlineStr">
        <is>
          <t>eng</t>
        </is>
      </c>
      <c r="P625" t="inlineStr">
        <is>
          <t>mau</t>
        </is>
      </c>
      <c r="R625" t="inlineStr">
        <is>
          <t xml:space="preserve">HM </t>
        </is>
      </c>
      <c r="S625" t="n">
        <v>1</v>
      </c>
      <c r="T625" t="n">
        <v>1</v>
      </c>
      <c r="U625" t="inlineStr">
        <is>
          <t>2007-11-11</t>
        </is>
      </c>
      <c r="V625" t="inlineStr">
        <is>
          <t>2007-11-11</t>
        </is>
      </c>
      <c r="W625" t="inlineStr">
        <is>
          <t>1991-05-01</t>
        </is>
      </c>
      <c r="X625" t="inlineStr">
        <is>
          <t>1991-05-01</t>
        </is>
      </c>
      <c r="Y625" t="n">
        <v>388</v>
      </c>
      <c r="Z625" t="n">
        <v>338</v>
      </c>
      <c r="AA625" t="n">
        <v>380</v>
      </c>
      <c r="AB625" t="n">
        <v>4</v>
      </c>
      <c r="AC625" t="n">
        <v>5</v>
      </c>
      <c r="AD625" t="n">
        <v>20</v>
      </c>
      <c r="AE625" t="n">
        <v>21</v>
      </c>
      <c r="AF625" t="n">
        <v>10</v>
      </c>
      <c r="AG625" t="n">
        <v>10</v>
      </c>
      <c r="AH625" t="n">
        <v>4</v>
      </c>
      <c r="AI625" t="n">
        <v>4</v>
      </c>
      <c r="AJ625" t="n">
        <v>8</v>
      </c>
      <c r="AK625" t="n">
        <v>8</v>
      </c>
      <c r="AL625" t="n">
        <v>3</v>
      </c>
      <c r="AM625" t="n">
        <v>4</v>
      </c>
      <c r="AN625" t="n">
        <v>0</v>
      </c>
      <c r="AO625" t="n">
        <v>0</v>
      </c>
      <c r="AP625" t="inlineStr">
        <is>
          <t>No</t>
        </is>
      </c>
      <c r="AQ625" t="inlineStr">
        <is>
          <t>Yes</t>
        </is>
      </c>
      <c r="AR625">
        <f>HYPERLINK("http://catalog.hathitrust.org/Record/007106462","HathiTrust Record")</f>
        <v/>
      </c>
      <c r="AS625">
        <f>HYPERLINK("https://creighton-primo.hosted.exlibrisgroup.com/primo-explore/search?tab=default_tab&amp;search_scope=EVERYTHING&amp;vid=01CRU&amp;lang=en_US&amp;offset=0&amp;query=any,contains,991001227939702656","Catalog Record")</f>
        <v/>
      </c>
      <c r="AT625">
        <f>HYPERLINK("http://www.worldcat.org/oclc/17510202","WorldCat Record")</f>
        <v/>
      </c>
      <c r="AU625" t="inlineStr">
        <is>
          <t>836740944:eng</t>
        </is>
      </c>
      <c r="AV625" t="inlineStr">
        <is>
          <t>17510202</t>
        </is>
      </c>
      <c r="AW625" t="inlineStr">
        <is>
          <t>991001227939702656</t>
        </is>
      </c>
      <c r="AX625" t="inlineStr">
        <is>
          <t>991001227939702656</t>
        </is>
      </c>
      <c r="AY625" t="inlineStr">
        <is>
          <t>2257332300002656</t>
        </is>
      </c>
      <c r="AZ625" t="inlineStr">
        <is>
          <t>BOOK</t>
        </is>
      </c>
      <c r="BB625" t="inlineStr">
        <is>
          <t>9781555530372</t>
        </is>
      </c>
      <c r="BC625" t="inlineStr">
        <is>
          <t>32285000570761</t>
        </is>
      </c>
      <c r="BD625" t="inlineStr">
        <is>
          <t>893522401</t>
        </is>
      </c>
    </row>
    <row r="626">
      <c r="A626" t="inlineStr">
        <is>
          <t>No</t>
        </is>
      </c>
      <c r="B626" t="inlineStr">
        <is>
          <t>HM291 .G495</t>
        </is>
      </c>
      <c r="C626" t="inlineStr">
        <is>
          <t>0                      HM 0291000G  495</t>
        </is>
      </c>
      <c r="D626" t="inlineStr">
        <is>
          <t>Norms, deviance, and social control : conceptual matters / Jack P. Gibbs.</t>
        </is>
      </c>
      <c r="F626" t="inlineStr">
        <is>
          <t>No</t>
        </is>
      </c>
      <c r="G626" t="inlineStr">
        <is>
          <t>1</t>
        </is>
      </c>
      <c r="H626" t="inlineStr">
        <is>
          <t>No</t>
        </is>
      </c>
      <c r="I626" t="inlineStr">
        <is>
          <t>No</t>
        </is>
      </c>
      <c r="J626" t="inlineStr">
        <is>
          <t>0</t>
        </is>
      </c>
      <c r="K626" t="inlineStr">
        <is>
          <t>Gibbs, Jack P.</t>
        </is>
      </c>
      <c r="L626" t="inlineStr">
        <is>
          <t>New York : Elsevier North Holland, c1981.</t>
        </is>
      </c>
      <c r="M626" t="inlineStr">
        <is>
          <t>1981</t>
        </is>
      </c>
      <c r="O626" t="inlineStr">
        <is>
          <t>eng</t>
        </is>
      </c>
      <c r="P626" t="inlineStr">
        <is>
          <t>nyu</t>
        </is>
      </c>
      <c r="R626" t="inlineStr">
        <is>
          <t xml:space="preserve">HM </t>
        </is>
      </c>
      <c r="S626" t="n">
        <v>3</v>
      </c>
      <c r="T626" t="n">
        <v>3</v>
      </c>
      <c r="U626" t="inlineStr">
        <is>
          <t>2001-08-02</t>
        </is>
      </c>
      <c r="V626" t="inlineStr">
        <is>
          <t>2001-08-02</t>
        </is>
      </c>
      <c r="W626" t="inlineStr">
        <is>
          <t>1992-08-05</t>
        </is>
      </c>
      <c r="X626" t="inlineStr">
        <is>
          <t>1992-08-05</t>
        </is>
      </c>
      <c r="Y626" t="n">
        <v>461</v>
      </c>
      <c r="Z626" t="n">
        <v>346</v>
      </c>
      <c r="AA626" t="n">
        <v>348</v>
      </c>
      <c r="AB626" t="n">
        <v>3</v>
      </c>
      <c r="AC626" t="n">
        <v>3</v>
      </c>
      <c r="AD626" t="n">
        <v>11</v>
      </c>
      <c r="AE626" t="n">
        <v>11</v>
      </c>
      <c r="AF626" t="n">
        <v>3</v>
      </c>
      <c r="AG626" t="n">
        <v>3</v>
      </c>
      <c r="AH626" t="n">
        <v>2</v>
      </c>
      <c r="AI626" t="n">
        <v>2</v>
      </c>
      <c r="AJ626" t="n">
        <v>8</v>
      </c>
      <c r="AK626" t="n">
        <v>8</v>
      </c>
      <c r="AL626" t="n">
        <v>1</v>
      </c>
      <c r="AM626" t="n">
        <v>1</v>
      </c>
      <c r="AN626" t="n">
        <v>1</v>
      </c>
      <c r="AO626" t="n">
        <v>1</v>
      </c>
      <c r="AP626" t="inlineStr">
        <is>
          <t>No</t>
        </is>
      </c>
      <c r="AQ626" t="inlineStr">
        <is>
          <t>No</t>
        </is>
      </c>
      <c r="AS626">
        <f>HYPERLINK("https://creighton-primo.hosted.exlibrisgroup.com/primo-explore/search?tab=default_tab&amp;search_scope=EVERYTHING&amp;vid=01CRU&amp;lang=en_US&amp;offset=0&amp;query=any,contains,991005064359702656","Catalog Record")</f>
        <v/>
      </c>
      <c r="AT626">
        <f>HYPERLINK("http://www.worldcat.org/oclc/6943093","WorldCat Record")</f>
        <v/>
      </c>
      <c r="AU626" t="inlineStr">
        <is>
          <t>889449272:eng</t>
        </is>
      </c>
      <c r="AV626" t="inlineStr">
        <is>
          <t>6943093</t>
        </is>
      </c>
      <c r="AW626" t="inlineStr">
        <is>
          <t>991005064359702656</t>
        </is>
      </c>
      <c r="AX626" t="inlineStr">
        <is>
          <t>991005064359702656</t>
        </is>
      </c>
      <c r="AY626" t="inlineStr">
        <is>
          <t>2259699390002656</t>
        </is>
      </c>
      <c r="AZ626" t="inlineStr">
        <is>
          <t>BOOK</t>
        </is>
      </c>
      <c r="BB626" t="inlineStr">
        <is>
          <t>9780444015518</t>
        </is>
      </c>
      <c r="BC626" t="inlineStr">
        <is>
          <t>32285001241610</t>
        </is>
      </c>
      <c r="BD626" t="inlineStr">
        <is>
          <t>893606759</t>
        </is>
      </c>
    </row>
    <row r="627">
      <c r="A627" t="inlineStr">
        <is>
          <t>No</t>
        </is>
      </c>
      <c r="B627" t="inlineStr">
        <is>
          <t>HM291 .G685 1984</t>
        </is>
      </c>
      <c r="C627" t="inlineStr">
        <is>
          <t>0                      HM 0291000G  685         1984</t>
        </is>
      </c>
      <c r="D627" t="inlineStr">
        <is>
          <t>Groups in contact : the psychology of desegregation / edited by Norman Miller, Marilynn B. Brewer.</t>
        </is>
      </c>
      <c r="F627" t="inlineStr">
        <is>
          <t>No</t>
        </is>
      </c>
      <c r="G627" t="inlineStr">
        <is>
          <t>1</t>
        </is>
      </c>
      <c r="H627" t="inlineStr">
        <is>
          <t>No</t>
        </is>
      </c>
      <c r="I627" t="inlineStr">
        <is>
          <t>No</t>
        </is>
      </c>
      <c r="J627" t="inlineStr">
        <is>
          <t>0</t>
        </is>
      </c>
      <c r="L627" t="inlineStr">
        <is>
          <t>Orlando : Academic Press, 1984.</t>
        </is>
      </c>
      <c r="M627" t="inlineStr">
        <is>
          <t>1984</t>
        </is>
      </c>
      <c r="O627" t="inlineStr">
        <is>
          <t>eng</t>
        </is>
      </c>
      <c r="P627" t="inlineStr">
        <is>
          <t>flu</t>
        </is>
      </c>
      <c r="R627" t="inlineStr">
        <is>
          <t xml:space="preserve">HM </t>
        </is>
      </c>
      <c r="S627" t="n">
        <v>13</v>
      </c>
      <c r="T627" t="n">
        <v>13</v>
      </c>
      <c r="U627" t="inlineStr">
        <is>
          <t>2000-04-21</t>
        </is>
      </c>
      <c r="V627" t="inlineStr">
        <is>
          <t>2000-04-21</t>
        </is>
      </c>
      <c r="W627" t="inlineStr">
        <is>
          <t>1992-09-18</t>
        </is>
      </c>
      <c r="X627" t="inlineStr">
        <is>
          <t>1992-09-18</t>
        </is>
      </c>
      <c r="Y627" t="n">
        <v>624</v>
      </c>
      <c r="Z627" t="n">
        <v>522</v>
      </c>
      <c r="AA627" t="n">
        <v>553</v>
      </c>
      <c r="AB627" t="n">
        <v>3</v>
      </c>
      <c r="AC627" t="n">
        <v>3</v>
      </c>
      <c r="AD627" t="n">
        <v>22</v>
      </c>
      <c r="AE627" t="n">
        <v>24</v>
      </c>
      <c r="AF627" t="n">
        <v>10</v>
      </c>
      <c r="AG627" t="n">
        <v>11</v>
      </c>
      <c r="AH627" t="n">
        <v>5</v>
      </c>
      <c r="AI627" t="n">
        <v>7</v>
      </c>
      <c r="AJ627" t="n">
        <v>11</v>
      </c>
      <c r="AK627" t="n">
        <v>11</v>
      </c>
      <c r="AL627" t="n">
        <v>2</v>
      </c>
      <c r="AM627" t="n">
        <v>2</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HYPERLINK("https://creighton-primo.hosted.exlibrisgroup.com/primo-explore/search?tab=default_tab&amp;search_scope=EVERYTHING&amp;vid=01CRU&amp;lang=en_US&amp;offset=0&amp;query=any,contains,991000253119702656","Catalog Record")</f>
        <v/>
      </c>
      <c r="AT627">
        <f>HYPERLINK("http://www.worldcat.org/oclc/9761528","WorldCat Record")</f>
        <v/>
      </c>
      <c r="AU627" t="inlineStr">
        <is>
          <t>836625757:eng</t>
        </is>
      </c>
      <c r="AV627" t="inlineStr">
        <is>
          <t>9761528</t>
        </is>
      </c>
      <c r="AW627" t="inlineStr">
        <is>
          <t>991000253119702656</t>
        </is>
      </c>
      <c r="AX627" t="inlineStr">
        <is>
          <t>991000253119702656</t>
        </is>
      </c>
      <c r="AY627" t="inlineStr">
        <is>
          <t>2260134910002656</t>
        </is>
      </c>
      <c r="AZ627" t="inlineStr">
        <is>
          <t>BOOK</t>
        </is>
      </c>
      <c r="BB627" t="inlineStr">
        <is>
          <t>9780124977808</t>
        </is>
      </c>
      <c r="BC627" t="inlineStr">
        <is>
          <t>32285001268704</t>
        </is>
      </c>
      <c r="BD627" t="inlineStr">
        <is>
          <t>893877925</t>
        </is>
      </c>
    </row>
    <row r="628">
      <c r="A628" t="inlineStr">
        <is>
          <t>No</t>
        </is>
      </c>
      <c r="B628" t="inlineStr">
        <is>
          <t>HM291 .H64 1974</t>
        </is>
      </c>
      <c r="C628" t="inlineStr">
        <is>
          <t>0                      HM 0291000H  64          1974</t>
        </is>
      </c>
      <c r="D628" t="inlineStr">
        <is>
          <t>Social behavior : its elementary forms / under the general editorship of Robert K. Merton.</t>
        </is>
      </c>
      <c r="F628" t="inlineStr">
        <is>
          <t>No</t>
        </is>
      </c>
      <c r="G628" t="inlineStr">
        <is>
          <t>1</t>
        </is>
      </c>
      <c r="H628" t="inlineStr">
        <is>
          <t>No</t>
        </is>
      </c>
      <c r="I628" t="inlineStr">
        <is>
          <t>No</t>
        </is>
      </c>
      <c r="J628" t="inlineStr">
        <is>
          <t>0</t>
        </is>
      </c>
      <c r="K628" t="inlineStr">
        <is>
          <t>Homans, George Caspar, 1910-1989.</t>
        </is>
      </c>
      <c r="L628" t="inlineStr">
        <is>
          <t>New York : Harcourt, Brace, Jovanovich, [1974]</t>
        </is>
      </c>
      <c r="M628" t="inlineStr">
        <is>
          <t>1974</t>
        </is>
      </c>
      <c r="N628" t="inlineStr">
        <is>
          <t>Rev. ed.</t>
        </is>
      </c>
      <c r="O628" t="inlineStr">
        <is>
          <t>eng</t>
        </is>
      </c>
      <c r="P628" t="inlineStr">
        <is>
          <t>nyu</t>
        </is>
      </c>
      <c r="R628" t="inlineStr">
        <is>
          <t xml:space="preserve">HM </t>
        </is>
      </c>
      <c r="S628" t="n">
        <v>2</v>
      </c>
      <c r="T628" t="n">
        <v>2</v>
      </c>
      <c r="U628" t="inlineStr">
        <is>
          <t>2006-06-05</t>
        </is>
      </c>
      <c r="V628" t="inlineStr">
        <is>
          <t>2006-06-05</t>
        </is>
      </c>
      <c r="W628" t="inlineStr">
        <is>
          <t>1994-10-17</t>
        </is>
      </c>
      <c r="X628" t="inlineStr">
        <is>
          <t>1994-10-17</t>
        </is>
      </c>
      <c r="Y628" t="n">
        <v>548</v>
      </c>
      <c r="Z628" t="n">
        <v>430</v>
      </c>
      <c r="AA628" t="n">
        <v>1001</v>
      </c>
      <c r="AB628" t="n">
        <v>3</v>
      </c>
      <c r="AC628" t="n">
        <v>5</v>
      </c>
      <c r="AD628" t="n">
        <v>18</v>
      </c>
      <c r="AE628" t="n">
        <v>39</v>
      </c>
      <c r="AF628" t="n">
        <v>5</v>
      </c>
      <c r="AG628" t="n">
        <v>17</v>
      </c>
      <c r="AH628" t="n">
        <v>6</v>
      </c>
      <c r="AI628" t="n">
        <v>7</v>
      </c>
      <c r="AJ628" t="n">
        <v>10</v>
      </c>
      <c r="AK628" t="n">
        <v>21</v>
      </c>
      <c r="AL628" t="n">
        <v>1</v>
      </c>
      <c r="AM628" t="n">
        <v>3</v>
      </c>
      <c r="AN628" t="n">
        <v>1</v>
      </c>
      <c r="AO628" t="n">
        <v>1</v>
      </c>
      <c r="AP628" t="inlineStr">
        <is>
          <t>No</t>
        </is>
      </c>
      <c r="AQ628" t="inlineStr">
        <is>
          <t>Yes</t>
        </is>
      </c>
      <c r="AR628">
        <f>HYPERLINK("http://catalog.hathitrust.org/Record/004396813","HathiTrust Record")</f>
        <v/>
      </c>
      <c r="AS628">
        <f>HYPERLINK("https://creighton-primo.hosted.exlibrisgroup.com/primo-explore/search?tab=default_tab&amp;search_scope=EVERYTHING&amp;vid=01CRU&amp;lang=en_US&amp;offset=0&amp;query=any,contains,991004206449702656","Catalog Record")</f>
        <v/>
      </c>
      <c r="AT628">
        <f>HYPERLINK("http://www.worldcat.org/oclc/2668194","WorldCat Record")</f>
        <v/>
      </c>
      <c r="AU628" t="inlineStr">
        <is>
          <t>3205653:eng</t>
        </is>
      </c>
      <c r="AV628" t="inlineStr">
        <is>
          <t>2668194</t>
        </is>
      </c>
      <c r="AW628" t="inlineStr">
        <is>
          <t>991004206449702656</t>
        </is>
      </c>
      <c r="AX628" t="inlineStr">
        <is>
          <t>991004206449702656</t>
        </is>
      </c>
      <c r="AY628" t="inlineStr">
        <is>
          <t>2258793200002656</t>
        </is>
      </c>
      <c r="AZ628" t="inlineStr">
        <is>
          <t>BOOK</t>
        </is>
      </c>
      <c r="BB628" t="inlineStr">
        <is>
          <t>9780155814172</t>
        </is>
      </c>
      <c r="BC628" t="inlineStr">
        <is>
          <t>32285001961654</t>
        </is>
      </c>
      <c r="BD628" t="inlineStr">
        <is>
          <t>893806801</t>
        </is>
      </c>
    </row>
    <row r="629">
      <c r="A629" t="inlineStr">
        <is>
          <t>No</t>
        </is>
      </c>
      <c r="B629" t="inlineStr">
        <is>
          <t>HM291 .H67 1990</t>
        </is>
      </c>
      <c r="C629" t="inlineStr">
        <is>
          <t>0                      HM 0291000H  67          1990</t>
        </is>
      </c>
      <c r="D629" t="inlineStr">
        <is>
          <t>The logic of social control / Allan V. Horwitz.</t>
        </is>
      </c>
      <c r="F629" t="inlineStr">
        <is>
          <t>No</t>
        </is>
      </c>
      <c r="G629" t="inlineStr">
        <is>
          <t>1</t>
        </is>
      </c>
      <c r="H629" t="inlineStr">
        <is>
          <t>No</t>
        </is>
      </c>
      <c r="I629" t="inlineStr">
        <is>
          <t>No</t>
        </is>
      </c>
      <c r="J629" t="inlineStr">
        <is>
          <t>0</t>
        </is>
      </c>
      <c r="K629" t="inlineStr">
        <is>
          <t>Horwitz, Allan V.</t>
        </is>
      </c>
      <c r="L629" t="inlineStr">
        <is>
          <t>New York : Plenum Press, c1990.</t>
        </is>
      </c>
      <c r="M629" t="inlineStr">
        <is>
          <t>1990</t>
        </is>
      </c>
      <c r="O629" t="inlineStr">
        <is>
          <t>eng</t>
        </is>
      </c>
      <c r="P629" t="inlineStr">
        <is>
          <t>nyu</t>
        </is>
      </c>
      <c r="R629" t="inlineStr">
        <is>
          <t xml:space="preserve">HM </t>
        </is>
      </c>
      <c r="S629" t="n">
        <v>3</v>
      </c>
      <c r="T629" t="n">
        <v>3</v>
      </c>
      <c r="U629" t="inlineStr">
        <is>
          <t>1997-01-28</t>
        </is>
      </c>
      <c r="V629" t="inlineStr">
        <is>
          <t>1997-01-28</t>
        </is>
      </c>
      <c r="W629" t="inlineStr">
        <is>
          <t>1991-04-29</t>
        </is>
      </c>
      <c r="X629" t="inlineStr">
        <is>
          <t>1991-04-29</t>
        </is>
      </c>
      <c r="Y629" t="n">
        <v>443</v>
      </c>
      <c r="Z629" t="n">
        <v>321</v>
      </c>
      <c r="AA629" t="n">
        <v>342</v>
      </c>
      <c r="AB629" t="n">
        <v>3</v>
      </c>
      <c r="AC629" t="n">
        <v>3</v>
      </c>
      <c r="AD629" t="n">
        <v>17</v>
      </c>
      <c r="AE629" t="n">
        <v>19</v>
      </c>
      <c r="AF629" t="n">
        <v>4</v>
      </c>
      <c r="AG629" t="n">
        <v>6</v>
      </c>
      <c r="AH629" t="n">
        <v>5</v>
      </c>
      <c r="AI629" t="n">
        <v>5</v>
      </c>
      <c r="AJ629" t="n">
        <v>10</v>
      </c>
      <c r="AK629" t="n">
        <v>11</v>
      </c>
      <c r="AL629" t="n">
        <v>2</v>
      </c>
      <c r="AM629" t="n">
        <v>2</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HYPERLINK("https://creighton-primo.hosted.exlibrisgroup.com/primo-explore/search?tab=default_tab&amp;search_scope=EVERYTHING&amp;vid=01CRU&amp;lang=en_US&amp;offset=0&amp;query=any,contains,991001725209702656","Catalog Record")</f>
        <v/>
      </c>
      <c r="AT629">
        <f>HYPERLINK("http://www.worldcat.org/oclc/21875641","WorldCat Record")</f>
        <v/>
      </c>
      <c r="AU629" t="inlineStr">
        <is>
          <t>23275586:eng</t>
        </is>
      </c>
      <c r="AV629" t="inlineStr">
        <is>
          <t>21875641</t>
        </is>
      </c>
      <c r="AW629" t="inlineStr">
        <is>
          <t>991001725209702656</t>
        </is>
      </c>
      <c r="AX629" t="inlineStr">
        <is>
          <t>991001725209702656</t>
        </is>
      </c>
      <c r="AY629" t="inlineStr">
        <is>
          <t>2267399320002656</t>
        </is>
      </c>
      <c r="AZ629" t="inlineStr">
        <is>
          <t>BOOK</t>
        </is>
      </c>
      <c r="BB629" t="inlineStr">
        <is>
          <t>9780306434754</t>
        </is>
      </c>
      <c r="BC629" t="inlineStr">
        <is>
          <t>32285000569466</t>
        </is>
      </c>
      <c r="BD629" t="inlineStr">
        <is>
          <t>893250423</t>
        </is>
      </c>
    </row>
    <row r="630">
      <c r="A630" t="inlineStr">
        <is>
          <t>No</t>
        </is>
      </c>
      <c r="B630" t="inlineStr">
        <is>
          <t>HM291 .I8713</t>
        </is>
      </c>
      <c r="C630" t="inlineStr">
        <is>
          <t>0                      HM 0291000I  8713</t>
        </is>
      </c>
      <c r="D630" t="inlineStr">
        <is>
          <t>Alienation; from Marx to modern sociology; a macrosociological analysis. Consulting editor: Amitai Etzioni.</t>
        </is>
      </c>
      <c r="F630" t="inlineStr">
        <is>
          <t>No</t>
        </is>
      </c>
      <c r="G630" t="inlineStr">
        <is>
          <t>1</t>
        </is>
      </c>
      <c r="H630" t="inlineStr">
        <is>
          <t>No</t>
        </is>
      </c>
      <c r="I630" t="inlineStr">
        <is>
          <t>No</t>
        </is>
      </c>
      <c r="J630" t="inlineStr">
        <is>
          <t>0</t>
        </is>
      </c>
      <c r="K630" t="inlineStr">
        <is>
          <t>Israel, Joachim.</t>
        </is>
      </c>
      <c r="L630" t="inlineStr">
        <is>
          <t>Boston, Allyn and Bacon [1971]</t>
        </is>
      </c>
      <c r="M630" t="inlineStr">
        <is>
          <t>1971</t>
        </is>
      </c>
      <c r="O630" t="inlineStr">
        <is>
          <t>eng</t>
        </is>
      </c>
      <c r="P630" t="inlineStr">
        <is>
          <t>mau</t>
        </is>
      </c>
      <c r="R630" t="inlineStr">
        <is>
          <t xml:space="preserve">HM </t>
        </is>
      </c>
      <c r="S630" t="n">
        <v>3</v>
      </c>
      <c r="T630" t="n">
        <v>3</v>
      </c>
      <c r="U630" t="inlineStr">
        <is>
          <t>2005-11-30</t>
        </is>
      </c>
      <c r="V630" t="inlineStr">
        <is>
          <t>2005-11-30</t>
        </is>
      </c>
      <c r="W630" t="inlineStr">
        <is>
          <t>1997-08-04</t>
        </is>
      </c>
      <c r="X630" t="inlineStr">
        <is>
          <t>1997-08-04</t>
        </is>
      </c>
      <c r="Y630" t="n">
        <v>739</v>
      </c>
      <c r="Z630" t="n">
        <v>609</v>
      </c>
      <c r="AA630" t="n">
        <v>667</v>
      </c>
      <c r="AB630" t="n">
        <v>8</v>
      </c>
      <c r="AC630" t="n">
        <v>8</v>
      </c>
      <c r="AD630" t="n">
        <v>31</v>
      </c>
      <c r="AE630" t="n">
        <v>37</v>
      </c>
      <c r="AF630" t="n">
        <v>12</v>
      </c>
      <c r="AG630" t="n">
        <v>15</v>
      </c>
      <c r="AH630" t="n">
        <v>4</v>
      </c>
      <c r="AI630" t="n">
        <v>7</v>
      </c>
      <c r="AJ630" t="n">
        <v>14</v>
      </c>
      <c r="AK630" t="n">
        <v>18</v>
      </c>
      <c r="AL630" t="n">
        <v>7</v>
      </c>
      <c r="AM630" t="n">
        <v>7</v>
      </c>
      <c r="AN630" t="n">
        <v>0</v>
      </c>
      <c r="AO630" t="n">
        <v>0</v>
      </c>
      <c r="AP630" t="inlineStr">
        <is>
          <t>No</t>
        </is>
      </c>
      <c r="AQ630" t="inlineStr">
        <is>
          <t>Yes</t>
        </is>
      </c>
      <c r="AR630">
        <f>HYPERLINK("http://catalog.hathitrust.org/Record/001349573","HathiTrust Record")</f>
        <v/>
      </c>
      <c r="AS630">
        <f>HYPERLINK("https://creighton-primo.hosted.exlibrisgroup.com/primo-explore/search?tab=default_tab&amp;search_scope=EVERYTHING&amp;vid=01CRU&amp;lang=en_US&amp;offset=0&amp;query=any,contains,991000823369702656","Catalog Record")</f>
        <v/>
      </c>
      <c r="AT630">
        <f>HYPERLINK("http://www.worldcat.org/oclc/145789","WorldCat Record")</f>
        <v/>
      </c>
      <c r="AU630" t="inlineStr">
        <is>
          <t>1150996552:eng</t>
        </is>
      </c>
      <c r="AV630" t="inlineStr">
        <is>
          <t>145789</t>
        </is>
      </c>
      <c r="AW630" t="inlineStr">
        <is>
          <t>991000823369702656</t>
        </is>
      </c>
      <c r="AX630" t="inlineStr">
        <is>
          <t>991000823369702656</t>
        </is>
      </c>
      <c r="AY630" t="inlineStr">
        <is>
          <t>2258123410002656</t>
        </is>
      </c>
      <c r="AZ630" t="inlineStr">
        <is>
          <t>BOOK</t>
        </is>
      </c>
      <c r="BC630" t="inlineStr">
        <is>
          <t>32285003019998</t>
        </is>
      </c>
      <c r="BD630" t="inlineStr">
        <is>
          <t>893255772</t>
        </is>
      </c>
    </row>
    <row r="631">
      <c r="A631" t="inlineStr">
        <is>
          <t>No</t>
        </is>
      </c>
      <c r="B631" t="inlineStr">
        <is>
          <t>HM291 .L44 1997</t>
        </is>
      </c>
      <c r="C631" t="inlineStr">
        <is>
          <t>0                      HM 0291000L  44          1997</t>
        </is>
      </c>
      <c r="D631" t="inlineStr">
        <is>
          <t>A geography of time : the temporal misadventures of a social psychologist, or how every culture keeps time just a little bit differently / Robert Levine.</t>
        </is>
      </c>
      <c r="F631" t="inlineStr">
        <is>
          <t>No</t>
        </is>
      </c>
      <c r="G631" t="inlineStr">
        <is>
          <t>1</t>
        </is>
      </c>
      <c r="H631" t="inlineStr">
        <is>
          <t>Yes</t>
        </is>
      </c>
      <c r="I631" t="inlineStr">
        <is>
          <t>No</t>
        </is>
      </c>
      <c r="J631" t="inlineStr">
        <is>
          <t>0</t>
        </is>
      </c>
      <c r="K631" t="inlineStr">
        <is>
          <t>Levine, Robert, 1945-</t>
        </is>
      </c>
      <c r="L631" t="inlineStr">
        <is>
          <t>New York : BasicBooks, c1997.</t>
        </is>
      </c>
      <c r="M631" t="inlineStr">
        <is>
          <t>1997</t>
        </is>
      </c>
      <c r="N631" t="inlineStr">
        <is>
          <t>1st ed.</t>
        </is>
      </c>
      <c r="O631" t="inlineStr">
        <is>
          <t>eng</t>
        </is>
      </c>
      <c r="P631" t="inlineStr">
        <is>
          <t>nyu</t>
        </is>
      </c>
      <c r="R631" t="inlineStr">
        <is>
          <t xml:space="preserve">HM </t>
        </is>
      </c>
      <c r="S631" t="n">
        <v>8</v>
      </c>
      <c r="T631" t="n">
        <v>12</v>
      </c>
      <c r="U631" t="inlineStr">
        <is>
          <t>2010-09-10</t>
        </is>
      </c>
      <c r="V631" t="inlineStr">
        <is>
          <t>2010-09-10</t>
        </is>
      </c>
      <c r="W631" t="inlineStr">
        <is>
          <t>1997-09-23</t>
        </is>
      </c>
      <c r="X631" t="inlineStr">
        <is>
          <t>1998-09-03</t>
        </is>
      </c>
      <c r="Y631" t="n">
        <v>855</v>
      </c>
      <c r="Z631" t="n">
        <v>740</v>
      </c>
      <c r="AA631" t="n">
        <v>764</v>
      </c>
      <c r="AB631" t="n">
        <v>8</v>
      </c>
      <c r="AC631" t="n">
        <v>8</v>
      </c>
      <c r="AD631" t="n">
        <v>24</v>
      </c>
      <c r="AE631" t="n">
        <v>24</v>
      </c>
      <c r="AF631" t="n">
        <v>6</v>
      </c>
      <c r="AG631" t="n">
        <v>6</v>
      </c>
      <c r="AH631" t="n">
        <v>5</v>
      </c>
      <c r="AI631" t="n">
        <v>5</v>
      </c>
      <c r="AJ631" t="n">
        <v>11</v>
      </c>
      <c r="AK631" t="n">
        <v>11</v>
      </c>
      <c r="AL631" t="n">
        <v>5</v>
      </c>
      <c r="AM631" t="n">
        <v>5</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HYPERLINK("https://creighton-primo.hosted.exlibrisgroup.com/primo-explore/search?tab=default_tab&amp;search_scope=EVERYTHING&amp;vid=01CRU&amp;lang=en_US&amp;offset=0&amp;query=any,contains,991001806809702656","Catalog Record")</f>
        <v/>
      </c>
      <c r="AT631">
        <f>HYPERLINK("http://www.worldcat.org/oclc/36241695","WorldCat Record")</f>
        <v/>
      </c>
      <c r="AU631" t="inlineStr">
        <is>
          <t>3901318245:eng</t>
        </is>
      </c>
      <c r="AV631" t="inlineStr">
        <is>
          <t>36241695</t>
        </is>
      </c>
      <c r="AW631" t="inlineStr">
        <is>
          <t>991001806809702656</t>
        </is>
      </c>
      <c r="AX631" t="inlineStr">
        <is>
          <t>991001806809702656</t>
        </is>
      </c>
      <c r="AY631" t="inlineStr">
        <is>
          <t>2260970400002656</t>
        </is>
      </c>
      <c r="AZ631" t="inlineStr">
        <is>
          <t>BOOK</t>
        </is>
      </c>
      <c r="BB631" t="inlineStr">
        <is>
          <t>9780465028924</t>
        </is>
      </c>
      <c r="BC631" t="inlineStr">
        <is>
          <t>32285003250130</t>
        </is>
      </c>
      <c r="BD631" t="inlineStr">
        <is>
          <t>893340720</t>
        </is>
      </c>
    </row>
    <row r="632">
      <c r="A632" t="inlineStr">
        <is>
          <t>No</t>
        </is>
      </c>
      <c r="B632" t="inlineStr">
        <is>
          <t>HM291 .M35</t>
        </is>
      </c>
      <c r="C632" t="inlineStr">
        <is>
          <t>0                      HM 0291000M  35</t>
        </is>
      </c>
      <c r="D632" t="inlineStr">
        <is>
          <t>The mechanical bride: folklore of industrial man.</t>
        </is>
      </c>
      <c r="F632" t="inlineStr">
        <is>
          <t>No</t>
        </is>
      </c>
      <c r="G632" t="inlineStr">
        <is>
          <t>1</t>
        </is>
      </c>
      <c r="H632" t="inlineStr">
        <is>
          <t>No</t>
        </is>
      </c>
      <c r="I632" t="inlineStr">
        <is>
          <t>No</t>
        </is>
      </c>
      <c r="J632" t="inlineStr">
        <is>
          <t>0</t>
        </is>
      </c>
      <c r="K632" t="inlineStr">
        <is>
          <t>McLuhan, Marshall, 1911-1980.</t>
        </is>
      </c>
      <c r="L632" t="inlineStr">
        <is>
          <t>New York, Vanguard Press [1951]</t>
        </is>
      </c>
      <c r="M632" t="inlineStr">
        <is>
          <t>1951</t>
        </is>
      </c>
      <c r="O632" t="inlineStr">
        <is>
          <t>eng</t>
        </is>
      </c>
      <c r="P632" t="inlineStr">
        <is>
          <t>nyu</t>
        </is>
      </c>
      <c r="R632" t="inlineStr">
        <is>
          <t xml:space="preserve">HM </t>
        </is>
      </c>
      <c r="S632" t="n">
        <v>5</v>
      </c>
      <c r="T632" t="n">
        <v>5</v>
      </c>
      <c r="U632" t="inlineStr">
        <is>
          <t>2010-05-18</t>
        </is>
      </c>
      <c r="V632" t="inlineStr">
        <is>
          <t>2010-05-18</t>
        </is>
      </c>
      <c r="W632" t="inlineStr">
        <is>
          <t>1997-08-04</t>
        </is>
      </c>
      <c r="X632" t="inlineStr">
        <is>
          <t>1997-08-04</t>
        </is>
      </c>
      <c r="Y632" t="n">
        <v>728</v>
      </c>
      <c r="Z632" t="n">
        <v>635</v>
      </c>
      <c r="AA632" t="n">
        <v>1116</v>
      </c>
      <c r="AB632" t="n">
        <v>4</v>
      </c>
      <c r="AC632" t="n">
        <v>7</v>
      </c>
      <c r="AD632" t="n">
        <v>32</v>
      </c>
      <c r="AE632" t="n">
        <v>45</v>
      </c>
      <c r="AF632" t="n">
        <v>13</v>
      </c>
      <c r="AG632" t="n">
        <v>18</v>
      </c>
      <c r="AH632" t="n">
        <v>7</v>
      </c>
      <c r="AI632" t="n">
        <v>9</v>
      </c>
      <c r="AJ632" t="n">
        <v>20</v>
      </c>
      <c r="AK632" t="n">
        <v>25</v>
      </c>
      <c r="AL632" t="n">
        <v>2</v>
      </c>
      <c r="AM632" t="n">
        <v>5</v>
      </c>
      <c r="AN632" t="n">
        <v>0</v>
      </c>
      <c r="AO632" t="n">
        <v>0</v>
      </c>
      <c r="AP632" t="inlineStr">
        <is>
          <t>No</t>
        </is>
      </c>
      <c r="AQ632" t="inlineStr">
        <is>
          <t>No</t>
        </is>
      </c>
      <c r="AR632">
        <f>HYPERLINK("http://catalog.hathitrust.org/Record/000974182","HathiTrust Record")</f>
        <v/>
      </c>
      <c r="AS632">
        <f>HYPERLINK("https://creighton-primo.hosted.exlibrisgroup.com/primo-explore/search?tab=default_tab&amp;search_scope=EVERYTHING&amp;vid=01CRU&amp;lang=en_US&amp;offset=0&amp;query=any,contains,991003234219702656","Catalog Record")</f>
        <v/>
      </c>
      <c r="AT632">
        <f>HYPERLINK("http://www.worldcat.org/oclc/758525","WorldCat Record")</f>
        <v/>
      </c>
      <c r="AU632" t="inlineStr">
        <is>
          <t>433153244:eng</t>
        </is>
      </c>
      <c r="AV632" t="inlineStr">
        <is>
          <t>758525</t>
        </is>
      </c>
      <c r="AW632" t="inlineStr">
        <is>
          <t>991003234219702656</t>
        </is>
      </c>
      <c r="AX632" t="inlineStr">
        <is>
          <t>991003234219702656</t>
        </is>
      </c>
      <c r="AY632" t="inlineStr">
        <is>
          <t>2271869660002656</t>
        </is>
      </c>
      <c r="AZ632" t="inlineStr">
        <is>
          <t>BOOK</t>
        </is>
      </c>
      <c r="BC632" t="inlineStr">
        <is>
          <t>32285003040044</t>
        </is>
      </c>
      <c r="BD632" t="inlineStr">
        <is>
          <t>893592312</t>
        </is>
      </c>
    </row>
    <row r="633">
      <c r="A633" t="inlineStr">
        <is>
          <t>No</t>
        </is>
      </c>
      <c r="B633" t="inlineStr">
        <is>
          <t>HM291 .M365</t>
        </is>
      </c>
      <c r="C633" t="inlineStr">
        <is>
          <t>0                      HM 0291000M  365</t>
        </is>
      </c>
      <c r="D633" t="inlineStr">
        <is>
          <t>Man in isolation and confinement. Edited by John E. Rasmussen.</t>
        </is>
      </c>
      <c r="F633" t="inlineStr">
        <is>
          <t>No</t>
        </is>
      </c>
      <c r="G633" t="inlineStr">
        <is>
          <t>1</t>
        </is>
      </c>
      <c r="H633" t="inlineStr">
        <is>
          <t>No</t>
        </is>
      </c>
      <c r="I633" t="inlineStr">
        <is>
          <t>No</t>
        </is>
      </c>
      <c r="J633" t="inlineStr">
        <is>
          <t>0</t>
        </is>
      </c>
      <c r="L633" t="inlineStr">
        <is>
          <t>[Chicago] Aldine Pub. Co. [1973]</t>
        </is>
      </c>
      <c r="M633" t="inlineStr">
        <is>
          <t>1973</t>
        </is>
      </c>
      <c r="O633" t="inlineStr">
        <is>
          <t>eng</t>
        </is>
      </c>
      <c r="P633" t="inlineStr">
        <is>
          <t>ilu</t>
        </is>
      </c>
      <c r="Q633" t="inlineStr">
        <is>
          <t>Modern applications of psychology</t>
        </is>
      </c>
      <c r="R633" t="inlineStr">
        <is>
          <t xml:space="preserve">HM </t>
        </is>
      </c>
      <c r="S633" t="n">
        <v>1</v>
      </c>
      <c r="T633" t="n">
        <v>1</v>
      </c>
      <c r="U633" t="inlineStr">
        <is>
          <t>2002-11-13</t>
        </is>
      </c>
      <c r="V633" t="inlineStr">
        <is>
          <t>2002-11-13</t>
        </is>
      </c>
      <c r="W633" t="inlineStr">
        <is>
          <t>1997-08-04</t>
        </is>
      </c>
      <c r="X633" t="inlineStr">
        <is>
          <t>1997-08-04</t>
        </is>
      </c>
      <c r="Y633" t="n">
        <v>464</v>
      </c>
      <c r="Z633" t="n">
        <v>349</v>
      </c>
      <c r="AA633" t="n">
        <v>381</v>
      </c>
      <c r="AB633" t="n">
        <v>5</v>
      </c>
      <c r="AC633" t="n">
        <v>5</v>
      </c>
      <c r="AD633" t="n">
        <v>16</v>
      </c>
      <c r="AE633" t="n">
        <v>16</v>
      </c>
      <c r="AF633" t="n">
        <v>3</v>
      </c>
      <c r="AG633" t="n">
        <v>3</v>
      </c>
      <c r="AH633" t="n">
        <v>4</v>
      </c>
      <c r="AI633" t="n">
        <v>4</v>
      </c>
      <c r="AJ633" t="n">
        <v>8</v>
      </c>
      <c r="AK633" t="n">
        <v>8</v>
      </c>
      <c r="AL633" t="n">
        <v>4</v>
      </c>
      <c r="AM633" t="n">
        <v>4</v>
      </c>
      <c r="AN633" t="n">
        <v>0</v>
      </c>
      <c r="AO633" t="n">
        <v>0</v>
      </c>
      <c r="AP633" t="inlineStr">
        <is>
          <t>No</t>
        </is>
      </c>
      <c r="AQ633" t="inlineStr">
        <is>
          <t>Yes</t>
        </is>
      </c>
      <c r="AR633">
        <f>HYPERLINK("http://catalog.hathitrust.org/Record/001109521","HathiTrust Record")</f>
        <v/>
      </c>
      <c r="AS633">
        <f>HYPERLINK("https://creighton-primo.hosted.exlibrisgroup.com/primo-explore/search?tab=default_tab&amp;search_scope=EVERYTHING&amp;vid=01CRU&amp;lang=en_US&amp;offset=0&amp;query=any,contains,991003159509702656","Catalog Record")</f>
        <v/>
      </c>
      <c r="AT633">
        <f>HYPERLINK("http://www.worldcat.org/oclc/698469","WorldCat Record")</f>
        <v/>
      </c>
      <c r="AU633" t="inlineStr">
        <is>
          <t>1826417:eng</t>
        </is>
      </c>
      <c r="AV633" t="inlineStr">
        <is>
          <t>698469</t>
        </is>
      </c>
      <c r="AW633" t="inlineStr">
        <is>
          <t>991003159509702656</t>
        </is>
      </c>
      <c r="AX633" t="inlineStr">
        <is>
          <t>991003159509702656</t>
        </is>
      </c>
      <c r="AY633" t="inlineStr">
        <is>
          <t>2265088130002656</t>
        </is>
      </c>
      <c r="AZ633" t="inlineStr">
        <is>
          <t>BOOK</t>
        </is>
      </c>
      <c r="BB633" t="inlineStr">
        <is>
          <t>9780202250687</t>
        </is>
      </c>
      <c r="BC633" t="inlineStr">
        <is>
          <t>32285003040051</t>
        </is>
      </c>
      <c r="BD633" t="inlineStr">
        <is>
          <t>893239930</t>
        </is>
      </c>
    </row>
    <row r="634">
      <c r="A634" t="inlineStr">
        <is>
          <t>No</t>
        </is>
      </c>
      <c r="B634" t="inlineStr">
        <is>
          <t>HM291 .M37 1972</t>
        </is>
      </c>
      <c r="C634" t="inlineStr">
        <is>
          <t>0                      HM 0291000M  37          1972</t>
        </is>
      </c>
      <c r="D634" t="inlineStr">
        <is>
          <t>Symbolic interaction; a reader in social psychology [by] Jerome G. Manis [and] Bernard N. Meltzer.</t>
        </is>
      </c>
      <c r="F634" t="inlineStr">
        <is>
          <t>No</t>
        </is>
      </c>
      <c r="G634" t="inlineStr">
        <is>
          <t>1</t>
        </is>
      </c>
      <c r="H634" t="inlineStr">
        <is>
          <t>No</t>
        </is>
      </c>
      <c r="I634" t="inlineStr">
        <is>
          <t>Yes</t>
        </is>
      </c>
      <c r="J634" t="inlineStr">
        <is>
          <t>0</t>
        </is>
      </c>
      <c r="K634" t="inlineStr">
        <is>
          <t>Manis, Jerome G.</t>
        </is>
      </c>
      <c r="L634" t="inlineStr">
        <is>
          <t>Boston, Allyn and Bacon [1972]</t>
        </is>
      </c>
      <c r="M634" t="inlineStr">
        <is>
          <t>1972</t>
        </is>
      </c>
      <c r="N634" t="inlineStr">
        <is>
          <t>2d ed.</t>
        </is>
      </c>
      <c r="O634" t="inlineStr">
        <is>
          <t>eng</t>
        </is>
      </c>
      <c r="P634" t="inlineStr">
        <is>
          <t>mau</t>
        </is>
      </c>
      <c r="R634" t="inlineStr">
        <is>
          <t xml:space="preserve">HM </t>
        </is>
      </c>
      <c r="S634" t="n">
        <v>4</v>
      </c>
      <c r="T634" t="n">
        <v>4</v>
      </c>
      <c r="U634" t="inlineStr">
        <is>
          <t>2000-08-28</t>
        </is>
      </c>
      <c r="V634" t="inlineStr">
        <is>
          <t>2000-08-28</t>
        </is>
      </c>
      <c r="W634" t="inlineStr">
        <is>
          <t>1992-10-30</t>
        </is>
      </c>
      <c r="X634" t="inlineStr">
        <is>
          <t>1992-10-30</t>
        </is>
      </c>
      <c r="Y634" t="n">
        <v>507</v>
      </c>
      <c r="Z634" t="n">
        <v>379</v>
      </c>
      <c r="AA634" t="n">
        <v>731</v>
      </c>
      <c r="AB634" t="n">
        <v>5</v>
      </c>
      <c r="AC634" t="n">
        <v>9</v>
      </c>
      <c r="AD634" t="n">
        <v>16</v>
      </c>
      <c r="AE634" t="n">
        <v>31</v>
      </c>
      <c r="AF634" t="n">
        <v>5</v>
      </c>
      <c r="AG634" t="n">
        <v>11</v>
      </c>
      <c r="AH634" t="n">
        <v>4</v>
      </c>
      <c r="AI634" t="n">
        <v>5</v>
      </c>
      <c r="AJ634" t="n">
        <v>8</v>
      </c>
      <c r="AK634" t="n">
        <v>14</v>
      </c>
      <c r="AL634" t="n">
        <v>3</v>
      </c>
      <c r="AM634" t="n">
        <v>7</v>
      </c>
      <c r="AN634" t="n">
        <v>0</v>
      </c>
      <c r="AO634" t="n">
        <v>0</v>
      </c>
      <c r="AP634" t="inlineStr">
        <is>
          <t>No</t>
        </is>
      </c>
      <c r="AQ634" t="inlineStr">
        <is>
          <t>Yes</t>
        </is>
      </c>
      <c r="AR634">
        <f>HYPERLINK("http://catalog.hathitrust.org/Record/000974183","HathiTrust Record")</f>
        <v/>
      </c>
      <c r="AS634">
        <f>HYPERLINK("https://creighton-primo.hosted.exlibrisgroup.com/primo-explore/search?tab=default_tab&amp;search_scope=EVERYTHING&amp;vid=01CRU&amp;lang=en_US&amp;offset=0&amp;query=any,contains,991005354679702656","Catalog Record")</f>
        <v/>
      </c>
      <c r="AT634">
        <f>HYPERLINK("http://www.worldcat.org/oclc/340974","WorldCat Record")</f>
        <v/>
      </c>
      <c r="AU634" t="inlineStr">
        <is>
          <t>1476487:eng</t>
        </is>
      </c>
      <c r="AV634" t="inlineStr">
        <is>
          <t>340974</t>
        </is>
      </c>
      <c r="AW634" t="inlineStr">
        <is>
          <t>991005354679702656</t>
        </is>
      </c>
      <c r="AX634" t="inlineStr">
        <is>
          <t>991005354679702656</t>
        </is>
      </c>
      <c r="AY634" t="inlineStr">
        <is>
          <t>2263058410002656</t>
        </is>
      </c>
      <c r="AZ634" t="inlineStr">
        <is>
          <t>BOOK</t>
        </is>
      </c>
      <c r="BC634" t="inlineStr">
        <is>
          <t>32285001387504</t>
        </is>
      </c>
      <c r="BD634" t="inlineStr">
        <is>
          <t>893802165</t>
        </is>
      </c>
    </row>
    <row r="635">
      <c r="A635" t="inlineStr">
        <is>
          <t>No</t>
        </is>
      </c>
      <c r="B635" t="inlineStr">
        <is>
          <t>HM291 .M37 1978</t>
        </is>
      </c>
      <c r="C635" t="inlineStr">
        <is>
          <t>0                      HM 0291000M  37          1978</t>
        </is>
      </c>
      <c r="D635" t="inlineStr">
        <is>
          <t>Symbolic interaction : a reader in social psychology / Jerome G. Manis, Bernard N. Meltzer.</t>
        </is>
      </c>
      <c r="F635" t="inlineStr">
        <is>
          <t>No</t>
        </is>
      </c>
      <c r="G635" t="inlineStr">
        <is>
          <t>1</t>
        </is>
      </c>
      <c r="H635" t="inlineStr">
        <is>
          <t>No</t>
        </is>
      </c>
      <c r="I635" t="inlineStr">
        <is>
          <t>Yes</t>
        </is>
      </c>
      <c r="J635" t="inlineStr">
        <is>
          <t>0</t>
        </is>
      </c>
      <c r="K635" t="inlineStr">
        <is>
          <t>Manis, Jerome G.</t>
        </is>
      </c>
      <c r="L635" t="inlineStr">
        <is>
          <t>Boston : Allyn and Bacon, c1978.</t>
        </is>
      </c>
      <c r="M635" t="inlineStr">
        <is>
          <t>1978</t>
        </is>
      </c>
      <c r="N635" t="inlineStr">
        <is>
          <t>3d ed.</t>
        </is>
      </c>
      <c r="O635" t="inlineStr">
        <is>
          <t>eng</t>
        </is>
      </c>
      <c r="P635" t="inlineStr">
        <is>
          <t>mau</t>
        </is>
      </c>
      <c r="R635" t="inlineStr">
        <is>
          <t xml:space="preserve">HM </t>
        </is>
      </c>
      <c r="S635" t="n">
        <v>7</v>
      </c>
      <c r="T635" t="n">
        <v>7</v>
      </c>
      <c r="U635" t="inlineStr">
        <is>
          <t>2000-08-28</t>
        </is>
      </c>
      <c r="V635" t="inlineStr">
        <is>
          <t>2000-08-28</t>
        </is>
      </c>
      <c r="W635" t="inlineStr">
        <is>
          <t>1992-09-18</t>
        </is>
      </c>
      <c r="X635" t="inlineStr">
        <is>
          <t>1992-09-18</t>
        </is>
      </c>
      <c r="Y635" t="n">
        <v>275</v>
      </c>
      <c r="Z635" t="n">
        <v>194</v>
      </c>
      <c r="AA635" t="n">
        <v>731</v>
      </c>
      <c r="AB635" t="n">
        <v>4</v>
      </c>
      <c r="AC635" t="n">
        <v>9</v>
      </c>
      <c r="AD635" t="n">
        <v>9</v>
      </c>
      <c r="AE635" t="n">
        <v>31</v>
      </c>
      <c r="AF635" t="n">
        <v>1</v>
      </c>
      <c r="AG635" t="n">
        <v>11</v>
      </c>
      <c r="AH635" t="n">
        <v>1</v>
      </c>
      <c r="AI635" t="n">
        <v>5</v>
      </c>
      <c r="AJ635" t="n">
        <v>4</v>
      </c>
      <c r="AK635" t="n">
        <v>14</v>
      </c>
      <c r="AL635" t="n">
        <v>3</v>
      </c>
      <c r="AM635" t="n">
        <v>7</v>
      </c>
      <c r="AN635" t="n">
        <v>0</v>
      </c>
      <c r="AO635" t="n">
        <v>0</v>
      </c>
      <c r="AP635" t="inlineStr">
        <is>
          <t>No</t>
        </is>
      </c>
      <c r="AQ635" t="inlineStr">
        <is>
          <t>Yes</t>
        </is>
      </c>
      <c r="AR635">
        <f>HYPERLINK("http://catalog.hathitrust.org/Record/000736493","HathiTrust Record")</f>
        <v/>
      </c>
      <c r="AS635">
        <f>HYPERLINK("https://creighton-primo.hosted.exlibrisgroup.com/primo-explore/search?tab=default_tab&amp;search_scope=EVERYTHING&amp;vid=01CRU&amp;lang=en_US&amp;offset=0&amp;query=any,contains,991005371169702656","Catalog Record")</f>
        <v/>
      </c>
      <c r="AT635">
        <f>HYPERLINK("http://www.worldcat.org/oclc/3481681","WorldCat Record")</f>
        <v/>
      </c>
      <c r="AU635" t="inlineStr">
        <is>
          <t>1476487:eng</t>
        </is>
      </c>
      <c r="AV635" t="inlineStr">
        <is>
          <t>3481681</t>
        </is>
      </c>
      <c r="AW635" t="inlineStr">
        <is>
          <t>991005371169702656</t>
        </is>
      </c>
      <c r="AX635" t="inlineStr">
        <is>
          <t>991005371169702656</t>
        </is>
      </c>
      <c r="AY635" t="inlineStr">
        <is>
          <t>2264289590002656</t>
        </is>
      </c>
      <c r="AZ635" t="inlineStr">
        <is>
          <t>BOOK</t>
        </is>
      </c>
      <c r="BB635" t="inlineStr">
        <is>
          <t>9780205060627</t>
        </is>
      </c>
      <c r="BC635" t="inlineStr">
        <is>
          <t>32285001268761</t>
        </is>
      </c>
      <c r="BD635" t="inlineStr">
        <is>
          <t>893701480</t>
        </is>
      </c>
    </row>
    <row r="636">
      <c r="A636" t="inlineStr">
        <is>
          <t>No</t>
        </is>
      </c>
      <c r="B636" t="inlineStr">
        <is>
          <t>HM291 .M393</t>
        </is>
      </c>
      <c r="C636" t="inlineStr">
        <is>
          <t>0                      HM 0291000M  393</t>
        </is>
      </c>
      <c r="D636" t="inlineStr">
        <is>
          <t>Power and innocence; a search for the sources of violence.</t>
        </is>
      </c>
      <c r="F636" t="inlineStr">
        <is>
          <t>No</t>
        </is>
      </c>
      <c r="G636" t="inlineStr">
        <is>
          <t>1</t>
        </is>
      </c>
      <c r="H636" t="inlineStr">
        <is>
          <t>No</t>
        </is>
      </c>
      <c r="I636" t="inlineStr">
        <is>
          <t>No</t>
        </is>
      </c>
      <c r="J636" t="inlineStr">
        <is>
          <t>0</t>
        </is>
      </c>
      <c r="K636" t="inlineStr">
        <is>
          <t>May, Rollo.</t>
        </is>
      </c>
      <c r="L636" t="inlineStr">
        <is>
          <t>New York, Norton [1972]</t>
        </is>
      </c>
      <c r="M636" t="inlineStr">
        <is>
          <t>1972</t>
        </is>
      </c>
      <c r="N636" t="inlineStr">
        <is>
          <t>[1st ed.]</t>
        </is>
      </c>
      <c r="O636" t="inlineStr">
        <is>
          <t>eng</t>
        </is>
      </c>
      <c r="P636" t="inlineStr">
        <is>
          <t>nyu</t>
        </is>
      </c>
      <c r="R636" t="inlineStr">
        <is>
          <t xml:space="preserve">HM </t>
        </is>
      </c>
      <c r="S636" t="n">
        <v>5</v>
      </c>
      <c r="T636" t="n">
        <v>5</v>
      </c>
      <c r="U636" t="inlineStr">
        <is>
          <t>2008-04-21</t>
        </is>
      </c>
      <c r="V636" t="inlineStr">
        <is>
          <t>2008-04-21</t>
        </is>
      </c>
      <c r="W636" t="inlineStr">
        <is>
          <t>1997-08-04</t>
        </is>
      </c>
      <c r="X636" t="inlineStr">
        <is>
          <t>1997-08-04</t>
        </is>
      </c>
      <c r="Y636" t="n">
        <v>1769</v>
      </c>
      <c r="Z636" t="n">
        <v>1629</v>
      </c>
      <c r="AA636" t="n">
        <v>1793</v>
      </c>
      <c r="AB636" t="n">
        <v>12</v>
      </c>
      <c r="AC636" t="n">
        <v>13</v>
      </c>
      <c r="AD636" t="n">
        <v>49</v>
      </c>
      <c r="AE636" t="n">
        <v>52</v>
      </c>
      <c r="AF636" t="n">
        <v>21</v>
      </c>
      <c r="AG636" t="n">
        <v>23</v>
      </c>
      <c r="AH636" t="n">
        <v>9</v>
      </c>
      <c r="AI636" t="n">
        <v>9</v>
      </c>
      <c r="AJ636" t="n">
        <v>21</v>
      </c>
      <c r="AK636" t="n">
        <v>23</v>
      </c>
      <c r="AL636" t="n">
        <v>7</v>
      </c>
      <c r="AM636" t="n">
        <v>8</v>
      </c>
      <c r="AN636" t="n">
        <v>2</v>
      </c>
      <c r="AO636" t="n">
        <v>2</v>
      </c>
      <c r="AP636" t="inlineStr">
        <is>
          <t>No</t>
        </is>
      </c>
      <c r="AQ636" t="inlineStr">
        <is>
          <t>No</t>
        </is>
      </c>
      <c r="AS636">
        <f>HYPERLINK("https://creighton-primo.hosted.exlibrisgroup.com/primo-explore/search?tab=default_tab&amp;search_scope=EVERYTHING&amp;vid=01CRU&amp;lang=en_US&amp;offset=0&amp;query=any,contains,991002455629702656","Catalog Record")</f>
        <v/>
      </c>
      <c r="AT636">
        <f>HYPERLINK("http://www.worldcat.org/oclc/354215","WorldCat Record")</f>
        <v/>
      </c>
      <c r="AU636" t="inlineStr">
        <is>
          <t>459653:eng</t>
        </is>
      </c>
      <c r="AV636" t="inlineStr">
        <is>
          <t>354215</t>
        </is>
      </c>
      <c r="AW636" t="inlineStr">
        <is>
          <t>991002455629702656</t>
        </is>
      </c>
      <c r="AX636" t="inlineStr">
        <is>
          <t>991002455629702656</t>
        </is>
      </c>
      <c r="AY636" t="inlineStr">
        <is>
          <t>2266296290002656</t>
        </is>
      </c>
      <c r="AZ636" t="inlineStr">
        <is>
          <t>BOOK</t>
        </is>
      </c>
      <c r="BB636" t="inlineStr">
        <is>
          <t>9780393010657</t>
        </is>
      </c>
      <c r="BC636" t="inlineStr">
        <is>
          <t>32285003040069</t>
        </is>
      </c>
      <c r="BD636" t="inlineStr">
        <is>
          <t>893239071</t>
        </is>
      </c>
    </row>
    <row r="637">
      <c r="A637" t="inlineStr">
        <is>
          <t>No</t>
        </is>
      </c>
      <c r="B637" t="inlineStr">
        <is>
          <t>HM291 .M3945 1986</t>
        </is>
      </c>
      <c r="C637" t="inlineStr">
        <is>
          <t>0                      HM 0291000M  3945        1986</t>
        </is>
      </c>
      <c r="D637" t="inlineStr">
        <is>
          <t>Time and human interaction : toward a social psychology of time / Joseph E. McGrath, Janice R. Kelly.</t>
        </is>
      </c>
      <c r="F637" t="inlineStr">
        <is>
          <t>No</t>
        </is>
      </c>
      <c r="G637" t="inlineStr">
        <is>
          <t>1</t>
        </is>
      </c>
      <c r="H637" t="inlineStr">
        <is>
          <t>No</t>
        </is>
      </c>
      <c r="I637" t="inlineStr">
        <is>
          <t>No</t>
        </is>
      </c>
      <c r="J637" t="inlineStr">
        <is>
          <t>0</t>
        </is>
      </c>
      <c r="K637" t="inlineStr">
        <is>
          <t>McGrath, Joseph Edward, 1927-</t>
        </is>
      </c>
      <c r="L637" t="inlineStr">
        <is>
          <t>New York : Guilford Press, 1986.</t>
        </is>
      </c>
      <c r="M637" t="inlineStr">
        <is>
          <t>1986</t>
        </is>
      </c>
      <c r="O637" t="inlineStr">
        <is>
          <t>eng</t>
        </is>
      </c>
      <c r="P637" t="inlineStr">
        <is>
          <t>nyu</t>
        </is>
      </c>
      <c r="R637" t="inlineStr">
        <is>
          <t xml:space="preserve">HM </t>
        </is>
      </c>
      <c r="S637" t="n">
        <v>5</v>
      </c>
      <c r="T637" t="n">
        <v>5</v>
      </c>
      <c r="U637" t="inlineStr">
        <is>
          <t>1996-11-08</t>
        </is>
      </c>
      <c r="V637" t="inlineStr">
        <is>
          <t>1996-11-08</t>
        </is>
      </c>
      <c r="W637" t="inlineStr">
        <is>
          <t>1992-09-18</t>
        </is>
      </c>
      <c r="X637" t="inlineStr">
        <is>
          <t>1992-09-18</t>
        </is>
      </c>
      <c r="Y637" t="n">
        <v>482</v>
      </c>
      <c r="Z637" t="n">
        <v>401</v>
      </c>
      <c r="AA637" t="n">
        <v>402</v>
      </c>
      <c r="AB637" t="n">
        <v>4</v>
      </c>
      <c r="AC637" t="n">
        <v>4</v>
      </c>
      <c r="AD637" t="n">
        <v>22</v>
      </c>
      <c r="AE637" t="n">
        <v>22</v>
      </c>
      <c r="AF637" t="n">
        <v>8</v>
      </c>
      <c r="AG637" t="n">
        <v>8</v>
      </c>
      <c r="AH637" t="n">
        <v>6</v>
      </c>
      <c r="AI637" t="n">
        <v>6</v>
      </c>
      <c r="AJ637" t="n">
        <v>13</v>
      </c>
      <c r="AK637" t="n">
        <v>13</v>
      </c>
      <c r="AL637" t="n">
        <v>3</v>
      </c>
      <c r="AM637" t="n">
        <v>3</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HYPERLINK("https://creighton-primo.hosted.exlibrisgroup.com/primo-explore/search?tab=default_tab&amp;search_scope=EVERYTHING&amp;vid=01CRU&amp;lang=en_US&amp;offset=0&amp;query=any,contains,991000790489702656","Catalog Record")</f>
        <v/>
      </c>
      <c r="AT637">
        <f>HYPERLINK("http://www.worldcat.org/oclc/13156711","WorldCat Record")</f>
        <v/>
      </c>
      <c r="AU637" t="inlineStr">
        <is>
          <t>889935813:eng</t>
        </is>
      </c>
      <c r="AV637" t="inlineStr">
        <is>
          <t>13156711</t>
        </is>
      </c>
      <c r="AW637" t="inlineStr">
        <is>
          <t>991000790489702656</t>
        </is>
      </c>
      <c r="AX637" t="inlineStr">
        <is>
          <t>991000790489702656</t>
        </is>
      </c>
      <c r="AY637" t="inlineStr">
        <is>
          <t>2266302340002656</t>
        </is>
      </c>
      <c r="AZ637" t="inlineStr">
        <is>
          <t>BOOK</t>
        </is>
      </c>
      <c r="BB637" t="inlineStr">
        <is>
          <t>9780898621112</t>
        </is>
      </c>
      <c r="BC637" t="inlineStr">
        <is>
          <t>32285001268779</t>
        </is>
      </c>
      <c r="BD637" t="inlineStr">
        <is>
          <t>893515615</t>
        </is>
      </c>
    </row>
    <row r="638">
      <c r="A638" t="inlineStr">
        <is>
          <t>No</t>
        </is>
      </c>
      <c r="B638" t="inlineStr">
        <is>
          <t>HM291 .M3946 1994</t>
        </is>
      </c>
      <c r="C638" t="inlineStr">
        <is>
          <t>0                      HM 0291000M  3946        1994</t>
        </is>
      </c>
      <c r="D638" t="inlineStr">
        <is>
          <t>The rhetoric of racism / Mark Lawrence McPhail.</t>
        </is>
      </c>
      <c r="F638" t="inlineStr">
        <is>
          <t>No</t>
        </is>
      </c>
      <c r="G638" t="inlineStr">
        <is>
          <t>1</t>
        </is>
      </c>
      <c r="H638" t="inlineStr">
        <is>
          <t>No</t>
        </is>
      </c>
      <c r="I638" t="inlineStr">
        <is>
          <t>No</t>
        </is>
      </c>
      <c r="J638" t="inlineStr">
        <is>
          <t>0</t>
        </is>
      </c>
      <c r="K638" t="inlineStr">
        <is>
          <t>McPhail, Mark Lawrence.</t>
        </is>
      </c>
      <c r="L638" t="inlineStr">
        <is>
          <t>Lanham, Md. : University Press of America, c1994.</t>
        </is>
      </c>
      <c r="M638" t="inlineStr">
        <is>
          <t>1994</t>
        </is>
      </c>
      <c r="O638" t="inlineStr">
        <is>
          <t>eng</t>
        </is>
      </c>
      <c r="P638" t="inlineStr">
        <is>
          <t>mdu</t>
        </is>
      </c>
      <c r="R638" t="inlineStr">
        <is>
          <t xml:space="preserve">HM </t>
        </is>
      </c>
      <c r="S638" t="n">
        <v>4</v>
      </c>
      <c r="T638" t="n">
        <v>4</v>
      </c>
      <c r="U638" t="inlineStr">
        <is>
          <t>2000-02-13</t>
        </is>
      </c>
      <c r="V638" t="inlineStr">
        <is>
          <t>2000-02-13</t>
        </is>
      </c>
      <c r="W638" t="inlineStr">
        <is>
          <t>1994-09-07</t>
        </is>
      </c>
      <c r="X638" t="inlineStr">
        <is>
          <t>1994-09-07</t>
        </is>
      </c>
      <c r="Y638" t="n">
        <v>295</v>
      </c>
      <c r="Z638" t="n">
        <v>261</v>
      </c>
      <c r="AA638" t="n">
        <v>271</v>
      </c>
      <c r="AB638" t="n">
        <v>6</v>
      </c>
      <c r="AC638" t="n">
        <v>6</v>
      </c>
      <c r="AD638" t="n">
        <v>27</v>
      </c>
      <c r="AE638" t="n">
        <v>27</v>
      </c>
      <c r="AF638" t="n">
        <v>10</v>
      </c>
      <c r="AG638" t="n">
        <v>10</v>
      </c>
      <c r="AH638" t="n">
        <v>2</v>
      </c>
      <c r="AI638" t="n">
        <v>2</v>
      </c>
      <c r="AJ638" t="n">
        <v>7</v>
      </c>
      <c r="AK638" t="n">
        <v>7</v>
      </c>
      <c r="AL638" t="n">
        <v>5</v>
      </c>
      <c r="AM638" t="n">
        <v>5</v>
      </c>
      <c r="AN638" t="n">
        <v>6</v>
      </c>
      <c r="AO638" t="n">
        <v>6</v>
      </c>
      <c r="AP638" t="inlineStr">
        <is>
          <t>No</t>
        </is>
      </c>
      <c r="AQ638" t="inlineStr">
        <is>
          <t>Yes</t>
        </is>
      </c>
      <c r="AR638">
        <f>HYPERLINK("http://catalog.hathitrust.org/Record/002790010","HathiTrust Record")</f>
        <v/>
      </c>
      <c r="AS638">
        <f>HYPERLINK("https://creighton-primo.hosted.exlibrisgroup.com/primo-explore/search?tab=default_tab&amp;search_scope=EVERYTHING&amp;vid=01CRU&amp;lang=en_US&amp;offset=0&amp;query=any,contains,991002187379702656","Catalog Record")</f>
        <v/>
      </c>
      <c r="AT638">
        <f>HYPERLINK("http://www.worldcat.org/oclc/28150413","WorldCat Record")</f>
        <v/>
      </c>
      <c r="AU638" t="inlineStr">
        <is>
          <t>30220431:eng</t>
        </is>
      </c>
      <c r="AV638" t="inlineStr">
        <is>
          <t>28150413</t>
        </is>
      </c>
      <c r="AW638" t="inlineStr">
        <is>
          <t>991002187379702656</t>
        </is>
      </c>
      <c r="AX638" t="inlineStr">
        <is>
          <t>991002187379702656</t>
        </is>
      </c>
      <c r="AY638" t="inlineStr">
        <is>
          <t>2260898620002656</t>
        </is>
      </c>
      <c r="AZ638" t="inlineStr">
        <is>
          <t>BOOK</t>
        </is>
      </c>
      <c r="BB638" t="inlineStr">
        <is>
          <t>9780819191809</t>
        </is>
      </c>
      <c r="BC638" t="inlineStr">
        <is>
          <t>32285001945178</t>
        </is>
      </c>
      <c r="BD638" t="inlineStr">
        <is>
          <t>893879594</t>
        </is>
      </c>
    </row>
    <row r="639">
      <c r="A639" t="inlineStr">
        <is>
          <t>No</t>
        </is>
      </c>
      <c r="B639" t="inlineStr">
        <is>
          <t>HM291 .N49</t>
        </is>
      </c>
      <c r="C639" t="inlineStr">
        <is>
          <t>0                      HM 0291000N  49</t>
        </is>
      </c>
      <c r="D639" t="inlineStr">
        <is>
          <t>Understanding violence / Graeme Newman.</t>
        </is>
      </c>
      <c r="F639" t="inlineStr">
        <is>
          <t>No</t>
        </is>
      </c>
      <c r="G639" t="inlineStr">
        <is>
          <t>1</t>
        </is>
      </c>
      <c r="H639" t="inlineStr">
        <is>
          <t>No</t>
        </is>
      </c>
      <c r="I639" t="inlineStr">
        <is>
          <t>No</t>
        </is>
      </c>
      <c r="J639" t="inlineStr">
        <is>
          <t>0</t>
        </is>
      </c>
      <c r="K639" t="inlineStr">
        <is>
          <t>Newman, Graeme R.</t>
        </is>
      </c>
      <c r="L639" t="inlineStr">
        <is>
          <t>New York : Harper &amp; Row, c1979.</t>
        </is>
      </c>
      <c r="M639" t="inlineStr">
        <is>
          <t>1979</t>
        </is>
      </c>
      <c r="O639" t="inlineStr">
        <is>
          <t>eng</t>
        </is>
      </c>
      <c r="P639" t="inlineStr">
        <is>
          <t>nyu</t>
        </is>
      </c>
      <c r="R639" t="inlineStr">
        <is>
          <t xml:space="preserve">HM </t>
        </is>
      </c>
      <c r="S639" t="n">
        <v>7</v>
      </c>
      <c r="T639" t="n">
        <v>7</v>
      </c>
      <c r="U639" t="inlineStr">
        <is>
          <t>2002-02-03</t>
        </is>
      </c>
      <c r="V639" t="inlineStr">
        <is>
          <t>2002-02-03</t>
        </is>
      </c>
      <c r="W639" t="inlineStr">
        <is>
          <t>1992-05-14</t>
        </is>
      </c>
      <c r="X639" t="inlineStr">
        <is>
          <t>1992-05-14</t>
        </is>
      </c>
      <c r="Y639" t="n">
        <v>421</v>
      </c>
      <c r="Z639" t="n">
        <v>368</v>
      </c>
      <c r="AA639" t="n">
        <v>384</v>
      </c>
      <c r="AB639" t="n">
        <v>2</v>
      </c>
      <c r="AC639" t="n">
        <v>2</v>
      </c>
      <c r="AD639" t="n">
        <v>15</v>
      </c>
      <c r="AE639" t="n">
        <v>16</v>
      </c>
      <c r="AF639" t="n">
        <v>3</v>
      </c>
      <c r="AG639" t="n">
        <v>4</v>
      </c>
      <c r="AH639" t="n">
        <v>3</v>
      </c>
      <c r="AI639" t="n">
        <v>3</v>
      </c>
      <c r="AJ639" t="n">
        <v>9</v>
      </c>
      <c r="AK639" t="n">
        <v>9</v>
      </c>
      <c r="AL639" t="n">
        <v>2</v>
      </c>
      <c r="AM639" t="n">
        <v>2</v>
      </c>
      <c r="AN639" t="n">
        <v>2</v>
      </c>
      <c r="AO639" t="n">
        <v>2</v>
      </c>
      <c r="AP639" t="inlineStr">
        <is>
          <t>No</t>
        </is>
      </c>
      <c r="AQ639" t="inlineStr">
        <is>
          <t>Yes</t>
        </is>
      </c>
      <c r="AR639">
        <f>HYPERLINK("http://catalog.hathitrust.org/Record/000714346","HathiTrust Record")</f>
        <v/>
      </c>
      <c r="AS639">
        <f>HYPERLINK("https://creighton-primo.hosted.exlibrisgroup.com/primo-explore/search?tab=default_tab&amp;search_scope=EVERYTHING&amp;vid=01CRU&amp;lang=en_US&amp;offset=0&amp;query=any,contains,991004728799702656","Catalog Record")</f>
        <v/>
      </c>
      <c r="AT639">
        <f>HYPERLINK("http://www.worldcat.org/oclc/4832226","WorldCat Record")</f>
        <v/>
      </c>
      <c r="AU639" t="inlineStr">
        <is>
          <t>5228567:eng</t>
        </is>
      </c>
      <c r="AV639" t="inlineStr">
        <is>
          <t>4832226</t>
        </is>
      </c>
      <c r="AW639" t="inlineStr">
        <is>
          <t>991004728799702656</t>
        </is>
      </c>
      <c r="AX639" t="inlineStr">
        <is>
          <t>991004728799702656</t>
        </is>
      </c>
      <c r="AY639" t="inlineStr">
        <is>
          <t>2268685940002656</t>
        </is>
      </c>
      <c r="AZ639" t="inlineStr">
        <is>
          <t>BOOK</t>
        </is>
      </c>
      <c r="BB639" t="inlineStr">
        <is>
          <t>9780397473960</t>
        </is>
      </c>
      <c r="BC639" t="inlineStr">
        <is>
          <t>32285001109742</t>
        </is>
      </c>
      <c r="BD639" t="inlineStr">
        <is>
          <t>893719287</t>
        </is>
      </c>
    </row>
    <row r="640">
      <c r="A640" t="inlineStr">
        <is>
          <t>No</t>
        </is>
      </c>
      <c r="B640" t="inlineStr">
        <is>
          <t>HM291 .P25 1984</t>
        </is>
      </c>
      <c r="C640" t="inlineStr">
        <is>
          <t>0                      HM 0291000P  25          1984</t>
        </is>
      </c>
      <c r="D640" t="inlineStr">
        <is>
          <t>Stigma / Robert M. Page.</t>
        </is>
      </c>
      <c r="F640" t="inlineStr">
        <is>
          <t>No</t>
        </is>
      </c>
      <c r="G640" t="inlineStr">
        <is>
          <t>1</t>
        </is>
      </c>
      <c r="H640" t="inlineStr">
        <is>
          <t>No</t>
        </is>
      </c>
      <c r="I640" t="inlineStr">
        <is>
          <t>No</t>
        </is>
      </c>
      <c r="J640" t="inlineStr">
        <is>
          <t>0</t>
        </is>
      </c>
      <c r="K640" t="inlineStr">
        <is>
          <t>Page, Robert M.</t>
        </is>
      </c>
      <c r="L640" t="inlineStr">
        <is>
          <t>London ; Boston : Routledge &amp; Kegan Paul, 1984.</t>
        </is>
      </c>
      <c r="M640" t="inlineStr">
        <is>
          <t>1984</t>
        </is>
      </c>
      <c r="O640" t="inlineStr">
        <is>
          <t>eng</t>
        </is>
      </c>
      <c r="P640" t="inlineStr">
        <is>
          <t>enk</t>
        </is>
      </c>
      <c r="Q640" t="inlineStr">
        <is>
          <t>Concepts in social policy ; 2</t>
        </is>
      </c>
      <c r="R640" t="inlineStr">
        <is>
          <t xml:space="preserve">HM </t>
        </is>
      </c>
      <c r="S640" t="n">
        <v>9</v>
      </c>
      <c r="T640" t="n">
        <v>9</v>
      </c>
      <c r="U640" t="inlineStr">
        <is>
          <t>2001-10-16</t>
        </is>
      </c>
      <c r="V640" t="inlineStr">
        <is>
          <t>2001-10-16</t>
        </is>
      </c>
      <c r="W640" t="inlineStr">
        <is>
          <t>1992-09-18</t>
        </is>
      </c>
      <c r="X640" t="inlineStr">
        <is>
          <t>1992-09-18</t>
        </is>
      </c>
      <c r="Y640" t="n">
        <v>284</v>
      </c>
      <c r="Z640" t="n">
        <v>179</v>
      </c>
      <c r="AA640" t="n">
        <v>179</v>
      </c>
      <c r="AB640" t="n">
        <v>2</v>
      </c>
      <c r="AC640" t="n">
        <v>2</v>
      </c>
      <c r="AD640" t="n">
        <v>6</v>
      </c>
      <c r="AE640" t="n">
        <v>6</v>
      </c>
      <c r="AF640" t="n">
        <v>0</v>
      </c>
      <c r="AG640" t="n">
        <v>0</v>
      </c>
      <c r="AH640" t="n">
        <v>1</v>
      </c>
      <c r="AI640" t="n">
        <v>1</v>
      </c>
      <c r="AJ640" t="n">
        <v>4</v>
      </c>
      <c r="AK640" t="n">
        <v>4</v>
      </c>
      <c r="AL640" t="n">
        <v>1</v>
      </c>
      <c r="AM640" t="n">
        <v>1</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HYPERLINK("https://creighton-primo.hosted.exlibrisgroup.com/primo-explore/search?tab=default_tab&amp;search_scope=EVERYTHING&amp;vid=01CRU&amp;lang=en_US&amp;offset=0&amp;query=any,contains,991000342219702656","Catalog Record")</f>
        <v/>
      </c>
      <c r="AT640">
        <f>HYPERLINK("http://www.worldcat.org/oclc/10274327","WorldCat Record")</f>
        <v/>
      </c>
      <c r="AU640" t="inlineStr">
        <is>
          <t>3254745:eng</t>
        </is>
      </c>
      <c r="AV640" t="inlineStr">
        <is>
          <t>10274327</t>
        </is>
      </c>
      <c r="AW640" t="inlineStr">
        <is>
          <t>991000342219702656</t>
        </is>
      </c>
      <c r="AX640" t="inlineStr">
        <is>
          <t>991000342219702656</t>
        </is>
      </c>
      <c r="AY640" t="inlineStr">
        <is>
          <t>2270416380002656</t>
        </is>
      </c>
      <c r="AZ640" t="inlineStr">
        <is>
          <t>BOOK</t>
        </is>
      </c>
      <c r="BB640" t="inlineStr">
        <is>
          <t>9780710097866</t>
        </is>
      </c>
      <c r="BC640" t="inlineStr">
        <is>
          <t>32285001268803</t>
        </is>
      </c>
      <c r="BD640" t="inlineStr">
        <is>
          <t>893345562</t>
        </is>
      </c>
    </row>
    <row r="641">
      <c r="A641" t="inlineStr">
        <is>
          <t>No</t>
        </is>
      </c>
      <c r="B641" t="inlineStr">
        <is>
          <t>HM291 .P27</t>
        </is>
      </c>
      <c r="C641" t="inlineStr">
        <is>
          <t>0                      HM 0291000P  27</t>
        </is>
      </c>
      <c r="D641" t="inlineStr">
        <is>
          <t>Deviance and conformity ; roles, situations, and reciprocity, by Stuart Palmer.</t>
        </is>
      </c>
      <c r="F641" t="inlineStr">
        <is>
          <t>No</t>
        </is>
      </c>
      <c r="G641" t="inlineStr">
        <is>
          <t>1</t>
        </is>
      </c>
      <c r="H641" t="inlineStr">
        <is>
          <t>No</t>
        </is>
      </c>
      <c r="I641" t="inlineStr">
        <is>
          <t>No</t>
        </is>
      </c>
      <c r="J641" t="inlineStr">
        <is>
          <t>0</t>
        </is>
      </c>
      <c r="K641" t="inlineStr">
        <is>
          <t>Palmer, Stuart, 1924-2008.</t>
        </is>
      </c>
      <c r="L641" t="inlineStr">
        <is>
          <t>New Haven, Conn., College &amp; University Press [1970]</t>
        </is>
      </c>
      <c r="M641" t="inlineStr">
        <is>
          <t>1970</t>
        </is>
      </c>
      <c r="O641" t="inlineStr">
        <is>
          <t>eng</t>
        </is>
      </c>
      <c r="P641" t="inlineStr">
        <is>
          <t>ctu</t>
        </is>
      </c>
      <c r="R641" t="inlineStr">
        <is>
          <t xml:space="preserve">HM </t>
        </is>
      </c>
      <c r="S641" t="n">
        <v>8</v>
      </c>
      <c r="T641" t="n">
        <v>8</v>
      </c>
      <c r="U641" t="inlineStr">
        <is>
          <t>2004-10-06</t>
        </is>
      </c>
      <c r="V641" t="inlineStr">
        <is>
          <t>2004-10-06</t>
        </is>
      </c>
      <c r="W641" t="inlineStr">
        <is>
          <t>1997-08-04</t>
        </is>
      </c>
      <c r="X641" t="inlineStr">
        <is>
          <t>1997-08-04</t>
        </is>
      </c>
      <c r="Y641" t="n">
        <v>212</v>
      </c>
      <c r="Z641" t="n">
        <v>207</v>
      </c>
      <c r="AA641" t="n">
        <v>209</v>
      </c>
      <c r="AB641" t="n">
        <v>1</v>
      </c>
      <c r="AC641" t="n">
        <v>1</v>
      </c>
      <c r="AD641" t="n">
        <v>11</v>
      </c>
      <c r="AE641" t="n">
        <v>11</v>
      </c>
      <c r="AF641" t="n">
        <v>4</v>
      </c>
      <c r="AG641" t="n">
        <v>4</v>
      </c>
      <c r="AH641" t="n">
        <v>2</v>
      </c>
      <c r="AI641" t="n">
        <v>2</v>
      </c>
      <c r="AJ641" t="n">
        <v>4</v>
      </c>
      <c r="AK641" t="n">
        <v>4</v>
      </c>
      <c r="AL641" t="n">
        <v>0</v>
      </c>
      <c r="AM641" t="n">
        <v>0</v>
      </c>
      <c r="AN641" t="n">
        <v>2</v>
      </c>
      <c r="AO641" t="n">
        <v>2</v>
      </c>
      <c r="AP641" t="inlineStr">
        <is>
          <t>No</t>
        </is>
      </c>
      <c r="AQ641" t="inlineStr">
        <is>
          <t>Yes</t>
        </is>
      </c>
      <c r="AR641">
        <f>HYPERLINK("http://catalog.hathitrust.org/Record/000974190","HathiTrust Record")</f>
        <v/>
      </c>
      <c r="AS641">
        <f>HYPERLINK("https://creighton-primo.hosted.exlibrisgroup.com/primo-explore/search?tab=default_tab&amp;search_scope=EVERYTHING&amp;vid=01CRU&amp;lang=en_US&amp;offset=0&amp;query=any,contains,991000963709702656","Catalog Record")</f>
        <v/>
      </c>
      <c r="AT641">
        <f>HYPERLINK("http://www.worldcat.org/oclc/169933","WorldCat Record")</f>
        <v/>
      </c>
      <c r="AU641" t="inlineStr">
        <is>
          <t>9657761420:eng</t>
        </is>
      </c>
      <c r="AV641" t="inlineStr">
        <is>
          <t>169933</t>
        </is>
      </c>
      <c r="AW641" t="inlineStr">
        <is>
          <t>991000963709702656</t>
        </is>
      </c>
      <c r="AX641" t="inlineStr">
        <is>
          <t>991000963709702656</t>
        </is>
      </c>
      <c r="AY641" t="inlineStr">
        <is>
          <t>2263976260002656</t>
        </is>
      </c>
      <c r="AZ641" t="inlineStr">
        <is>
          <t>BOOK</t>
        </is>
      </c>
      <c r="BC641" t="inlineStr">
        <is>
          <t>32285003040093</t>
        </is>
      </c>
      <c r="BD641" t="inlineStr">
        <is>
          <t>893249851</t>
        </is>
      </c>
    </row>
    <row r="642">
      <c r="A642" t="inlineStr">
        <is>
          <t>No</t>
        </is>
      </c>
      <c r="B642" t="inlineStr">
        <is>
          <t>HM291 .P47</t>
        </is>
      </c>
      <c r="C642" t="inlineStr">
        <is>
          <t>0                      HM 0291000P  47</t>
        </is>
      </c>
      <c r="D642" t="inlineStr">
        <is>
          <t>Persona : social role and personality.</t>
        </is>
      </c>
      <c r="F642" t="inlineStr">
        <is>
          <t>No</t>
        </is>
      </c>
      <c r="G642" t="inlineStr">
        <is>
          <t>1</t>
        </is>
      </c>
      <c r="H642" t="inlineStr">
        <is>
          <t>No</t>
        </is>
      </c>
      <c r="I642" t="inlineStr">
        <is>
          <t>No</t>
        </is>
      </c>
      <c r="J642" t="inlineStr">
        <is>
          <t>0</t>
        </is>
      </c>
      <c r="K642" t="inlineStr">
        <is>
          <t>Perlman, Helen Harris.</t>
        </is>
      </c>
      <c r="L642" t="inlineStr">
        <is>
          <t>Chicago : University of Chicago Press, [1968]</t>
        </is>
      </c>
      <c r="M642" t="inlineStr">
        <is>
          <t>1968</t>
        </is>
      </c>
      <c r="O642" t="inlineStr">
        <is>
          <t>eng</t>
        </is>
      </c>
      <c r="P642" t="inlineStr">
        <is>
          <t>ilu</t>
        </is>
      </c>
      <c r="R642" t="inlineStr">
        <is>
          <t xml:space="preserve">HM </t>
        </is>
      </c>
      <c r="S642" t="n">
        <v>4</v>
      </c>
      <c r="T642" t="n">
        <v>4</v>
      </c>
      <c r="U642" t="inlineStr">
        <is>
          <t>1998-11-06</t>
        </is>
      </c>
      <c r="V642" t="inlineStr">
        <is>
          <t>1998-11-06</t>
        </is>
      </c>
      <c r="W642" t="inlineStr">
        <is>
          <t>1992-06-16</t>
        </is>
      </c>
      <c r="X642" t="inlineStr">
        <is>
          <t>1992-06-16</t>
        </is>
      </c>
      <c r="Y642" t="n">
        <v>730</v>
      </c>
      <c r="Z642" t="n">
        <v>596</v>
      </c>
      <c r="AA642" t="n">
        <v>667</v>
      </c>
      <c r="AB642" t="n">
        <v>4</v>
      </c>
      <c r="AC642" t="n">
        <v>4</v>
      </c>
      <c r="AD642" t="n">
        <v>25</v>
      </c>
      <c r="AE642" t="n">
        <v>28</v>
      </c>
      <c r="AF642" t="n">
        <v>9</v>
      </c>
      <c r="AG642" t="n">
        <v>10</v>
      </c>
      <c r="AH642" t="n">
        <v>7</v>
      </c>
      <c r="AI642" t="n">
        <v>9</v>
      </c>
      <c r="AJ642" t="n">
        <v>11</v>
      </c>
      <c r="AK642" t="n">
        <v>12</v>
      </c>
      <c r="AL642" t="n">
        <v>3</v>
      </c>
      <c r="AM642" t="n">
        <v>3</v>
      </c>
      <c r="AN642" t="n">
        <v>0</v>
      </c>
      <c r="AO642" t="n">
        <v>0</v>
      </c>
      <c r="AP642" t="inlineStr">
        <is>
          <t>No</t>
        </is>
      </c>
      <c r="AQ642" t="inlineStr">
        <is>
          <t>Yes</t>
        </is>
      </c>
      <c r="AR642">
        <f>HYPERLINK("http://catalog.hathitrust.org/Record/001108138","HathiTrust Record")</f>
        <v/>
      </c>
      <c r="AS642">
        <f>HYPERLINK("https://creighton-primo.hosted.exlibrisgroup.com/primo-explore/search?tab=default_tab&amp;search_scope=EVERYTHING&amp;vid=01CRU&amp;lang=en_US&amp;offset=0&amp;query=any,contains,991001996279702656","Catalog Record")</f>
        <v/>
      </c>
      <c r="AT642">
        <f>HYPERLINK("http://www.worldcat.org/oclc/255974","WorldCat Record")</f>
        <v/>
      </c>
      <c r="AU642" t="inlineStr">
        <is>
          <t>180709:eng</t>
        </is>
      </c>
      <c r="AV642" t="inlineStr">
        <is>
          <t>255974</t>
        </is>
      </c>
      <c r="AW642" t="inlineStr">
        <is>
          <t>991001996279702656</t>
        </is>
      </c>
      <c r="AX642" t="inlineStr">
        <is>
          <t>991001996279702656</t>
        </is>
      </c>
      <c r="AY642" t="inlineStr">
        <is>
          <t>2270724660002656</t>
        </is>
      </c>
      <c r="AZ642" t="inlineStr">
        <is>
          <t>BOOK</t>
        </is>
      </c>
      <c r="BC642" t="inlineStr">
        <is>
          <t>32285001131787</t>
        </is>
      </c>
      <c r="BD642" t="inlineStr">
        <is>
          <t>893420837</t>
        </is>
      </c>
    </row>
    <row r="643">
      <c r="A643" t="inlineStr">
        <is>
          <t>No</t>
        </is>
      </c>
      <c r="B643" t="inlineStr">
        <is>
          <t>HM291 .P67 1988</t>
        </is>
      </c>
      <c r="C643" t="inlineStr">
        <is>
          <t>0                      HM 0291000P  67          1988</t>
        </is>
      </c>
      <c r="D643" t="inlineStr">
        <is>
          <t>Postmodernism / [edited by Mike Featherstone].</t>
        </is>
      </c>
      <c r="F643" t="inlineStr">
        <is>
          <t>No</t>
        </is>
      </c>
      <c r="G643" t="inlineStr">
        <is>
          <t>1</t>
        </is>
      </c>
      <c r="H643" t="inlineStr">
        <is>
          <t>No</t>
        </is>
      </c>
      <c r="I643" t="inlineStr">
        <is>
          <t>No</t>
        </is>
      </c>
      <c r="J643" t="inlineStr">
        <is>
          <t>0</t>
        </is>
      </c>
      <c r="L643" t="inlineStr">
        <is>
          <t>London : Sage Publications, 1988.</t>
        </is>
      </c>
      <c r="M643" t="inlineStr">
        <is>
          <t>1988</t>
        </is>
      </c>
      <c r="O643" t="inlineStr">
        <is>
          <t>eng</t>
        </is>
      </c>
      <c r="P643" t="inlineStr">
        <is>
          <t>enk</t>
        </is>
      </c>
      <c r="Q643" t="inlineStr">
        <is>
          <t>Theory, culture &amp; society ; v. 5, nos. 2-3</t>
        </is>
      </c>
      <c r="R643" t="inlineStr">
        <is>
          <t xml:space="preserve">HM </t>
        </is>
      </c>
      <c r="S643" t="n">
        <v>4</v>
      </c>
      <c r="T643" t="n">
        <v>4</v>
      </c>
      <c r="U643" t="inlineStr">
        <is>
          <t>1998-12-07</t>
        </is>
      </c>
      <c r="V643" t="inlineStr">
        <is>
          <t>1998-12-07</t>
        </is>
      </c>
      <c r="W643" t="inlineStr">
        <is>
          <t>1992-06-22</t>
        </is>
      </c>
      <c r="X643" t="inlineStr">
        <is>
          <t>1992-06-22</t>
        </is>
      </c>
      <c r="Y643" t="n">
        <v>276</v>
      </c>
      <c r="Z643" t="n">
        <v>139</v>
      </c>
      <c r="AA643" t="n">
        <v>142</v>
      </c>
      <c r="AB643" t="n">
        <v>2</v>
      </c>
      <c r="AC643" t="n">
        <v>2</v>
      </c>
      <c r="AD643" t="n">
        <v>9</v>
      </c>
      <c r="AE643" t="n">
        <v>9</v>
      </c>
      <c r="AF643" t="n">
        <v>2</v>
      </c>
      <c r="AG643" t="n">
        <v>2</v>
      </c>
      <c r="AH643" t="n">
        <v>2</v>
      </c>
      <c r="AI643" t="n">
        <v>2</v>
      </c>
      <c r="AJ643" t="n">
        <v>6</v>
      </c>
      <c r="AK643" t="n">
        <v>6</v>
      </c>
      <c r="AL643" t="n">
        <v>1</v>
      </c>
      <c r="AM643" t="n">
        <v>1</v>
      </c>
      <c r="AN643" t="n">
        <v>0</v>
      </c>
      <c r="AO643" t="n">
        <v>0</v>
      </c>
      <c r="AP643" t="inlineStr">
        <is>
          <t>No</t>
        </is>
      </c>
      <c r="AQ643" t="inlineStr">
        <is>
          <t>Yes</t>
        </is>
      </c>
      <c r="AR643">
        <f>HYPERLINK("http://catalog.hathitrust.org/Record/007138277","HathiTrust Record")</f>
        <v/>
      </c>
      <c r="AS643">
        <f>HYPERLINK("https://creighton-primo.hosted.exlibrisgroup.com/primo-explore/search?tab=default_tab&amp;search_scope=EVERYTHING&amp;vid=01CRU&amp;lang=en_US&amp;offset=0&amp;query=any,contains,991001548479702656","Catalog Record")</f>
        <v/>
      </c>
      <c r="AT643">
        <f>HYPERLINK("http://www.worldcat.org/oclc/20173630","WorldCat Record")</f>
        <v/>
      </c>
      <c r="AU643" t="inlineStr">
        <is>
          <t>55240027:eng</t>
        </is>
      </c>
      <c r="AV643" t="inlineStr">
        <is>
          <t>20173630</t>
        </is>
      </c>
      <c r="AW643" t="inlineStr">
        <is>
          <t>991001548479702656</t>
        </is>
      </c>
      <c r="AX643" t="inlineStr">
        <is>
          <t>991001548479702656</t>
        </is>
      </c>
      <c r="AY643" t="inlineStr">
        <is>
          <t>2256757810002656</t>
        </is>
      </c>
      <c r="AZ643" t="inlineStr">
        <is>
          <t>BOOK</t>
        </is>
      </c>
      <c r="BB643" t="inlineStr">
        <is>
          <t>9780803981942</t>
        </is>
      </c>
      <c r="BC643" t="inlineStr">
        <is>
          <t>32285001155166</t>
        </is>
      </c>
      <c r="BD643" t="inlineStr">
        <is>
          <t>893232055</t>
        </is>
      </c>
    </row>
    <row r="644">
      <c r="A644" t="inlineStr">
        <is>
          <t>No</t>
        </is>
      </c>
      <c r="B644" t="inlineStr">
        <is>
          <t>HM291 .P68 1988</t>
        </is>
      </c>
      <c r="C644" t="inlineStr">
        <is>
          <t>0                      HM 0291000P  68          1988</t>
        </is>
      </c>
      <c r="D644" t="inlineStr">
        <is>
          <t>The design of discord : studies of anomie / Elwin H. Powell.</t>
        </is>
      </c>
      <c r="F644" t="inlineStr">
        <is>
          <t>No</t>
        </is>
      </c>
      <c r="G644" t="inlineStr">
        <is>
          <t>1</t>
        </is>
      </c>
      <c r="H644" t="inlineStr">
        <is>
          <t>No</t>
        </is>
      </c>
      <c r="I644" t="inlineStr">
        <is>
          <t>No</t>
        </is>
      </c>
      <c r="J644" t="inlineStr">
        <is>
          <t>0</t>
        </is>
      </c>
      <c r="K644" t="inlineStr">
        <is>
          <t>Powell, Elwin H. (Elwin Humphreys), 1925-</t>
        </is>
      </c>
      <c r="L644" t="inlineStr">
        <is>
          <t>New Brunswick, N.J., U.S.A. : Transaction Books, c1988.</t>
        </is>
      </c>
      <c r="M644" t="inlineStr">
        <is>
          <t>1988</t>
        </is>
      </c>
      <c r="N644" t="inlineStr">
        <is>
          <t>2nd ed.</t>
        </is>
      </c>
      <c r="O644" t="inlineStr">
        <is>
          <t>eng</t>
        </is>
      </c>
      <c r="P644" t="inlineStr">
        <is>
          <t>nju</t>
        </is>
      </c>
      <c r="R644" t="inlineStr">
        <is>
          <t xml:space="preserve">HM </t>
        </is>
      </c>
      <c r="S644" t="n">
        <v>2</v>
      </c>
      <c r="T644" t="n">
        <v>2</v>
      </c>
      <c r="U644" t="inlineStr">
        <is>
          <t>1995-03-28</t>
        </is>
      </c>
      <c r="V644" t="inlineStr">
        <is>
          <t>1995-03-28</t>
        </is>
      </c>
      <c r="W644" t="inlineStr">
        <is>
          <t>1992-09-18</t>
        </is>
      </c>
      <c r="X644" t="inlineStr">
        <is>
          <t>1992-09-18</t>
        </is>
      </c>
      <c r="Y644" t="n">
        <v>160</v>
      </c>
      <c r="Z644" t="n">
        <v>136</v>
      </c>
      <c r="AA644" t="n">
        <v>507</v>
      </c>
      <c r="AB644" t="n">
        <v>2</v>
      </c>
      <c r="AC644" t="n">
        <v>4</v>
      </c>
      <c r="AD644" t="n">
        <v>7</v>
      </c>
      <c r="AE644" t="n">
        <v>23</v>
      </c>
      <c r="AF644" t="n">
        <v>1</v>
      </c>
      <c r="AG644" t="n">
        <v>9</v>
      </c>
      <c r="AH644" t="n">
        <v>3</v>
      </c>
      <c r="AI644" t="n">
        <v>7</v>
      </c>
      <c r="AJ644" t="n">
        <v>3</v>
      </c>
      <c r="AK644" t="n">
        <v>11</v>
      </c>
      <c r="AL644" t="n">
        <v>1</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HYPERLINK("https://creighton-primo.hosted.exlibrisgroup.com/primo-explore/search?tab=default_tab&amp;search_scope=EVERYTHING&amp;vid=01CRU&amp;lang=en_US&amp;offset=0&amp;query=any,contains,991001037189702656","Catalog Record")</f>
        <v/>
      </c>
      <c r="AT644">
        <f>HYPERLINK("http://www.worldcat.org/oclc/15550002","WorldCat Record")</f>
        <v/>
      </c>
      <c r="AU644" t="inlineStr">
        <is>
          <t>1244264:eng</t>
        </is>
      </c>
      <c r="AV644" t="inlineStr">
        <is>
          <t>15550002</t>
        </is>
      </c>
      <c r="AW644" t="inlineStr">
        <is>
          <t>991001037189702656</t>
        </is>
      </c>
      <c r="AX644" t="inlineStr">
        <is>
          <t>991001037189702656</t>
        </is>
      </c>
      <c r="AY644" t="inlineStr">
        <is>
          <t>2258717480002656</t>
        </is>
      </c>
      <c r="AZ644" t="inlineStr">
        <is>
          <t>BOOK</t>
        </is>
      </c>
      <c r="BB644" t="inlineStr">
        <is>
          <t>9780887387043</t>
        </is>
      </c>
      <c r="BC644" t="inlineStr">
        <is>
          <t>32285001268811</t>
        </is>
      </c>
      <c r="BD644" t="inlineStr">
        <is>
          <t>893261707</t>
        </is>
      </c>
    </row>
    <row r="645">
      <c r="A645" t="inlineStr">
        <is>
          <t>No</t>
        </is>
      </c>
      <c r="B645" t="inlineStr">
        <is>
          <t>HM291 .R74</t>
        </is>
      </c>
      <c r="C645" t="inlineStr">
        <is>
          <t>0                      HM 0291000R  74</t>
        </is>
      </c>
      <c r="D645" t="inlineStr">
        <is>
          <t>Liking and loving; an invitation to social psychology / Zick Rubin.</t>
        </is>
      </c>
      <c r="F645" t="inlineStr">
        <is>
          <t>No</t>
        </is>
      </c>
      <c r="G645" t="inlineStr">
        <is>
          <t>1</t>
        </is>
      </c>
      <c r="H645" t="inlineStr">
        <is>
          <t>No</t>
        </is>
      </c>
      <c r="I645" t="inlineStr">
        <is>
          <t>No</t>
        </is>
      </c>
      <c r="J645" t="inlineStr">
        <is>
          <t>0</t>
        </is>
      </c>
      <c r="K645" t="inlineStr">
        <is>
          <t>Rubin, Zick.</t>
        </is>
      </c>
      <c r="L645" t="inlineStr">
        <is>
          <t>New York : Holt, Rinehart and Winston, c1973.</t>
        </is>
      </c>
      <c r="M645" t="inlineStr">
        <is>
          <t>1973</t>
        </is>
      </c>
      <c r="O645" t="inlineStr">
        <is>
          <t>eng</t>
        </is>
      </c>
      <c r="P645" t="inlineStr">
        <is>
          <t>nyu</t>
        </is>
      </c>
      <c r="R645" t="inlineStr">
        <is>
          <t xml:space="preserve">HM </t>
        </is>
      </c>
      <c r="S645" t="n">
        <v>11</v>
      </c>
      <c r="T645" t="n">
        <v>11</v>
      </c>
      <c r="U645" t="inlineStr">
        <is>
          <t>2006-03-19</t>
        </is>
      </c>
      <c r="V645" t="inlineStr">
        <is>
          <t>2006-03-19</t>
        </is>
      </c>
      <c r="W645" t="inlineStr">
        <is>
          <t>1992-09-18</t>
        </is>
      </c>
      <c r="X645" t="inlineStr">
        <is>
          <t>1992-09-18</t>
        </is>
      </c>
      <c r="Y645" t="n">
        <v>510</v>
      </c>
      <c r="Z645" t="n">
        <v>403</v>
      </c>
      <c r="AA645" t="n">
        <v>419</v>
      </c>
      <c r="AB645" t="n">
        <v>5</v>
      </c>
      <c r="AC645" t="n">
        <v>5</v>
      </c>
      <c r="AD645" t="n">
        <v>21</v>
      </c>
      <c r="AE645" t="n">
        <v>23</v>
      </c>
      <c r="AF645" t="n">
        <v>8</v>
      </c>
      <c r="AG645" t="n">
        <v>9</v>
      </c>
      <c r="AH645" t="n">
        <v>4</v>
      </c>
      <c r="AI645" t="n">
        <v>5</v>
      </c>
      <c r="AJ645" t="n">
        <v>10</v>
      </c>
      <c r="AK645" t="n">
        <v>10</v>
      </c>
      <c r="AL645" t="n">
        <v>4</v>
      </c>
      <c r="AM645" t="n">
        <v>4</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HYPERLINK("https://creighton-primo.hosted.exlibrisgroup.com/primo-explore/search?tab=default_tab&amp;search_scope=EVERYTHING&amp;vid=01CRU&amp;lang=en_US&amp;offset=0&amp;query=any,contains,991003101689702656","Catalog Record")</f>
        <v/>
      </c>
      <c r="AT645">
        <f>HYPERLINK("http://www.worldcat.org/oclc/650550","WorldCat Record")</f>
        <v/>
      </c>
      <c r="AU645" t="inlineStr">
        <is>
          <t>821259567:eng</t>
        </is>
      </c>
      <c r="AV645" t="inlineStr">
        <is>
          <t>650550</t>
        </is>
      </c>
      <c r="AW645" t="inlineStr">
        <is>
          <t>991003101689702656</t>
        </is>
      </c>
      <c r="AX645" t="inlineStr">
        <is>
          <t>991003101689702656</t>
        </is>
      </c>
      <c r="AY645" t="inlineStr">
        <is>
          <t>2266413180002656</t>
        </is>
      </c>
      <c r="AZ645" t="inlineStr">
        <is>
          <t>BOOK</t>
        </is>
      </c>
      <c r="BB645" t="inlineStr">
        <is>
          <t>9780030830037</t>
        </is>
      </c>
      <c r="BC645" t="inlineStr">
        <is>
          <t>32285001268829</t>
        </is>
      </c>
      <c r="BD645" t="inlineStr">
        <is>
          <t>893428445</t>
        </is>
      </c>
    </row>
    <row r="646">
      <c r="A646" t="inlineStr">
        <is>
          <t>No</t>
        </is>
      </c>
      <c r="B646" t="inlineStr">
        <is>
          <t>HM291 .R77 1980</t>
        </is>
      </c>
      <c r="C646" t="inlineStr">
        <is>
          <t>0                      HM 0291000R  77          1980</t>
        </is>
      </c>
      <c r="D646" t="inlineStr">
        <is>
          <t>Altruism, socialization, and society / J. Philippe Rushton.</t>
        </is>
      </c>
      <c r="F646" t="inlineStr">
        <is>
          <t>No</t>
        </is>
      </c>
      <c r="G646" t="inlineStr">
        <is>
          <t>1</t>
        </is>
      </c>
      <c r="H646" t="inlineStr">
        <is>
          <t>No</t>
        </is>
      </c>
      <c r="I646" t="inlineStr">
        <is>
          <t>No</t>
        </is>
      </c>
      <c r="J646" t="inlineStr">
        <is>
          <t>0</t>
        </is>
      </c>
      <c r="K646" t="inlineStr">
        <is>
          <t>Rushton, J. Philippe.</t>
        </is>
      </c>
      <c r="L646" t="inlineStr">
        <is>
          <t>Englewood Cliffs, N.J. : Prentice-Hall, c1980.</t>
        </is>
      </c>
      <c r="M646" t="inlineStr">
        <is>
          <t>1980</t>
        </is>
      </c>
      <c r="O646" t="inlineStr">
        <is>
          <t>eng</t>
        </is>
      </c>
      <c r="P646" t="inlineStr">
        <is>
          <t>nju</t>
        </is>
      </c>
      <c r="Q646" t="inlineStr">
        <is>
          <t>Prentice-Hall series in social learning theory</t>
        </is>
      </c>
      <c r="R646" t="inlineStr">
        <is>
          <t xml:space="preserve">HM </t>
        </is>
      </c>
      <c r="S646" t="n">
        <v>13</v>
      </c>
      <c r="T646" t="n">
        <v>13</v>
      </c>
      <c r="U646" t="inlineStr">
        <is>
          <t>2004-02-12</t>
        </is>
      </c>
      <c r="V646" t="inlineStr">
        <is>
          <t>2004-02-12</t>
        </is>
      </c>
      <c r="W646" t="inlineStr">
        <is>
          <t>1992-07-14</t>
        </is>
      </c>
      <c r="X646" t="inlineStr">
        <is>
          <t>1992-07-14</t>
        </is>
      </c>
      <c r="Y646" t="n">
        <v>528</v>
      </c>
      <c r="Z646" t="n">
        <v>402</v>
      </c>
      <c r="AA646" t="n">
        <v>402</v>
      </c>
      <c r="AB646" t="n">
        <v>4</v>
      </c>
      <c r="AC646" t="n">
        <v>4</v>
      </c>
      <c r="AD646" t="n">
        <v>18</v>
      </c>
      <c r="AE646" t="n">
        <v>18</v>
      </c>
      <c r="AF646" t="n">
        <v>3</v>
      </c>
      <c r="AG646" t="n">
        <v>3</v>
      </c>
      <c r="AH646" t="n">
        <v>6</v>
      </c>
      <c r="AI646" t="n">
        <v>6</v>
      </c>
      <c r="AJ646" t="n">
        <v>11</v>
      </c>
      <c r="AK646" t="n">
        <v>11</v>
      </c>
      <c r="AL646" t="n">
        <v>3</v>
      </c>
      <c r="AM646" t="n">
        <v>3</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HYPERLINK("https://creighton-primo.hosted.exlibrisgroup.com/primo-explore/search?tab=default_tab&amp;search_scope=EVERYTHING&amp;vid=01CRU&amp;lang=en_US&amp;offset=0&amp;query=any,contains,991004930109702656","Catalog Record")</f>
        <v/>
      </c>
      <c r="AT646">
        <f>HYPERLINK("http://www.worldcat.org/oclc/6092473","WorldCat Record")</f>
        <v/>
      </c>
      <c r="AU646" t="inlineStr">
        <is>
          <t>21065305:eng</t>
        </is>
      </c>
      <c r="AV646" t="inlineStr">
        <is>
          <t>6092473</t>
        </is>
      </c>
      <c r="AW646" t="inlineStr">
        <is>
          <t>991004930109702656</t>
        </is>
      </c>
      <c r="AX646" t="inlineStr">
        <is>
          <t>991004930109702656</t>
        </is>
      </c>
      <c r="AY646" t="inlineStr">
        <is>
          <t>2263417080002656</t>
        </is>
      </c>
      <c r="AZ646" t="inlineStr">
        <is>
          <t>BOOK</t>
        </is>
      </c>
      <c r="BB646" t="inlineStr">
        <is>
          <t>9780130234087</t>
        </is>
      </c>
      <c r="BC646" t="inlineStr">
        <is>
          <t>32285001152528</t>
        </is>
      </c>
      <c r="BD646" t="inlineStr">
        <is>
          <t>893418159</t>
        </is>
      </c>
    </row>
    <row r="647">
      <c r="A647" t="inlineStr">
        <is>
          <t>No</t>
        </is>
      </c>
      <c r="B647" t="inlineStr">
        <is>
          <t>HM291 .S288 1990</t>
        </is>
      </c>
      <c r="C647" t="inlineStr">
        <is>
          <t>0                      HM 0291000S  288         1990</t>
        </is>
      </c>
      <c r="D647" t="inlineStr">
        <is>
          <t>Microsociology : discourse, emotion, and social structure / Thomas J. Scheff.</t>
        </is>
      </c>
      <c r="F647" t="inlineStr">
        <is>
          <t>No</t>
        </is>
      </c>
      <c r="G647" t="inlineStr">
        <is>
          <t>1</t>
        </is>
      </c>
      <c r="H647" t="inlineStr">
        <is>
          <t>No</t>
        </is>
      </c>
      <c r="I647" t="inlineStr">
        <is>
          <t>No</t>
        </is>
      </c>
      <c r="J647" t="inlineStr">
        <is>
          <t>0</t>
        </is>
      </c>
      <c r="K647" t="inlineStr">
        <is>
          <t>Scheff, Thomas J.</t>
        </is>
      </c>
      <c r="L647" t="inlineStr">
        <is>
          <t>Chicago : University of Chicago Press, c1990.</t>
        </is>
      </c>
      <c r="M647" t="inlineStr">
        <is>
          <t>1990</t>
        </is>
      </c>
      <c r="O647" t="inlineStr">
        <is>
          <t>eng</t>
        </is>
      </c>
      <c r="P647" t="inlineStr">
        <is>
          <t>ilu</t>
        </is>
      </c>
      <c r="R647" t="inlineStr">
        <is>
          <t xml:space="preserve">HM </t>
        </is>
      </c>
      <c r="S647" t="n">
        <v>1</v>
      </c>
      <c r="T647" t="n">
        <v>1</v>
      </c>
      <c r="U647" t="inlineStr">
        <is>
          <t>1993-03-05</t>
        </is>
      </c>
      <c r="V647" t="inlineStr">
        <is>
          <t>1993-03-05</t>
        </is>
      </c>
      <c r="W647" t="inlineStr">
        <is>
          <t>1990-11-14</t>
        </is>
      </c>
      <c r="X647" t="inlineStr">
        <is>
          <t>1990-11-14</t>
        </is>
      </c>
      <c r="Y647" t="n">
        <v>526</v>
      </c>
      <c r="Z647" t="n">
        <v>393</v>
      </c>
      <c r="AA647" t="n">
        <v>419</v>
      </c>
      <c r="AB647" t="n">
        <v>4</v>
      </c>
      <c r="AC647" t="n">
        <v>4</v>
      </c>
      <c r="AD647" t="n">
        <v>25</v>
      </c>
      <c r="AE647" t="n">
        <v>26</v>
      </c>
      <c r="AF647" t="n">
        <v>6</v>
      </c>
      <c r="AG647" t="n">
        <v>7</v>
      </c>
      <c r="AH647" t="n">
        <v>6</v>
      </c>
      <c r="AI647" t="n">
        <v>6</v>
      </c>
      <c r="AJ647" t="n">
        <v>14</v>
      </c>
      <c r="AK647" t="n">
        <v>14</v>
      </c>
      <c r="AL647" t="n">
        <v>3</v>
      </c>
      <c r="AM647" t="n">
        <v>3</v>
      </c>
      <c r="AN647" t="n">
        <v>1</v>
      </c>
      <c r="AO647" t="n">
        <v>1</v>
      </c>
      <c r="AP647" t="inlineStr">
        <is>
          <t>No</t>
        </is>
      </c>
      <c r="AQ647" t="inlineStr">
        <is>
          <t>No</t>
        </is>
      </c>
      <c r="AS647">
        <f>HYPERLINK("https://creighton-primo.hosted.exlibrisgroup.com/primo-explore/search?tab=default_tab&amp;search_scope=EVERYTHING&amp;vid=01CRU&amp;lang=en_US&amp;offset=0&amp;query=any,contains,991001600979702656","Catalog Record")</f>
        <v/>
      </c>
      <c r="AT647">
        <f>HYPERLINK("http://www.worldcat.org/oclc/20670554","WorldCat Record")</f>
        <v/>
      </c>
      <c r="AU647" t="inlineStr">
        <is>
          <t>836748744:eng</t>
        </is>
      </c>
      <c r="AV647" t="inlineStr">
        <is>
          <t>20670554</t>
        </is>
      </c>
      <c r="AW647" t="inlineStr">
        <is>
          <t>991001600979702656</t>
        </is>
      </c>
      <c r="AX647" t="inlineStr">
        <is>
          <t>991001600979702656</t>
        </is>
      </c>
      <c r="AY647" t="inlineStr">
        <is>
          <t>2259699420002656</t>
        </is>
      </c>
      <c r="AZ647" t="inlineStr">
        <is>
          <t>BOOK</t>
        </is>
      </c>
      <c r="BC647" t="inlineStr">
        <is>
          <t>32285000355395</t>
        </is>
      </c>
      <c r="BD647" t="inlineStr">
        <is>
          <t>893426692</t>
        </is>
      </c>
    </row>
    <row r="648">
      <c r="A648" t="inlineStr">
        <is>
          <t>No</t>
        </is>
      </c>
      <c r="B648" t="inlineStr">
        <is>
          <t>HM291 .S29</t>
        </is>
      </c>
      <c r="C648" t="inlineStr">
        <is>
          <t>0                      HM 0291000S  29</t>
        </is>
      </c>
      <c r="D648" t="inlineStr">
        <is>
          <t>Human territories : how we behave in space-time / Albert E. Scheflen, with Norman Ashcraft.</t>
        </is>
      </c>
      <c r="F648" t="inlineStr">
        <is>
          <t>No</t>
        </is>
      </c>
      <c r="G648" t="inlineStr">
        <is>
          <t>1</t>
        </is>
      </c>
      <c r="H648" t="inlineStr">
        <is>
          <t>No</t>
        </is>
      </c>
      <c r="I648" t="inlineStr">
        <is>
          <t>No</t>
        </is>
      </c>
      <c r="J648" t="inlineStr">
        <is>
          <t>0</t>
        </is>
      </c>
      <c r="K648" t="inlineStr">
        <is>
          <t>Scheflen, Albert E.</t>
        </is>
      </c>
      <c r="L648" t="inlineStr">
        <is>
          <t>Englewood Cliffs, N.J. : Prentice-Hall, c1976.</t>
        </is>
      </c>
      <c r="M648" t="inlineStr">
        <is>
          <t>1976</t>
        </is>
      </c>
      <c r="O648" t="inlineStr">
        <is>
          <t>eng</t>
        </is>
      </c>
      <c r="P648" t="inlineStr">
        <is>
          <t>nju</t>
        </is>
      </c>
      <c r="Q648" t="inlineStr">
        <is>
          <t>A Spectrum book ; S-375</t>
        </is>
      </c>
      <c r="R648" t="inlineStr">
        <is>
          <t xml:space="preserve">HM </t>
        </is>
      </c>
      <c r="S648" t="n">
        <v>3</v>
      </c>
      <c r="T648" t="n">
        <v>3</v>
      </c>
      <c r="U648" t="inlineStr">
        <is>
          <t>1997-09-17</t>
        </is>
      </c>
      <c r="V648" t="inlineStr">
        <is>
          <t>1997-09-17</t>
        </is>
      </c>
      <c r="W648" t="inlineStr">
        <is>
          <t>1997-08-04</t>
        </is>
      </c>
      <c r="X648" t="inlineStr">
        <is>
          <t>1997-08-04</t>
        </is>
      </c>
      <c r="Y648" t="n">
        <v>695</v>
      </c>
      <c r="Z648" t="n">
        <v>567</v>
      </c>
      <c r="AA648" t="n">
        <v>575</v>
      </c>
      <c r="AB648" t="n">
        <v>6</v>
      </c>
      <c r="AC648" t="n">
        <v>6</v>
      </c>
      <c r="AD648" t="n">
        <v>21</v>
      </c>
      <c r="AE648" t="n">
        <v>21</v>
      </c>
      <c r="AF648" t="n">
        <v>8</v>
      </c>
      <c r="AG648" t="n">
        <v>8</v>
      </c>
      <c r="AH648" t="n">
        <v>6</v>
      </c>
      <c r="AI648" t="n">
        <v>6</v>
      </c>
      <c r="AJ648" t="n">
        <v>9</v>
      </c>
      <c r="AK648" t="n">
        <v>9</v>
      </c>
      <c r="AL648" t="n">
        <v>4</v>
      </c>
      <c r="AM648" t="n">
        <v>4</v>
      </c>
      <c r="AN648" t="n">
        <v>0</v>
      </c>
      <c r="AO648" t="n">
        <v>0</v>
      </c>
      <c r="AP648" t="inlineStr">
        <is>
          <t>No</t>
        </is>
      </c>
      <c r="AQ648" t="inlineStr">
        <is>
          <t>Yes</t>
        </is>
      </c>
      <c r="AR648">
        <f>HYPERLINK("http://catalog.hathitrust.org/Record/000762109","HathiTrust Record")</f>
        <v/>
      </c>
      <c r="AS648">
        <f>HYPERLINK("https://creighton-primo.hosted.exlibrisgroup.com/primo-explore/search?tab=default_tab&amp;search_scope=EVERYTHING&amp;vid=01CRU&amp;lang=en_US&amp;offset=0&amp;query=any,contains,991003804109702656","Catalog Record")</f>
        <v/>
      </c>
      <c r="AT648">
        <f>HYPERLINK("http://www.worldcat.org/oclc/1529446","WorldCat Record")</f>
        <v/>
      </c>
      <c r="AU648" t="inlineStr">
        <is>
          <t>287735924:eng</t>
        </is>
      </c>
      <c r="AV648" t="inlineStr">
        <is>
          <t>1529446</t>
        </is>
      </c>
      <c r="AW648" t="inlineStr">
        <is>
          <t>991003804109702656</t>
        </is>
      </c>
      <c r="AX648" t="inlineStr">
        <is>
          <t>991003804109702656</t>
        </is>
      </c>
      <c r="AY648" t="inlineStr">
        <is>
          <t>2256816960002656</t>
        </is>
      </c>
      <c r="AZ648" t="inlineStr">
        <is>
          <t>BOOK</t>
        </is>
      </c>
      <c r="BB648" t="inlineStr">
        <is>
          <t>9780134476568</t>
        </is>
      </c>
      <c r="BC648" t="inlineStr">
        <is>
          <t>32285003040135</t>
        </is>
      </c>
      <c r="BD648" t="inlineStr">
        <is>
          <t>893506013</t>
        </is>
      </c>
    </row>
    <row r="649">
      <c r="A649" t="inlineStr">
        <is>
          <t>No</t>
        </is>
      </c>
      <c r="B649" t="inlineStr">
        <is>
          <t>HM291 .S392 1980</t>
        </is>
      </c>
      <c r="C649" t="inlineStr">
        <is>
          <t>0                      HM 0291000S  392         1980</t>
        </is>
      </c>
      <c r="D649" t="inlineStr">
        <is>
          <t>Secrecy, a cross-cultural perspective / edited by Stanton K. Tefft.</t>
        </is>
      </c>
      <c r="F649" t="inlineStr">
        <is>
          <t>No</t>
        </is>
      </c>
      <c r="G649" t="inlineStr">
        <is>
          <t>1</t>
        </is>
      </c>
      <c r="H649" t="inlineStr">
        <is>
          <t>No</t>
        </is>
      </c>
      <c r="I649" t="inlineStr">
        <is>
          <t>No</t>
        </is>
      </c>
      <c r="J649" t="inlineStr">
        <is>
          <t>0</t>
        </is>
      </c>
      <c r="L649" t="inlineStr">
        <is>
          <t>New York, N.Y. : Human Sciences Press, c1980.</t>
        </is>
      </c>
      <c r="M649" t="inlineStr">
        <is>
          <t>1980</t>
        </is>
      </c>
      <c r="O649" t="inlineStr">
        <is>
          <t>eng</t>
        </is>
      </c>
      <c r="P649" t="inlineStr">
        <is>
          <t>nyu</t>
        </is>
      </c>
      <c r="R649" t="inlineStr">
        <is>
          <t xml:space="preserve">HM </t>
        </is>
      </c>
      <c r="S649" t="n">
        <v>2</v>
      </c>
      <c r="T649" t="n">
        <v>2</v>
      </c>
      <c r="U649" t="inlineStr">
        <is>
          <t>2004-11-15</t>
        </is>
      </c>
      <c r="V649" t="inlineStr">
        <is>
          <t>2004-11-15</t>
        </is>
      </c>
      <c r="W649" t="inlineStr">
        <is>
          <t>1992-09-18</t>
        </is>
      </c>
      <c r="X649" t="inlineStr">
        <is>
          <t>1992-09-18</t>
        </is>
      </c>
      <c r="Y649" t="n">
        <v>493</v>
      </c>
      <c r="Z649" t="n">
        <v>412</v>
      </c>
      <c r="AA649" t="n">
        <v>414</v>
      </c>
      <c r="AB649" t="n">
        <v>7</v>
      </c>
      <c r="AC649" t="n">
        <v>7</v>
      </c>
      <c r="AD649" t="n">
        <v>22</v>
      </c>
      <c r="AE649" t="n">
        <v>22</v>
      </c>
      <c r="AF649" t="n">
        <v>4</v>
      </c>
      <c r="AG649" t="n">
        <v>4</v>
      </c>
      <c r="AH649" t="n">
        <v>3</v>
      </c>
      <c r="AI649" t="n">
        <v>3</v>
      </c>
      <c r="AJ649" t="n">
        <v>9</v>
      </c>
      <c r="AK649" t="n">
        <v>9</v>
      </c>
      <c r="AL649" t="n">
        <v>5</v>
      </c>
      <c r="AM649" t="n">
        <v>5</v>
      </c>
      <c r="AN649" t="n">
        <v>4</v>
      </c>
      <c r="AO649" t="n">
        <v>4</v>
      </c>
      <c r="AP649" t="inlineStr">
        <is>
          <t>No</t>
        </is>
      </c>
      <c r="AQ649" t="inlineStr">
        <is>
          <t>Yes</t>
        </is>
      </c>
      <c r="AR649">
        <f>HYPERLINK("http://catalog.hathitrust.org/Record/000691869","HathiTrust Record")</f>
        <v/>
      </c>
      <c r="AS649">
        <f>HYPERLINK("https://creighton-primo.hosted.exlibrisgroup.com/primo-explore/search?tab=default_tab&amp;search_scope=EVERYTHING&amp;vid=01CRU&amp;lang=en_US&amp;offset=0&amp;query=any,contains,991004877659702656","Catalog Record")</f>
        <v/>
      </c>
      <c r="AT649">
        <f>HYPERLINK("http://www.worldcat.org/oclc/5799089","WorldCat Record")</f>
        <v/>
      </c>
      <c r="AU649" t="inlineStr">
        <is>
          <t>535464:eng</t>
        </is>
      </c>
      <c r="AV649" t="inlineStr">
        <is>
          <t>5799089</t>
        </is>
      </c>
      <c r="AW649" t="inlineStr">
        <is>
          <t>991004877659702656</t>
        </is>
      </c>
      <c r="AX649" t="inlineStr">
        <is>
          <t>991004877659702656</t>
        </is>
      </c>
      <c r="AY649" t="inlineStr">
        <is>
          <t>2269109810002656</t>
        </is>
      </c>
      <c r="AZ649" t="inlineStr">
        <is>
          <t>BOOK</t>
        </is>
      </c>
      <c r="BB649" t="inlineStr">
        <is>
          <t>9780877054429</t>
        </is>
      </c>
      <c r="BC649" t="inlineStr">
        <is>
          <t>32285001268845</t>
        </is>
      </c>
      <c r="BD649" t="inlineStr">
        <is>
          <t>893782756</t>
        </is>
      </c>
    </row>
    <row r="650">
      <c r="A650" t="inlineStr">
        <is>
          <t>No</t>
        </is>
      </c>
      <c r="B650" t="inlineStr">
        <is>
          <t>HM291 .S396 1982</t>
        </is>
      </c>
      <c r="C650" t="inlineStr">
        <is>
          <t>0                      HM 0291000S  396         1982</t>
        </is>
      </c>
      <c r="D650" t="inlineStr">
        <is>
          <t>Conflict resolving communication : a skill development approach / William Daniel Semlak.</t>
        </is>
      </c>
      <c r="F650" t="inlineStr">
        <is>
          <t>No</t>
        </is>
      </c>
      <c r="G650" t="inlineStr">
        <is>
          <t>1</t>
        </is>
      </c>
      <c r="H650" t="inlineStr">
        <is>
          <t>No</t>
        </is>
      </c>
      <c r="I650" t="inlineStr">
        <is>
          <t>No</t>
        </is>
      </c>
      <c r="J650" t="inlineStr">
        <is>
          <t>0</t>
        </is>
      </c>
      <c r="K650" t="inlineStr">
        <is>
          <t>Semlak, William Daniel.</t>
        </is>
      </c>
      <c r="L650" t="inlineStr">
        <is>
          <t>Prospect Heights, Ill. : Waveland Press, Inc., c1982.</t>
        </is>
      </c>
      <c r="M650" t="inlineStr">
        <is>
          <t>1982</t>
        </is>
      </c>
      <c r="O650" t="inlineStr">
        <is>
          <t>eng</t>
        </is>
      </c>
      <c r="P650" t="inlineStr">
        <is>
          <t>ilu</t>
        </is>
      </c>
      <c r="R650" t="inlineStr">
        <is>
          <t xml:space="preserve">HM </t>
        </is>
      </c>
      <c r="S650" t="n">
        <v>4</v>
      </c>
      <c r="T650" t="n">
        <v>4</v>
      </c>
      <c r="U650" t="inlineStr">
        <is>
          <t>1999-08-09</t>
        </is>
      </c>
      <c r="V650" t="inlineStr">
        <is>
          <t>1999-08-09</t>
        </is>
      </c>
      <c r="W650" t="inlineStr">
        <is>
          <t>1992-09-18</t>
        </is>
      </c>
      <c r="X650" t="inlineStr">
        <is>
          <t>1992-09-18</t>
        </is>
      </c>
      <c r="Y650" t="n">
        <v>98</v>
      </c>
      <c r="Z650" t="n">
        <v>91</v>
      </c>
      <c r="AA650" t="n">
        <v>124</v>
      </c>
      <c r="AB650" t="n">
        <v>1</v>
      </c>
      <c r="AC650" t="n">
        <v>1</v>
      </c>
      <c r="AD650" t="n">
        <v>2</v>
      </c>
      <c r="AE650" t="n">
        <v>3</v>
      </c>
      <c r="AF650" t="n">
        <v>1</v>
      </c>
      <c r="AG650" t="n">
        <v>1</v>
      </c>
      <c r="AH650" t="n">
        <v>0</v>
      </c>
      <c r="AI650" t="n">
        <v>0</v>
      </c>
      <c r="AJ650" t="n">
        <v>2</v>
      </c>
      <c r="AK650" t="n">
        <v>3</v>
      </c>
      <c r="AL650" t="n">
        <v>0</v>
      </c>
      <c r="AM650" t="n">
        <v>0</v>
      </c>
      <c r="AN650" t="n">
        <v>0</v>
      </c>
      <c r="AO650" t="n">
        <v>0</v>
      </c>
      <c r="AP650" t="inlineStr">
        <is>
          <t>No</t>
        </is>
      </c>
      <c r="AQ650" t="inlineStr">
        <is>
          <t>Yes</t>
        </is>
      </c>
      <c r="AR650">
        <f>HYPERLINK("http://catalog.hathitrust.org/Record/000766665","HathiTrust Record")</f>
        <v/>
      </c>
      <c r="AS650">
        <f>HYPERLINK("https://creighton-primo.hosted.exlibrisgroup.com/primo-explore/search?tab=default_tab&amp;search_scope=EVERYTHING&amp;vid=01CRU&amp;lang=en_US&amp;offset=0&amp;query=any,contains,991000023199702656","Catalog Record")</f>
        <v/>
      </c>
      <c r="AT650">
        <f>HYPERLINK("http://www.worldcat.org/oclc/8583733","WorldCat Record")</f>
        <v/>
      </c>
      <c r="AU650" t="inlineStr">
        <is>
          <t>32645940:eng</t>
        </is>
      </c>
      <c r="AV650" t="inlineStr">
        <is>
          <t>8583733</t>
        </is>
      </c>
      <c r="AW650" t="inlineStr">
        <is>
          <t>991000023199702656</t>
        </is>
      </c>
      <c r="AX650" t="inlineStr">
        <is>
          <t>991000023199702656</t>
        </is>
      </c>
      <c r="AY650" t="inlineStr">
        <is>
          <t>2271661780002656</t>
        </is>
      </c>
      <c r="AZ650" t="inlineStr">
        <is>
          <t>BOOK</t>
        </is>
      </c>
      <c r="BB650" t="inlineStr">
        <is>
          <t>9780917974762</t>
        </is>
      </c>
      <c r="BC650" t="inlineStr">
        <is>
          <t>32285001268852</t>
        </is>
      </c>
      <c r="BD650" t="inlineStr">
        <is>
          <t>893314611</t>
        </is>
      </c>
    </row>
    <row r="651">
      <c r="A651" t="inlineStr">
        <is>
          <t>No</t>
        </is>
      </c>
      <c r="B651" t="inlineStr">
        <is>
          <t>HM291 .S52</t>
        </is>
      </c>
      <c r="C651" t="inlineStr">
        <is>
          <t>0                      HM 0291000S  52</t>
        </is>
      </c>
      <c r="D651" t="inlineStr">
        <is>
          <t>Improvised news; a sociological study of rumor.</t>
        </is>
      </c>
      <c r="F651" t="inlineStr">
        <is>
          <t>No</t>
        </is>
      </c>
      <c r="G651" t="inlineStr">
        <is>
          <t>1</t>
        </is>
      </c>
      <c r="H651" t="inlineStr">
        <is>
          <t>No</t>
        </is>
      </c>
      <c r="I651" t="inlineStr">
        <is>
          <t>No</t>
        </is>
      </c>
      <c r="J651" t="inlineStr">
        <is>
          <t>0</t>
        </is>
      </c>
      <c r="K651" t="inlineStr">
        <is>
          <t>Shibutani, Tamotsu, 1920-</t>
        </is>
      </c>
      <c r="L651" t="inlineStr">
        <is>
          <t>Indianapolis, Bobbs-Merrill [c1966]</t>
        </is>
      </c>
      <c r="M651" t="inlineStr">
        <is>
          <t>1966</t>
        </is>
      </c>
      <c r="O651" t="inlineStr">
        <is>
          <t>eng</t>
        </is>
      </c>
      <c r="P651" t="inlineStr">
        <is>
          <t>inu</t>
        </is>
      </c>
      <c r="Q651" t="inlineStr">
        <is>
          <t>An Advanced study in sociology</t>
        </is>
      </c>
      <c r="R651" t="inlineStr">
        <is>
          <t xml:space="preserve">HM </t>
        </is>
      </c>
      <c r="S651" t="n">
        <v>0</v>
      </c>
      <c r="T651" t="n">
        <v>0</v>
      </c>
      <c r="U651" t="inlineStr">
        <is>
          <t>2003-09-17</t>
        </is>
      </c>
      <c r="V651" t="inlineStr">
        <is>
          <t>2003-09-17</t>
        </is>
      </c>
      <c r="W651" t="inlineStr">
        <is>
          <t>1997-08-04</t>
        </is>
      </c>
      <c r="X651" t="inlineStr">
        <is>
          <t>1997-08-04</t>
        </is>
      </c>
      <c r="Y651" t="n">
        <v>810</v>
      </c>
      <c r="Z651" t="n">
        <v>666</v>
      </c>
      <c r="AA651" t="n">
        <v>673</v>
      </c>
      <c r="AB651" t="n">
        <v>6</v>
      </c>
      <c r="AC651" t="n">
        <v>6</v>
      </c>
      <c r="AD651" t="n">
        <v>33</v>
      </c>
      <c r="AE651" t="n">
        <v>33</v>
      </c>
      <c r="AF651" t="n">
        <v>14</v>
      </c>
      <c r="AG651" t="n">
        <v>14</v>
      </c>
      <c r="AH651" t="n">
        <v>7</v>
      </c>
      <c r="AI651" t="n">
        <v>7</v>
      </c>
      <c r="AJ651" t="n">
        <v>16</v>
      </c>
      <c r="AK651" t="n">
        <v>16</v>
      </c>
      <c r="AL651" t="n">
        <v>5</v>
      </c>
      <c r="AM651" t="n">
        <v>5</v>
      </c>
      <c r="AN651" t="n">
        <v>0</v>
      </c>
      <c r="AO651" t="n">
        <v>0</v>
      </c>
      <c r="AP651" t="inlineStr">
        <is>
          <t>No</t>
        </is>
      </c>
      <c r="AQ651" t="inlineStr">
        <is>
          <t>Yes</t>
        </is>
      </c>
      <c r="AR651">
        <f>HYPERLINK("http://catalog.hathitrust.org/Record/000974200","HathiTrust Record")</f>
        <v/>
      </c>
      <c r="AS651">
        <f>HYPERLINK("https://creighton-primo.hosted.exlibrisgroup.com/primo-explore/search?tab=default_tab&amp;search_scope=EVERYTHING&amp;vid=01CRU&amp;lang=en_US&amp;offset=0&amp;query=any,contains,991001996309702656","Catalog Record")</f>
        <v/>
      </c>
      <c r="AT651">
        <f>HYPERLINK("http://www.worldcat.org/oclc/255983","WorldCat Record")</f>
        <v/>
      </c>
      <c r="AU651" t="inlineStr">
        <is>
          <t>1353747:eng</t>
        </is>
      </c>
      <c r="AV651" t="inlineStr">
        <is>
          <t>255983</t>
        </is>
      </c>
      <c r="AW651" t="inlineStr">
        <is>
          <t>991001996309702656</t>
        </is>
      </c>
      <c r="AX651" t="inlineStr">
        <is>
          <t>991001996309702656</t>
        </is>
      </c>
      <c r="AY651" t="inlineStr">
        <is>
          <t>2270723740002656</t>
        </is>
      </c>
      <c r="AZ651" t="inlineStr">
        <is>
          <t>BOOK</t>
        </is>
      </c>
      <c r="BC651" t="inlineStr">
        <is>
          <t>32285003040150</t>
        </is>
      </c>
      <c r="BD651" t="inlineStr">
        <is>
          <t>893352105</t>
        </is>
      </c>
    </row>
    <row r="652">
      <c r="A652" t="inlineStr">
        <is>
          <t>No</t>
        </is>
      </c>
      <c r="B652" t="inlineStr">
        <is>
          <t>HM291 .S53</t>
        </is>
      </c>
      <c r="C652" t="inlineStr">
        <is>
          <t>0                      HM 0291000S  53</t>
        </is>
      </c>
      <c r="D652" t="inlineStr">
        <is>
          <t>The mark of Cain : the stigma theory of crime and social deviation / Giora S. Shoham ; foreword by Marvin E. Wolfgang.</t>
        </is>
      </c>
      <c r="F652" t="inlineStr">
        <is>
          <t>No</t>
        </is>
      </c>
      <c r="G652" t="inlineStr">
        <is>
          <t>1</t>
        </is>
      </c>
      <c r="H652" t="inlineStr">
        <is>
          <t>Yes</t>
        </is>
      </c>
      <c r="I652" t="inlineStr">
        <is>
          <t>No</t>
        </is>
      </c>
      <c r="J652" t="inlineStr">
        <is>
          <t>0</t>
        </is>
      </c>
      <c r="K652" t="inlineStr">
        <is>
          <t>Shoham, S. Giora, 1929-</t>
        </is>
      </c>
      <c r="L652" t="inlineStr">
        <is>
          <t>Jerusalem : Israel Universitites Press ; Dobbs Ferry, N.Y. : Oceana Publications, [1970]</t>
        </is>
      </c>
      <c r="M652" t="inlineStr">
        <is>
          <t>1970</t>
        </is>
      </c>
      <c r="O652" t="inlineStr">
        <is>
          <t>eng</t>
        </is>
      </c>
      <c r="P652" t="inlineStr">
        <is>
          <t xml:space="preserve">is </t>
        </is>
      </c>
      <c r="R652" t="inlineStr">
        <is>
          <t xml:space="preserve">HM </t>
        </is>
      </c>
      <c r="S652" t="n">
        <v>2</v>
      </c>
      <c r="T652" t="n">
        <v>2</v>
      </c>
      <c r="U652" t="inlineStr">
        <is>
          <t>2000-04-05</t>
        </is>
      </c>
      <c r="V652" t="inlineStr">
        <is>
          <t>2000-04-05</t>
        </is>
      </c>
      <c r="W652" t="inlineStr">
        <is>
          <t>1997-08-04</t>
        </is>
      </c>
      <c r="X652" t="inlineStr">
        <is>
          <t>1997-08-04</t>
        </is>
      </c>
      <c r="Y652" t="n">
        <v>495</v>
      </c>
      <c r="Z652" t="n">
        <v>404</v>
      </c>
      <c r="AA652" t="n">
        <v>532</v>
      </c>
      <c r="AB652" t="n">
        <v>11</v>
      </c>
      <c r="AC652" t="n">
        <v>11</v>
      </c>
      <c r="AD652" t="n">
        <v>28</v>
      </c>
      <c r="AE652" t="n">
        <v>33</v>
      </c>
      <c r="AF652" t="n">
        <v>3</v>
      </c>
      <c r="AG652" t="n">
        <v>6</v>
      </c>
      <c r="AH652" t="n">
        <v>3</v>
      </c>
      <c r="AI652" t="n">
        <v>4</v>
      </c>
      <c r="AJ652" t="n">
        <v>5</v>
      </c>
      <c r="AK652" t="n">
        <v>7</v>
      </c>
      <c r="AL652" t="n">
        <v>8</v>
      </c>
      <c r="AM652" t="n">
        <v>8</v>
      </c>
      <c r="AN652" t="n">
        <v>10</v>
      </c>
      <c r="AO652" t="n">
        <v>11</v>
      </c>
      <c r="AP652" t="inlineStr">
        <is>
          <t>No</t>
        </is>
      </c>
      <c r="AQ652" t="inlineStr">
        <is>
          <t>Yes</t>
        </is>
      </c>
      <c r="AR652">
        <f>HYPERLINK("http://catalog.hathitrust.org/Record/000974201","HathiTrust Record")</f>
        <v/>
      </c>
      <c r="AS652">
        <f>HYPERLINK("https://creighton-primo.hosted.exlibrisgroup.com/primo-explore/search?tab=default_tab&amp;search_scope=EVERYTHING&amp;vid=01CRU&amp;lang=en_US&amp;offset=0&amp;query=any,contains,991001715219702656","Catalog Record")</f>
        <v/>
      </c>
      <c r="AT652">
        <f>HYPERLINK("http://www.worldcat.org/oclc/105901","WorldCat Record")</f>
        <v/>
      </c>
      <c r="AU652" t="inlineStr">
        <is>
          <t>288542174:eng</t>
        </is>
      </c>
      <c r="AV652" t="inlineStr">
        <is>
          <t>105901</t>
        </is>
      </c>
      <c r="AW652" t="inlineStr">
        <is>
          <t>991001715219702656</t>
        </is>
      </c>
      <c r="AX652" t="inlineStr">
        <is>
          <t>991001715219702656</t>
        </is>
      </c>
      <c r="AY652" t="inlineStr">
        <is>
          <t>2263239740002656</t>
        </is>
      </c>
      <c r="AZ652" t="inlineStr">
        <is>
          <t>BOOK</t>
        </is>
      </c>
      <c r="BB652" t="inlineStr">
        <is>
          <t>9780379004342</t>
        </is>
      </c>
      <c r="BC652" t="inlineStr">
        <is>
          <t>32285003040168</t>
        </is>
      </c>
      <c r="BD652" t="inlineStr">
        <is>
          <t>893522765</t>
        </is>
      </c>
    </row>
    <row r="653">
      <c r="A653" t="inlineStr">
        <is>
          <t>No</t>
        </is>
      </c>
      <c r="B653" t="inlineStr">
        <is>
          <t>HM291 .S532</t>
        </is>
      </c>
      <c r="C653" t="inlineStr">
        <is>
          <t>0                      HM 0291000S  532</t>
        </is>
      </c>
      <c r="D653" t="inlineStr">
        <is>
          <t>Salvation through the gutters : deviance and transcendence / S. Giora Shoham.</t>
        </is>
      </c>
      <c r="F653" t="inlineStr">
        <is>
          <t>No</t>
        </is>
      </c>
      <c r="G653" t="inlineStr">
        <is>
          <t>1</t>
        </is>
      </c>
      <c r="H653" t="inlineStr">
        <is>
          <t>No</t>
        </is>
      </c>
      <c r="I653" t="inlineStr">
        <is>
          <t>No</t>
        </is>
      </c>
      <c r="J653" t="inlineStr">
        <is>
          <t>0</t>
        </is>
      </c>
      <c r="K653" t="inlineStr">
        <is>
          <t>Shoham, S. Giora, 1929-</t>
        </is>
      </c>
      <c r="L653" t="inlineStr">
        <is>
          <t>Washington : Hemisphere Pub. Corp., c1979.</t>
        </is>
      </c>
      <c r="M653" t="inlineStr">
        <is>
          <t>1979</t>
        </is>
      </c>
      <c r="O653" t="inlineStr">
        <is>
          <t>eng</t>
        </is>
      </c>
      <c r="P653" t="inlineStr">
        <is>
          <t>dcu</t>
        </is>
      </c>
      <c r="R653" t="inlineStr">
        <is>
          <t xml:space="preserve">HM </t>
        </is>
      </c>
      <c r="S653" t="n">
        <v>1</v>
      </c>
      <c r="T653" t="n">
        <v>1</v>
      </c>
      <c r="U653" t="inlineStr">
        <is>
          <t>2006-09-26</t>
        </is>
      </c>
      <c r="V653" t="inlineStr">
        <is>
          <t>2006-09-26</t>
        </is>
      </c>
      <c r="W653" t="inlineStr">
        <is>
          <t>1992-09-18</t>
        </is>
      </c>
      <c r="X653" t="inlineStr">
        <is>
          <t>1992-09-18</t>
        </is>
      </c>
      <c r="Y653" t="n">
        <v>159</v>
      </c>
      <c r="Z653" t="n">
        <v>122</v>
      </c>
      <c r="AA653" t="n">
        <v>124</v>
      </c>
      <c r="AB653" t="n">
        <v>1</v>
      </c>
      <c r="AC653" t="n">
        <v>1</v>
      </c>
      <c r="AD653" t="n">
        <v>3</v>
      </c>
      <c r="AE653" t="n">
        <v>3</v>
      </c>
      <c r="AF653" t="n">
        <v>1</v>
      </c>
      <c r="AG653" t="n">
        <v>1</v>
      </c>
      <c r="AH653" t="n">
        <v>0</v>
      </c>
      <c r="AI653" t="n">
        <v>0</v>
      </c>
      <c r="AJ653" t="n">
        <v>3</v>
      </c>
      <c r="AK653" t="n">
        <v>3</v>
      </c>
      <c r="AL653" t="n">
        <v>0</v>
      </c>
      <c r="AM653" t="n">
        <v>0</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HYPERLINK("https://creighton-primo.hosted.exlibrisgroup.com/primo-explore/search?tab=default_tab&amp;search_scope=EVERYTHING&amp;vid=01CRU&amp;lang=en_US&amp;offset=0&amp;query=any,contains,991004665429702656","Catalog Record")</f>
        <v/>
      </c>
      <c r="AT653">
        <f>HYPERLINK("http://www.worldcat.org/oclc/4503425","WorldCat Record")</f>
        <v/>
      </c>
      <c r="AU653" t="inlineStr">
        <is>
          <t>889445884:eng</t>
        </is>
      </c>
      <c r="AV653" t="inlineStr">
        <is>
          <t>4503425</t>
        </is>
      </c>
      <c r="AW653" t="inlineStr">
        <is>
          <t>991004665429702656</t>
        </is>
      </c>
      <c r="AX653" t="inlineStr">
        <is>
          <t>991004665429702656</t>
        </is>
      </c>
      <c r="AY653" t="inlineStr">
        <is>
          <t>2265247230002656</t>
        </is>
      </c>
      <c r="AZ653" t="inlineStr">
        <is>
          <t>BOOK</t>
        </is>
      </c>
      <c r="BB653" t="inlineStr">
        <is>
          <t>9780891161448</t>
        </is>
      </c>
      <c r="BC653" t="inlineStr">
        <is>
          <t>32285001268860</t>
        </is>
      </c>
      <c r="BD653" t="inlineStr">
        <is>
          <t>893795131</t>
        </is>
      </c>
    </row>
    <row r="654">
      <c r="A654" t="inlineStr">
        <is>
          <t>No</t>
        </is>
      </c>
      <c r="B654" t="inlineStr">
        <is>
          <t>HM291 .S577 1996</t>
        </is>
      </c>
      <c r="C654" t="inlineStr">
        <is>
          <t>0                      HM 0291000S  577         1996</t>
        </is>
      </c>
      <c r="D654" t="inlineStr">
        <is>
          <t>Small groups : an introduction / A. Paul Hare ... [et al.].</t>
        </is>
      </c>
      <c r="F654" t="inlineStr">
        <is>
          <t>No</t>
        </is>
      </c>
      <c r="G654" t="inlineStr">
        <is>
          <t>1</t>
        </is>
      </c>
      <c r="H654" t="inlineStr">
        <is>
          <t>No</t>
        </is>
      </c>
      <c r="I654" t="inlineStr">
        <is>
          <t>No</t>
        </is>
      </c>
      <c r="J654" t="inlineStr">
        <is>
          <t>0</t>
        </is>
      </c>
      <c r="L654" t="inlineStr">
        <is>
          <t>Westport, Conn. : Praeger, 1996.</t>
        </is>
      </c>
      <c r="M654" t="inlineStr">
        <is>
          <t>1996</t>
        </is>
      </c>
      <c r="O654" t="inlineStr">
        <is>
          <t>eng</t>
        </is>
      </c>
      <c r="P654" t="inlineStr">
        <is>
          <t>ctu</t>
        </is>
      </c>
      <c r="R654" t="inlineStr">
        <is>
          <t xml:space="preserve">HM </t>
        </is>
      </c>
      <c r="S654" t="n">
        <v>5</v>
      </c>
      <c r="T654" t="n">
        <v>5</v>
      </c>
      <c r="U654" t="inlineStr">
        <is>
          <t>2004-10-06</t>
        </is>
      </c>
      <c r="V654" t="inlineStr">
        <is>
          <t>2004-10-06</t>
        </is>
      </c>
      <c r="W654" t="inlineStr">
        <is>
          <t>1998-08-24</t>
        </is>
      </c>
      <c r="X654" t="inlineStr">
        <is>
          <t>1998-08-24</t>
        </is>
      </c>
      <c r="Y654" t="n">
        <v>290</v>
      </c>
      <c r="Z654" t="n">
        <v>224</v>
      </c>
      <c r="AA654" t="n">
        <v>231</v>
      </c>
      <c r="AB654" t="n">
        <v>1</v>
      </c>
      <c r="AC654" t="n">
        <v>1</v>
      </c>
      <c r="AD654" t="n">
        <v>9</v>
      </c>
      <c r="AE654" t="n">
        <v>9</v>
      </c>
      <c r="AF654" t="n">
        <v>2</v>
      </c>
      <c r="AG654" t="n">
        <v>2</v>
      </c>
      <c r="AH654" t="n">
        <v>3</v>
      </c>
      <c r="AI654" t="n">
        <v>3</v>
      </c>
      <c r="AJ654" t="n">
        <v>7</v>
      </c>
      <c r="AK654" t="n">
        <v>7</v>
      </c>
      <c r="AL654" t="n">
        <v>0</v>
      </c>
      <c r="AM654" t="n">
        <v>0</v>
      </c>
      <c r="AN654" t="n">
        <v>0</v>
      </c>
      <c r="AO654" t="n">
        <v>0</v>
      </c>
      <c r="AP654" t="inlineStr">
        <is>
          <t>No</t>
        </is>
      </c>
      <c r="AQ654" t="inlineStr">
        <is>
          <t>Yes</t>
        </is>
      </c>
      <c r="AR654">
        <f>HYPERLINK("http://catalog.hathitrust.org/Record/003120515","HathiTrust Record")</f>
        <v/>
      </c>
      <c r="AS654">
        <f>HYPERLINK("https://creighton-primo.hosted.exlibrisgroup.com/primo-explore/search?tab=default_tab&amp;search_scope=EVERYTHING&amp;vid=01CRU&amp;lang=en_US&amp;offset=0&amp;query=any,contains,991002636309702656","Catalog Record")</f>
        <v/>
      </c>
      <c r="AT654">
        <f>HYPERLINK("http://www.worldcat.org/oclc/34543955","WorldCat Record")</f>
        <v/>
      </c>
      <c r="AU654" t="inlineStr">
        <is>
          <t>3943818016:eng</t>
        </is>
      </c>
      <c r="AV654" t="inlineStr">
        <is>
          <t>34543955</t>
        </is>
      </c>
      <c r="AW654" t="inlineStr">
        <is>
          <t>991002636309702656</t>
        </is>
      </c>
      <c r="AX654" t="inlineStr">
        <is>
          <t>991002636309702656</t>
        </is>
      </c>
      <c r="AY654" t="inlineStr">
        <is>
          <t>2261602500002656</t>
        </is>
      </c>
      <c r="AZ654" t="inlineStr">
        <is>
          <t>BOOK</t>
        </is>
      </c>
      <c r="BB654" t="inlineStr">
        <is>
          <t>9780275948962</t>
        </is>
      </c>
      <c r="BC654" t="inlineStr">
        <is>
          <t>32285003460929</t>
        </is>
      </c>
      <c r="BD654" t="inlineStr">
        <is>
          <t>893773840</t>
        </is>
      </c>
    </row>
    <row r="655">
      <c r="A655" t="inlineStr">
        <is>
          <t>No</t>
        </is>
      </c>
      <c r="B655" t="inlineStr">
        <is>
          <t>HM291 .S58845 1998</t>
        </is>
      </c>
      <c r="C655" t="inlineStr">
        <is>
          <t>0                      HM 0291000S  58845       1998</t>
        </is>
      </c>
      <c r="D655" t="inlineStr">
        <is>
          <t>The social movement society : contentious politics for a new century / edited by David S. Meyer and Sidney Tarrow.</t>
        </is>
      </c>
      <c r="F655" t="inlineStr">
        <is>
          <t>No</t>
        </is>
      </c>
      <c r="G655" t="inlineStr">
        <is>
          <t>1</t>
        </is>
      </c>
      <c r="H655" t="inlineStr">
        <is>
          <t>No</t>
        </is>
      </c>
      <c r="I655" t="inlineStr">
        <is>
          <t>No</t>
        </is>
      </c>
      <c r="J655" t="inlineStr">
        <is>
          <t>0</t>
        </is>
      </c>
      <c r="L655" t="inlineStr">
        <is>
          <t>Lanham : Rowman &amp; Littlefield Publishers, c1998.</t>
        </is>
      </c>
      <c r="M655" t="inlineStr">
        <is>
          <t>1998</t>
        </is>
      </c>
      <c r="O655" t="inlineStr">
        <is>
          <t>eng</t>
        </is>
      </c>
      <c r="P655" t="inlineStr">
        <is>
          <t>mdu</t>
        </is>
      </c>
      <c r="Q655" t="inlineStr">
        <is>
          <t>People, passions, and power</t>
        </is>
      </c>
      <c r="R655" t="inlineStr">
        <is>
          <t xml:space="preserve">HM </t>
        </is>
      </c>
      <c r="S655" t="n">
        <v>1</v>
      </c>
      <c r="T655" t="n">
        <v>1</v>
      </c>
      <c r="U655" t="inlineStr">
        <is>
          <t>1999-01-13</t>
        </is>
      </c>
      <c r="V655" t="inlineStr">
        <is>
          <t>1999-01-13</t>
        </is>
      </c>
      <c r="W655" t="inlineStr">
        <is>
          <t>1998-11-02</t>
        </is>
      </c>
      <c r="X655" t="inlineStr">
        <is>
          <t>1998-11-02</t>
        </is>
      </c>
      <c r="Y655" t="n">
        <v>365</v>
      </c>
      <c r="Z655" t="n">
        <v>257</v>
      </c>
      <c r="AA655" t="n">
        <v>272</v>
      </c>
      <c r="AB655" t="n">
        <v>3</v>
      </c>
      <c r="AC655" t="n">
        <v>3</v>
      </c>
      <c r="AD655" t="n">
        <v>16</v>
      </c>
      <c r="AE655" t="n">
        <v>17</v>
      </c>
      <c r="AF655" t="n">
        <v>6</v>
      </c>
      <c r="AG655" t="n">
        <v>7</v>
      </c>
      <c r="AH655" t="n">
        <v>5</v>
      </c>
      <c r="AI655" t="n">
        <v>6</v>
      </c>
      <c r="AJ655" t="n">
        <v>7</v>
      </c>
      <c r="AK655" t="n">
        <v>7</v>
      </c>
      <c r="AL655" t="n">
        <v>2</v>
      </c>
      <c r="AM655" t="n">
        <v>2</v>
      </c>
      <c r="AN655" t="n">
        <v>0</v>
      </c>
      <c r="AO655" t="n">
        <v>0</v>
      </c>
      <c r="AP655" t="inlineStr">
        <is>
          <t>No</t>
        </is>
      </c>
      <c r="AQ655" t="inlineStr">
        <is>
          <t>Yes</t>
        </is>
      </c>
      <c r="AR655">
        <f>HYPERLINK("http://catalog.hathitrust.org/Record/003958320","HathiTrust Record")</f>
        <v/>
      </c>
      <c r="AS655">
        <f>HYPERLINK("https://creighton-primo.hosted.exlibrisgroup.com/primo-explore/search?tab=default_tab&amp;search_scope=EVERYTHING&amp;vid=01CRU&amp;lang=en_US&amp;offset=0&amp;query=any,contains,991002844469702656","Catalog Record")</f>
        <v/>
      </c>
      <c r="AT655">
        <f>HYPERLINK("http://www.worldcat.org/oclc/37475109","WorldCat Record")</f>
        <v/>
      </c>
      <c r="AU655" t="inlineStr">
        <is>
          <t>808248581:eng</t>
        </is>
      </c>
      <c r="AV655" t="inlineStr">
        <is>
          <t>37475109</t>
        </is>
      </c>
      <c r="AW655" t="inlineStr">
        <is>
          <t>991002844469702656</t>
        </is>
      </c>
      <c r="AX655" t="inlineStr">
        <is>
          <t>991002844469702656</t>
        </is>
      </c>
      <c r="AY655" t="inlineStr">
        <is>
          <t>2260038870002656</t>
        </is>
      </c>
      <c r="AZ655" t="inlineStr">
        <is>
          <t>BOOK</t>
        </is>
      </c>
      <c r="BB655" t="inlineStr">
        <is>
          <t>9780847685400</t>
        </is>
      </c>
      <c r="BC655" t="inlineStr">
        <is>
          <t>32285003479135</t>
        </is>
      </c>
      <c r="BD655" t="inlineStr">
        <is>
          <t>893786630</t>
        </is>
      </c>
    </row>
    <row r="656">
      <c r="A656" t="inlineStr">
        <is>
          <t>No</t>
        </is>
      </c>
      <c r="B656" t="inlineStr">
        <is>
          <t>HM291 .S58873 1984</t>
        </is>
      </c>
      <c r="C656" t="inlineStr">
        <is>
          <t>0                      HM 0291000S  58873       1984</t>
        </is>
      </c>
      <c r="D656" t="inlineStr">
        <is>
          <t>Social stigma : the psychology of marked relationships / Edward E. Jones ... [et al.] ; with a special contribution by Rita de S. French.</t>
        </is>
      </c>
      <c r="F656" t="inlineStr">
        <is>
          <t>No</t>
        </is>
      </c>
      <c r="G656" t="inlineStr">
        <is>
          <t>1</t>
        </is>
      </c>
      <c r="H656" t="inlineStr">
        <is>
          <t>No</t>
        </is>
      </c>
      <c r="I656" t="inlineStr">
        <is>
          <t>No</t>
        </is>
      </c>
      <c r="J656" t="inlineStr">
        <is>
          <t>0</t>
        </is>
      </c>
      <c r="L656" t="inlineStr">
        <is>
          <t>New York : W.H. Freeman, c1984.</t>
        </is>
      </c>
      <c r="M656" t="inlineStr">
        <is>
          <t>1984</t>
        </is>
      </c>
      <c r="O656" t="inlineStr">
        <is>
          <t>eng</t>
        </is>
      </c>
      <c r="P656" t="inlineStr">
        <is>
          <t>nyu</t>
        </is>
      </c>
      <c r="R656" t="inlineStr">
        <is>
          <t xml:space="preserve">HM </t>
        </is>
      </c>
      <c r="S656" t="n">
        <v>8</v>
      </c>
      <c r="T656" t="n">
        <v>8</v>
      </c>
      <c r="U656" t="inlineStr">
        <is>
          <t>2001-10-16</t>
        </is>
      </c>
      <c r="V656" t="inlineStr">
        <is>
          <t>2001-10-16</t>
        </is>
      </c>
      <c r="W656" t="inlineStr">
        <is>
          <t>1992-07-27</t>
        </is>
      </c>
      <c r="X656" t="inlineStr">
        <is>
          <t>1992-07-27</t>
        </is>
      </c>
      <c r="Y656" t="n">
        <v>662</v>
      </c>
      <c r="Z656" t="n">
        <v>524</v>
      </c>
      <c r="AA656" t="n">
        <v>525</v>
      </c>
      <c r="AB656" t="n">
        <v>6</v>
      </c>
      <c r="AC656" t="n">
        <v>6</v>
      </c>
      <c r="AD656" t="n">
        <v>26</v>
      </c>
      <c r="AE656" t="n">
        <v>26</v>
      </c>
      <c r="AF656" t="n">
        <v>7</v>
      </c>
      <c r="AG656" t="n">
        <v>7</v>
      </c>
      <c r="AH656" t="n">
        <v>4</v>
      </c>
      <c r="AI656" t="n">
        <v>4</v>
      </c>
      <c r="AJ656" t="n">
        <v>12</v>
      </c>
      <c r="AK656" t="n">
        <v>12</v>
      </c>
      <c r="AL656" t="n">
        <v>5</v>
      </c>
      <c r="AM656" t="n">
        <v>5</v>
      </c>
      <c r="AN656" t="n">
        <v>1</v>
      </c>
      <c r="AO656" t="n">
        <v>1</v>
      </c>
      <c r="AP656" t="inlineStr">
        <is>
          <t>No</t>
        </is>
      </c>
      <c r="AQ656" t="inlineStr">
        <is>
          <t>No</t>
        </is>
      </c>
      <c r="AS656">
        <f>HYPERLINK("https://creighton-primo.hosted.exlibrisgroup.com/primo-explore/search?tab=default_tab&amp;search_scope=EVERYTHING&amp;vid=01CRU&amp;lang=en_US&amp;offset=0&amp;query=any,contains,991000337799702656","Catalog Record")</f>
        <v/>
      </c>
      <c r="AT656">
        <f>HYPERLINK("http://www.worldcat.org/oclc/10230869","WorldCat Record")</f>
        <v/>
      </c>
      <c r="AU656" t="inlineStr">
        <is>
          <t>865277839:eng</t>
        </is>
      </c>
      <c r="AV656" t="inlineStr">
        <is>
          <t>10230869</t>
        </is>
      </c>
      <c r="AW656" t="inlineStr">
        <is>
          <t>991000337799702656</t>
        </is>
      </c>
      <c r="AX656" t="inlineStr">
        <is>
          <t>991000337799702656</t>
        </is>
      </c>
      <c r="AY656" t="inlineStr">
        <is>
          <t>2258530620002656</t>
        </is>
      </c>
      <c r="AZ656" t="inlineStr">
        <is>
          <t>BOOK</t>
        </is>
      </c>
      <c r="BB656" t="inlineStr">
        <is>
          <t>9780716715924</t>
        </is>
      </c>
      <c r="BC656" t="inlineStr">
        <is>
          <t>32285001207181</t>
        </is>
      </c>
      <c r="BD656" t="inlineStr">
        <is>
          <t>893626275</t>
        </is>
      </c>
    </row>
    <row r="657">
      <c r="A657" t="inlineStr">
        <is>
          <t>No</t>
        </is>
      </c>
      <c r="B657" t="inlineStr">
        <is>
          <t>HM291 .S89 1970</t>
        </is>
      </c>
      <c r="C657" t="inlineStr">
        <is>
          <t>0                      HM 0291000S  89          1970</t>
        </is>
      </c>
      <c r="D657" t="inlineStr">
        <is>
          <t>Attitudes, conflict, and social change : [papers] / edited by Bert T. King [and] Elliott McGinnies.</t>
        </is>
      </c>
      <c r="F657" t="inlineStr">
        <is>
          <t>No</t>
        </is>
      </c>
      <c r="G657" t="inlineStr">
        <is>
          <t>1</t>
        </is>
      </c>
      <c r="H657" t="inlineStr">
        <is>
          <t>No</t>
        </is>
      </c>
      <c r="I657" t="inlineStr">
        <is>
          <t>No</t>
        </is>
      </c>
      <c r="J657" t="inlineStr">
        <is>
          <t>0</t>
        </is>
      </c>
      <c r="K657" t="inlineStr">
        <is>
          <t>Symposium on Attitudes, Conflict, and Social Change (1970 : University of Maryland)</t>
        </is>
      </c>
      <c r="L657" t="inlineStr">
        <is>
          <t>New York : Academic Press, 1972.</t>
        </is>
      </c>
      <c r="M657" t="inlineStr">
        <is>
          <t>1972</t>
        </is>
      </c>
      <c r="O657" t="inlineStr">
        <is>
          <t>eng</t>
        </is>
      </c>
      <c r="P657" t="inlineStr">
        <is>
          <t>nyu</t>
        </is>
      </c>
      <c r="R657" t="inlineStr">
        <is>
          <t xml:space="preserve">HM </t>
        </is>
      </c>
      <c r="S657" t="n">
        <v>3</v>
      </c>
      <c r="T657" t="n">
        <v>3</v>
      </c>
      <c r="U657" t="inlineStr">
        <is>
          <t>2000-10-27</t>
        </is>
      </c>
      <c r="V657" t="inlineStr">
        <is>
          <t>2000-10-27</t>
        </is>
      </c>
      <c r="W657" t="inlineStr">
        <is>
          <t>1993-10-12</t>
        </is>
      </c>
      <c r="X657" t="inlineStr">
        <is>
          <t>1993-10-12</t>
        </is>
      </c>
      <c r="Y657" t="n">
        <v>482</v>
      </c>
      <c r="Z657" t="n">
        <v>361</v>
      </c>
      <c r="AA657" t="n">
        <v>399</v>
      </c>
      <c r="AB657" t="n">
        <v>3</v>
      </c>
      <c r="AC657" t="n">
        <v>4</v>
      </c>
      <c r="AD657" t="n">
        <v>13</v>
      </c>
      <c r="AE657" t="n">
        <v>17</v>
      </c>
      <c r="AF657" t="n">
        <v>2</v>
      </c>
      <c r="AG657" t="n">
        <v>4</v>
      </c>
      <c r="AH657" t="n">
        <v>3</v>
      </c>
      <c r="AI657" t="n">
        <v>5</v>
      </c>
      <c r="AJ657" t="n">
        <v>9</v>
      </c>
      <c r="AK657" t="n">
        <v>9</v>
      </c>
      <c r="AL657" t="n">
        <v>2</v>
      </c>
      <c r="AM657" t="n">
        <v>3</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HYPERLINK("https://creighton-primo.hosted.exlibrisgroup.com/primo-explore/search?tab=default_tab&amp;search_scope=EVERYTHING&amp;vid=01CRU&amp;lang=en_US&amp;offset=0&amp;query=any,contains,991002295079702656","Catalog Record")</f>
        <v/>
      </c>
      <c r="AT657">
        <f>HYPERLINK("http://www.worldcat.org/oclc/315082","WorldCat Record")</f>
        <v/>
      </c>
      <c r="AU657" t="inlineStr">
        <is>
          <t>1092811288:eng</t>
        </is>
      </c>
      <c r="AV657" t="inlineStr">
        <is>
          <t>315082</t>
        </is>
      </c>
      <c r="AW657" t="inlineStr">
        <is>
          <t>991002295079702656</t>
        </is>
      </c>
      <c r="AX657" t="inlineStr">
        <is>
          <t>991002295079702656</t>
        </is>
      </c>
      <c r="AY657" t="inlineStr">
        <is>
          <t>2270828180002656</t>
        </is>
      </c>
      <c r="AZ657" t="inlineStr">
        <is>
          <t>BOOK</t>
        </is>
      </c>
      <c r="BB657" t="inlineStr">
        <is>
          <t>9780124077508</t>
        </is>
      </c>
      <c r="BC657" t="inlineStr">
        <is>
          <t>32285001785657</t>
        </is>
      </c>
      <c r="BD657" t="inlineStr">
        <is>
          <t>893421176</t>
        </is>
      </c>
    </row>
    <row r="658">
      <c r="A658" t="inlineStr">
        <is>
          <t>No</t>
        </is>
      </c>
      <c r="B658" t="inlineStr">
        <is>
          <t>HM291 .S9 1960</t>
        </is>
      </c>
      <c r="C658" t="inlineStr">
        <is>
          <t>0                      HM 0291000S  9           1960</t>
        </is>
      </c>
      <c r="D658" t="inlineStr">
        <is>
          <t>Conformity and deviation. Edited by Irwin A. Berg and Bernard M. Bass.</t>
        </is>
      </c>
      <c r="F658" t="inlineStr">
        <is>
          <t>No</t>
        </is>
      </c>
      <c r="G658" t="inlineStr">
        <is>
          <t>1</t>
        </is>
      </c>
      <c r="H658" t="inlineStr">
        <is>
          <t>No</t>
        </is>
      </c>
      <c r="I658" t="inlineStr">
        <is>
          <t>No</t>
        </is>
      </c>
      <c r="J658" t="inlineStr">
        <is>
          <t>0</t>
        </is>
      </c>
      <c r="K658" t="inlineStr">
        <is>
          <t>Symposium on Conformity and Deviation (1960 : Louisiana State University)</t>
        </is>
      </c>
      <c r="L658" t="inlineStr">
        <is>
          <t>New York, Harper c[1961]</t>
        </is>
      </c>
      <c r="M658" t="inlineStr">
        <is>
          <t>1961</t>
        </is>
      </c>
      <c r="O658" t="inlineStr">
        <is>
          <t>eng</t>
        </is>
      </c>
      <c r="P658" t="inlineStr">
        <is>
          <t xml:space="preserve">xx </t>
        </is>
      </c>
      <c r="R658" t="inlineStr">
        <is>
          <t xml:space="preserve">HM </t>
        </is>
      </c>
      <c r="S658" t="n">
        <v>12</v>
      </c>
      <c r="T658" t="n">
        <v>12</v>
      </c>
      <c r="U658" t="inlineStr">
        <is>
          <t>2009-03-03</t>
        </is>
      </c>
      <c r="V658" t="inlineStr">
        <is>
          <t>2009-03-03</t>
        </is>
      </c>
      <c r="W658" t="inlineStr">
        <is>
          <t>1997-08-04</t>
        </is>
      </c>
      <c r="X658" t="inlineStr">
        <is>
          <t>1997-08-04</t>
        </is>
      </c>
      <c r="Y658" t="n">
        <v>527</v>
      </c>
      <c r="Z658" t="n">
        <v>434</v>
      </c>
      <c r="AA658" t="n">
        <v>513</v>
      </c>
      <c r="AB658" t="n">
        <v>4</v>
      </c>
      <c r="AC658" t="n">
        <v>5</v>
      </c>
      <c r="AD658" t="n">
        <v>22</v>
      </c>
      <c r="AE658" t="n">
        <v>25</v>
      </c>
      <c r="AF658" t="n">
        <v>7</v>
      </c>
      <c r="AG658" t="n">
        <v>8</v>
      </c>
      <c r="AH658" t="n">
        <v>7</v>
      </c>
      <c r="AI658" t="n">
        <v>7</v>
      </c>
      <c r="AJ658" t="n">
        <v>12</v>
      </c>
      <c r="AK658" t="n">
        <v>13</v>
      </c>
      <c r="AL658" t="n">
        <v>3</v>
      </c>
      <c r="AM658" t="n">
        <v>4</v>
      </c>
      <c r="AN658" t="n">
        <v>0</v>
      </c>
      <c r="AO658" t="n">
        <v>0</v>
      </c>
      <c r="AP658" t="inlineStr">
        <is>
          <t>No</t>
        </is>
      </c>
      <c r="AQ658" t="inlineStr">
        <is>
          <t>No</t>
        </is>
      </c>
      <c r="AR658">
        <f>HYPERLINK("http://catalog.hathitrust.org/Record/001109531","HathiTrust Record")</f>
        <v/>
      </c>
      <c r="AS658">
        <f>HYPERLINK("https://creighton-primo.hosted.exlibrisgroup.com/primo-explore/search?tab=default_tab&amp;search_scope=EVERYTHING&amp;vid=01CRU&amp;lang=en_US&amp;offset=0&amp;query=any,contains,991003833389702656","Catalog Record")</f>
        <v/>
      </c>
      <c r="AT658">
        <f>HYPERLINK("http://www.worldcat.org/oclc/1596855","WorldCat Record")</f>
        <v/>
      </c>
      <c r="AU658" t="inlineStr">
        <is>
          <t>2498214:eng</t>
        </is>
      </c>
      <c r="AV658" t="inlineStr">
        <is>
          <t>1596855</t>
        </is>
      </c>
      <c r="AW658" t="inlineStr">
        <is>
          <t>991003833389702656</t>
        </is>
      </c>
      <c r="AX658" t="inlineStr">
        <is>
          <t>991003833389702656</t>
        </is>
      </c>
      <c r="AY658" t="inlineStr">
        <is>
          <t>2271861530002656</t>
        </is>
      </c>
      <c r="AZ658" t="inlineStr">
        <is>
          <t>BOOK</t>
        </is>
      </c>
      <c r="BC658" t="inlineStr">
        <is>
          <t>32285003040218</t>
        </is>
      </c>
      <c r="BD658" t="inlineStr">
        <is>
          <t>893781458</t>
        </is>
      </c>
    </row>
    <row r="659">
      <c r="A659" t="inlineStr">
        <is>
          <t>No</t>
        </is>
      </c>
      <c r="B659" t="inlineStr">
        <is>
          <t>HM291 .T87 1988</t>
        </is>
      </c>
      <c r="C659" t="inlineStr">
        <is>
          <t>0                      HM 0291000T  87          1988</t>
        </is>
      </c>
      <c r="D659" t="inlineStr">
        <is>
          <t>A theory of social interaction / Jonathan H. Turner.</t>
        </is>
      </c>
      <c r="F659" t="inlineStr">
        <is>
          <t>No</t>
        </is>
      </c>
      <c r="G659" t="inlineStr">
        <is>
          <t>1</t>
        </is>
      </c>
      <c r="H659" t="inlineStr">
        <is>
          <t>No</t>
        </is>
      </c>
      <c r="I659" t="inlineStr">
        <is>
          <t>No</t>
        </is>
      </c>
      <c r="J659" t="inlineStr">
        <is>
          <t>0</t>
        </is>
      </c>
      <c r="K659" t="inlineStr">
        <is>
          <t>Turner, Jonathan H.</t>
        </is>
      </c>
      <c r="L659" t="inlineStr">
        <is>
          <t>Stanford, Calif. : Stanford University Press, 1988.</t>
        </is>
      </c>
      <c r="M659" t="inlineStr">
        <is>
          <t>1988</t>
        </is>
      </c>
      <c r="O659" t="inlineStr">
        <is>
          <t>eng</t>
        </is>
      </c>
      <c r="P659" t="inlineStr">
        <is>
          <t>cau</t>
        </is>
      </c>
      <c r="R659" t="inlineStr">
        <is>
          <t xml:space="preserve">HM </t>
        </is>
      </c>
      <c r="S659" t="n">
        <v>2</v>
      </c>
      <c r="T659" t="n">
        <v>2</v>
      </c>
      <c r="U659" t="inlineStr">
        <is>
          <t>1994-03-31</t>
        </is>
      </c>
      <c r="V659" t="inlineStr">
        <is>
          <t>1994-03-31</t>
        </is>
      </c>
      <c r="W659" t="inlineStr">
        <is>
          <t>1992-09-18</t>
        </is>
      </c>
      <c r="X659" t="inlineStr">
        <is>
          <t>1992-09-18</t>
        </is>
      </c>
      <c r="Y659" t="n">
        <v>503</v>
      </c>
      <c r="Z659" t="n">
        <v>400</v>
      </c>
      <c r="AA659" t="n">
        <v>401</v>
      </c>
      <c r="AB659" t="n">
        <v>5</v>
      </c>
      <c r="AC659" t="n">
        <v>5</v>
      </c>
      <c r="AD659" t="n">
        <v>17</v>
      </c>
      <c r="AE659" t="n">
        <v>18</v>
      </c>
      <c r="AF659" t="n">
        <v>5</v>
      </c>
      <c r="AG659" t="n">
        <v>5</v>
      </c>
      <c r="AH659" t="n">
        <v>3</v>
      </c>
      <c r="AI659" t="n">
        <v>3</v>
      </c>
      <c r="AJ659" t="n">
        <v>9</v>
      </c>
      <c r="AK659" t="n">
        <v>10</v>
      </c>
      <c r="AL659" t="n">
        <v>4</v>
      </c>
      <c r="AM659" t="n">
        <v>4</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HYPERLINK("https://creighton-primo.hosted.exlibrisgroup.com/primo-explore/search?tab=default_tab&amp;search_scope=EVERYTHING&amp;vid=01CRU&amp;lang=en_US&amp;offset=0&amp;query=any,contains,991001179159702656","Catalog Record")</f>
        <v/>
      </c>
      <c r="AT659">
        <f>HYPERLINK("http://www.worldcat.org/oclc/17106127","WorldCat Record")</f>
        <v/>
      </c>
      <c r="AU659" t="inlineStr">
        <is>
          <t>13185834:eng</t>
        </is>
      </c>
      <c r="AV659" t="inlineStr">
        <is>
          <t>17106127</t>
        </is>
      </c>
      <c r="AW659" t="inlineStr">
        <is>
          <t>991001179159702656</t>
        </is>
      </c>
      <c r="AX659" t="inlineStr">
        <is>
          <t>991001179159702656</t>
        </is>
      </c>
      <c r="AY659" t="inlineStr">
        <is>
          <t>2270473880002656</t>
        </is>
      </c>
      <c r="AZ659" t="inlineStr">
        <is>
          <t>BOOK</t>
        </is>
      </c>
      <c r="BB659" t="inlineStr">
        <is>
          <t>9780804714792</t>
        </is>
      </c>
      <c r="BC659" t="inlineStr">
        <is>
          <t>32285001268910</t>
        </is>
      </c>
      <c r="BD659" t="inlineStr">
        <is>
          <t>893237925</t>
        </is>
      </c>
    </row>
    <row r="660">
      <c r="A660" t="inlineStr">
        <is>
          <t>No</t>
        </is>
      </c>
      <c r="B660" t="inlineStr">
        <is>
          <t>HM291 .V33 1974</t>
        </is>
      </c>
      <c r="C660" t="inlineStr">
        <is>
          <t>0                      HM 0291000V  33          1974</t>
        </is>
      </c>
      <c r="D660" t="inlineStr">
        <is>
          <t>The labelling of deviance : evaluating a perspective : [proceedings] / edited by Walter R. Gove.</t>
        </is>
      </c>
      <c r="F660" t="inlineStr">
        <is>
          <t>No</t>
        </is>
      </c>
      <c r="G660" t="inlineStr">
        <is>
          <t>1</t>
        </is>
      </c>
      <c r="H660" t="inlineStr">
        <is>
          <t>No</t>
        </is>
      </c>
      <c r="I660" t="inlineStr">
        <is>
          <t>No</t>
        </is>
      </c>
      <c r="J660" t="inlineStr">
        <is>
          <t>0</t>
        </is>
      </c>
      <c r="K660" t="inlineStr">
        <is>
          <t>Vanderbilt Sociology Conference (3rd : 1974 : Vanderbilt University)</t>
        </is>
      </c>
      <c r="L660" t="inlineStr">
        <is>
          <t>[Beverly Hills] : Sage Publications ; New York : distributed by Halsted Press, [1975]</t>
        </is>
      </c>
      <c r="M660" t="inlineStr">
        <is>
          <t>1975</t>
        </is>
      </c>
      <c r="O660" t="inlineStr">
        <is>
          <t>eng</t>
        </is>
      </c>
      <c r="P660" t="inlineStr">
        <is>
          <t>cau</t>
        </is>
      </c>
      <c r="R660" t="inlineStr">
        <is>
          <t xml:space="preserve">HM </t>
        </is>
      </c>
      <c r="S660" t="n">
        <v>2</v>
      </c>
      <c r="T660" t="n">
        <v>2</v>
      </c>
      <c r="U660" t="inlineStr">
        <is>
          <t>2005-12-02</t>
        </is>
      </c>
      <c r="V660" t="inlineStr">
        <is>
          <t>2005-12-02</t>
        </is>
      </c>
      <c r="W660" t="inlineStr">
        <is>
          <t>1993-01-05</t>
        </is>
      </c>
      <c r="X660" t="inlineStr">
        <is>
          <t>1993-01-05</t>
        </is>
      </c>
      <c r="Y660" t="n">
        <v>697</v>
      </c>
      <c r="Z660" t="n">
        <v>609</v>
      </c>
      <c r="AA660" t="n">
        <v>762</v>
      </c>
      <c r="AB660" t="n">
        <v>7</v>
      </c>
      <c r="AC660" t="n">
        <v>8</v>
      </c>
      <c r="AD660" t="n">
        <v>23</v>
      </c>
      <c r="AE660" t="n">
        <v>34</v>
      </c>
      <c r="AF660" t="n">
        <v>5</v>
      </c>
      <c r="AG660" t="n">
        <v>11</v>
      </c>
      <c r="AH660" t="n">
        <v>6</v>
      </c>
      <c r="AI660" t="n">
        <v>7</v>
      </c>
      <c r="AJ660" t="n">
        <v>11</v>
      </c>
      <c r="AK660" t="n">
        <v>17</v>
      </c>
      <c r="AL660" t="n">
        <v>5</v>
      </c>
      <c r="AM660" t="n">
        <v>6</v>
      </c>
      <c r="AN660" t="n">
        <v>0</v>
      </c>
      <c r="AO660" t="n">
        <v>2</v>
      </c>
      <c r="AP660" t="inlineStr">
        <is>
          <t>No</t>
        </is>
      </c>
      <c r="AQ660" t="inlineStr">
        <is>
          <t>Yes</t>
        </is>
      </c>
      <c r="AR660">
        <f>HYPERLINK("http://catalog.hathitrust.org/Record/000040046","HathiTrust Record")</f>
        <v/>
      </c>
      <c r="AS660">
        <f>HYPERLINK("https://creighton-primo.hosted.exlibrisgroup.com/primo-explore/search?tab=default_tab&amp;search_scope=EVERYTHING&amp;vid=01CRU&amp;lang=en_US&amp;offset=0&amp;query=any,contains,991003705029702656","Catalog Record")</f>
        <v/>
      </c>
      <c r="AT660">
        <f>HYPERLINK("http://www.worldcat.org/oclc/1341564","WorldCat Record")</f>
        <v/>
      </c>
      <c r="AU660" t="inlineStr">
        <is>
          <t>836662096:eng</t>
        </is>
      </c>
      <c r="AV660" t="inlineStr">
        <is>
          <t>1341564</t>
        </is>
      </c>
      <c r="AW660" t="inlineStr">
        <is>
          <t>991003705029702656</t>
        </is>
      </c>
      <c r="AX660" t="inlineStr">
        <is>
          <t>991003705029702656</t>
        </is>
      </c>
      <c r="AY660" t="inlineStr">
        <is>
          <t>2262423140002656</t>
        </is>
      </c>
      <c r="AZ660" t="inlineStr">
        <is>
          <t>BOOK</t>
        </is>
      </c>
      <c r="BB660" t="inlineStr">
        <is>
          <t>9780470319307</t>
        </is>
      </c>
      <c r="BC660" t="inlineStr">
        <is>
          <t>32285001472082</t>
        </is>
      </c>
      <c r="BD660" t="inlineStr">
        <is>
          <t>893598883</t>
        </is>
      </c>
    </row>
    <row r="661">
      <c r="A661" t="inlineStr">
        <is>
          <t>No</t>
        </is>
      </c>
      <c r="B661" t="inlineStr">
        <is>
          <t>HM291 .W295 1986</t>
        </is>
      </c>
      <c r="C661" t="inlineStr">
        <is>
          <t>0                      HM 0291000W  295         1986</t>
        </is>
      </c>
      <c r="D661" t="inlineStr">
        <is>
          <t>Society and identity : toward a sociological psychology / Andrew J. Weigert, J. Smith Teitge, Dennis W. Teitge.</t>
        </is>
      </c>
      <c r="F661" t="inlineStr">
        <is>
          <t>No</t>
        </is>
      </c>
      <c r="G661" t="inlineStr">
        <is>
          <t>1</t>
        </is>
      </c>
      <c r="H661" t="inlineStr">
        <is>
          <t>No</t>
        </is>
      </c>
      <c r="I661" t="inlineStr">
        <is>
          <t>No</t>
        </is>
      </c>
      <c r="J661" t="inlineStr">
        <is>
          <t>0</t>
        </is>
      </c>
      <c r="K661" t="inlineStr">
        <is>
          <t>Weigert, Andrew J.</t>
        </is>
      </c>
      <c r="L661" t="inlineStr">
        <is>
          <t>Cambridge, [Cambridgeshire] ; New York : Cambridge University Press, 1986.</t>
        </is>
      </c>
      <c r="M661" t="inlineStr">
        <is>
          <t>1986</t>
        </is>
      </c>
      <c r="O661" t="inlineStr">
        <is>
          <t>eng</t>
        </is>
      </c>
      <c r="P661" t="inlineStr">
        <is>
          <t>enk</t>
        </is>
      </c>
      <c r="Q661" t="inlineStr">
        <is>
          <t>The Arnold and Caroline Rose monograph series in sociology</t>
        </is>
      </c>
      <c r="R661" t="inlineStr">
        <is>
          <t xml:space="preserve">HM </t>
        </is>
      </c>
      <c r="S661" t="n">
        <v>3</v>
      </c>
      <c r="T661" t="n">
        <v>3</v>
      </c>
      <c r="U661" t="inlineStr">
        <is>
          <t>2000-12-02</t>
        </is>
      </c>
      <c r="V661" t="inlineStr">
        <is>
          <t>2000-12-02</t>
        </is>
      </c>
      <c r="W661" t="inlineStr">
        <is>
          <t>1992-09-18</t>
        </is>
      </c>
      <c r="X661" t="inlineStr">
        <is>
          <t>1992-09-18</t>
        </is>
      </c>
      <c r="Y661" t="n">
        <v>452</v>
      </c>
      <c r="Z661" t="n">
        <v>304</v>
      </c>
      <c r="AA661" t="n">
        <v>322</v>
      </c>
      <c r="AB661" t="n">
        <v>2</v>
      </c>
      <c r="AC661" t="n">
        <v>2</v>
      </c>
      <c r="AD661" t="n">
        <v>14</v>
      </c>
      <c r="AE661" t="n">
        <v>14</v>
      </c>
      <c r="AF661" t="n">
        <v>4</v>
      </c>
      <c r="AG661" t="n">
        <v>4</v>
      </c>
      <c r="AH661" t="n">
        <v>4</v>
      </c>
      <c r="AI661" t="n">
        <v>4</v>
      </c>
      <c r="AJ661" t="n">
        <v>9</v>
      </c>
      <c r="AK661" t="n">
        <v>9</v>
      </c>
      <c r="AL661" t="n">
        <v>1</v>
      </c>
      <c r="AM661" t="n">
        <v>1</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HYPERLINK("https://creighton-primo.hosted.exlibrisgroup.com/primo-explore/search?tab=default_tab&amp;search_scope=EVERYTHING&amp;vid=01CRU&amp;lang=en_US&amp;offset=0&amp;query=any,contains,991000687029702656","Catalog Record")</f>
        <v/>
      </c>
      <c r="AT661">
        <f>HYPERLINK("http://www.worldcat.org/oclc/12421395","WorldCat Record")</f>
        <v/>
      </c>
      <c r="AU661" t="inlineStr">
        <is>
          <t>836726445:eng</t>
        </is>
      </c>
      <c r="AV661" t="inlineStr">
        <is>
          <t>12421395</t>
        </is>
      </c>
      <c r="AW661" t="inlineStr">
        <is>
          <t>991000687029702656</t>
        </is>
      </c>
      <c r="AX661" t="inlineStr">
        <is>
          <t>991000687029702656</t>
        </is>
      </c>
      <c r="AY661" t="inlineStr">
        <is>
          <t>2254913470002656</t>
        </is>
      </c>
      <c r="AZ661" t="inlineStr">
        <is>
          <t>BOOK</t>
        </is>
      </c>
      <c r="BB661" t="inlineStr">
        <is>
          <t>9780521323253</t>
        </is>
      </c>
      <c r="BC661" t="inlineStr">
        <is>
          <t>32285001268944</t>
        </is>
      </c>
      <c r="BD661" t="inlineStr">
        <is>
          <t>893502707</t>
        </is>
      </c>
    </row>
    <row r="662">
      <c r="A662" t="inlineStr">
        <is>
          <t>No</t>
        </is>
      </c>
      <c r="B662" t="inlineStr">
        <is>
          <t>HM291 .W3</t>
        </is>
      </c>
      <c r="C662" t="inlineStr">
        <is>
          <t>0                      HM 0291000W  3</t>
        </is>
      </c>
      <c r="D662" t="inlineStr">
        <is>
          <t>Deviant behavior and social control / by S. Kirson Weinberg. --</t>
        </is>
      </c>
      <c r="F662" t="inlineStr">
        <is>
          <t>No</t>
        </is>
      </c>
      <c r="G662" t="inlineStr">
        <is>
          <t>1</t>
        </is>
      </c>
      <c r="H662" t="inlineStr">
        <is>
          <t>No</t>
        </is>
      </c>
      <c r="I662" t="inlineStr">
        <is>
          <t>No</t>
        </is>
      </c>
      <c r="J662" t="inlineStr">
        <is>
          <t>0</t>
        </is>
      </c>
      <c r="K662" t="inlineStr">
        <is>
          <t>Weinberg, S. Kirson (Samuel Kirson), 1912-2001.</t>
        </is>
      </c>
      <c r="L662" t="inlineStr">
        <is>
          <t>Dubuque, Iowa : W. C. Brown Co., [1974]</t>
        </is>
      </c>
      <c r="M662" t="inlineStr">
        <is>
          <t>1974</t>
        </is>
      </c>
      <c r="O662" t="inlineStr">
        <is>
          <t>eng</t>
        </is>
      </c>
      <c r="P662" t="inlineStr">
        <is>
          <t>iau</t>
        </is>
      </c>
      <c r="Q662" t="inlineStr">
        <is>
          <t>Elements of sociology</t>
        </is>
      </c>
      <c r="R662" t="inlineStr">
        <is>
          <t xml:space="preserve">HM </t>
        </is>
      </c>
      <c r="S662" t="n">
        <v>1</v>
      </c>
      <c r="T662" t="n">
        <v>1</v>
      </c>
      <c r="U662" t="inlineStr">
        <is>
          <t>1994-03-31</t>
        </is>
      </c>
      <c r="V662" t="inlineStr">
        <is>
          <t>1994-03-31</t>
        </is>
      </c>
      <c r="W662" t="inlineStr">
        <is>
          <t>1992-09-21</t>
        </is>
      </c>
      <c r="X662" t="inlineStr">
        <is>
          <t>1992-09-21</t>
        </is>
      </c>
      <c r="Y662" t="n">
        <v>276</v>
      </c>
      <c r="Z662" t="n">
        <v>219</v>
      </c>
      <c r="AA662" t="n">
        <v>219</v>
      </c>
      <c r="AB662" t="n">
        <v>1</v>
      </c>
      <c r="AC662" t="n">
        <v>1</v>
      </c>
      <c r="AD662" t="n">
        <v>10</v>
      </c>
      <c r="AE662" t="n">
        <v>10</v>
      </c>
      <c r="AF662" t="n">
        <v>5</v>
      </c>
      <c r="AG662" t="n">
        <v>5</v>
      </c>
      <c r="AH662" t="n">
        <v>1</v>
      </c>
      <c r="AI662" t="n">
        <v>1</v>
      </c>
      <c r="AJ662" t="n">
        <v>6</v>
      </c>
      <c r="AK662" t="n">
        <v>6</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HYPERLINK("https://creighton-primo.hosted.exlibrisgroup.com/primo-explore/search?tab=default_tab&amp;search_scope=EVERYTHING&amp;vid=01CRU&amp;lang=en_US&amp;offset=0&amp;query=any,contains,991003395799702656","Catalog Record")</f>
        <v/>
      </c>
      <c r="AT662">
        <f>HYPERLINK("http://www.worldcat.org/oclc/934502","WorldCat Record")</f>
        <v/>
      </c>
      <c r="AU662" t="inlineStr">
        <is>
          <t>375297196:eng</t>
        </is>
      </c>
      <c r="AV662" t="inlineStr">
        <is>
          <t>934502</t>
        </is>
      </c>
      <c r="AW662" t="inlineStr">
        <is>
          <t>991003395799702656</t>
        </is>
      </c>
      <c r="AX662" t="inlineStr">
        <is>
          <t>991003395799702656</t>
        </is>
      </c>
      <c r="AY662" t="inlineStr">
        <is>
          <t>2271525450002656</t>
        </is>
      </c>
      <c r="AZ662" t="inlineStr">
        <is>
          <t>BOOK</t>
        </is>
      </c>
      <c r="BB662" t="inlineStr">
        <is>
          <t>9780697075291</t>
        </is>
      </c>
      <c r="BC662" t="inlineStr">
        <is>
          <t>32285001268951</t>
        </is>
      </c>
      <c r="BD662" t="inlineStr">
        <is>
          <t>893234131</t>
        </is>
      </c>
    </row>
    <row r="663">
      <c r="A663" t="inlineStr">
        <is>
          <t>No</t>
        </is>
      </c>
      <c r="B663" t="inlineStr">
        <is>
          <t>HM299 .H35 1986</t>
        </is>
      </c>
      <c r="C663" t="inlineStr">
        <is>
          <t>0                      HM 0299000H  35          1986</t>
        </is>
      </c>
      <c r="D663" t="inlineStr">
        <is>
          <t>Handbook of social skills training / edited by Clive R. Hollin and Peter Trower.</t>
        </is>
      </c>
      <c r="E663" t="inlineStr">
        <is>
          <t>V.2</t>
        </is>
      </c>
      <c r="F663" t="inlineStr">
        <is>
          <t>Yes</t>
        </is>
      </c>
      <c r="G663" t="inlineStr">
        <is>
          <t>1</t>
        </is>
      </c>
      <c r="H663" t="inlineStr">
        <is>
          <t>No</t>
        </is>
      </c>
      <c r="I663" t="inlineStr">
        <is>
          <t>No</t>
        </is>
      </c>
      <c r="J663" t="inlineStr">
        <is>
          <t>0</t>
        </is>
      </c>
      <c r="L663" t="inlineStr">
        <is>
          <t>Oxford ; New York : Pergamon, 1986.</t>
        </is>
      </c>
      <c r="M663" t="inlineStr">
        <is>
          <t>1986</t>
        </is>
      </c>
      <c r="N663" t="inlineStr">
        <is>
          <t>1st ed.</t>
        </is>
      </c>
      <c r="O663" t="inlineStr">
        <is>
          <t>eng</t>
        </is>
      </c>
      <c r="P663" t="inlineStr">
        <is>
          <t>enk</t>
        </is>
      </c>
      <c r="Q663" t="inlineStr">
        <is>
          <t>International series in experimental social psychology ; v. 12</t>
        </is>
      </c>
      <c r="R663" t="inlineStr">
        <is>
          <t xml:space="preserve">HM </t>
        </is>
      </c>
      <c r="S663" t="n">
        <v>0</v>
      </c>
      <c r="T663" t="n">
        <v>6</v>
      </c>
      <c r="V663" t="inlineStr">
        <is>
          <t>1995-06-23</t>
        </is>
      </c>
      <c r="W663" t="inlineStr">
        <is>
          <t>1995-08-07</t>
        </is>
      </c>
      <c r="X663" t="inlineStr">
        <is>
          <t>1995-08-07</t>
        </is>
      </c>
      <c r="Y663" t="n">
        <v>382</v>
      </c>
      <c r="Z663" t="n">
        <v>253</v>
      </c>
      <c r="AA663" t="n">
        <v>271</v>
      </c>
      <c r="AB663" t="n">
        <v>4</v>
      </c>
      <c r="AC663" t="n">
        <v>4</v>
      </c>
      <c r="AD663" t="n">
        <v>11</v>
      </c>
      <c r="AE663" t="n">
        <v>13</v>
      </c>
      <c r="AF663" t="n">
        <v>3</v>
      </c>
      <c r="AG663" t="n">
        <v>4</v>
      </c>
      <c r="AH663" t="n">
        <v>2</v>
      </c>
      <c r="AI663" t="n">
        <v>3</v>
      </c>
      <c r="AJ663" t="n">
        <v>7</v>
      </c>
      <c r="AK663" t="n">
        <v>7</v>
      </c>
      <c r="AL663" t="n">
        <v>3</v>
      </c>
      <c r="AM663" t="n">
        <v>3</v>
      </c>
      <c r="AN663" t="n">
        <v>0</v>
      </c>
      <c r="AO663" t="n">
        <v>0</v>
      </c>
      <c r="AP663" t="inlineStr">
        <is>
          <t>No</t>
        </is>
      </c>
      <c r="AQ663" t="inlineStr">
        <is>
          <t>Yes</t>
        </is>
      </c>
      <c r="AR663">
        <f>HYPERLINK("http://catalog.hathitrust.org/Record/000824866","HathiTrust Record")</f>
        <v/>
      </c>
      <c r="AS663">
        <f>HYPERLINK("https://creighton-primo.hosted.exlibrisgroup.com/primo-explore/search?tab=default_tab&amp;search_scope=EVERYTHING&amp;vid=01CRU&amp;lang=en_US&amp;offset=0&amp;query=any,contains,991000821419702656","Catalog Record")</f>
        <v/>
      </c>
      <c r="AT663">
        <f>HYPERLINK("http://www.worldcat.org/oclc/13395515","WorldCat Record")</f>
        <v/>
      </c>
      <c r="AU663" t="inlineStr">
        <is>
          <t>8907223243:eng</t>
        </is>
      </c>
      <c r="AV663" t="inlineStr">
        <is>
          <t>13395515</t>
        </is>
      </c>
      <c r="AW663" t="inlineStr">
        <is>
          <t>991000821419702656</t>
        </is>
      </c>
      <c r="AX663" t="inlineStr">
        <is>
          <t>991000821419702656</t>
        </is>
      </c>
      <c r="AY663" t="inlineStr">
        <is>
          <t>2262107320002656</t>
        </is>
      </c>
      <c r="AZ663" t="inlineStr">
        <is>
          <t>BOOK</t>
        </is>
      </c>
      <c r="BB663" t="inlineStr">
        <is>
          <t>9780080340487</t>
        </is>
      </c>
      <c r="BC663" t="inlineStr">
        <is>
          <t>32285002062684</t>
        </is>
      </c>
      <c r="BD663" t="inlineStr">
        <is>
          <t>893407550</t>
        </is>
      </c>
    </row>
    <row r="664">
      <c r="A664" t="inlineStr">
        <is>
          <t>No</t>
        </is>
      </c>
      <c r="B664" t="inlineStr">
        <is>
          <t>HM299 .H35 1986</t>
        </is>
      </c>
      <c r="C664" t="inlineStr">
        <is>
          <t>0                      HM 0299000H  35          1986</t>
        </is>
      </c>
      <c r="D664" t="inlineStr">
        <is>
          <t>Handbook of social skills training / edited by Clive R. Hollin and Peter Trower.</t>
        </is>
      </c>
      <c r="E664" t="inlineStr">
        <is>
          <t>V.1</t>
        </is>
      </c>
      <c r="F664" t="inlineStr">
        <is>
          <t>Yes</t>
        </is>
      </c>
      <c r="G664" t="inlineStr">
        <is>
          <t>1</t>
        </is>
      </c>
      <c r="H664" t="inlineStr">
        <is>
          <t>No</t>
        </is>
      </c>
      <c r="I664" t="inlineStr">
        <is>
          <t>No</t>
        </is>
      </c>
      <c r="J664" t="inlineStr">
        <is>
          <t>0</t>
        </is>
      </c>
      <c r="L664" t="inlineStr">
        <is>
          <t>Oxford ; New York : Pergamon, 1986.</t>
        </is>
      </c>
      <c r="M664" t="inlineStr">
        <is>
          <t>1986</t>
        </is>
      </c>
      <c r="N664" t="inlineStr">
        <is>
          <t>1st ed.</t>
        </is>
      </c>
      <c r="O664" t="inlineStr">
        <is>
          <t>eng</t>
        </is>
      </c>
      <c r="P664" t="inlineStr">
        <is>
          <t>enk</t>
        </is>
      </c>
      <c r="Q664" t="inlineStr">
        <is>
          <t>International series in experimental social psychology ; v. 12</t>
        </is>
      </c>
      <c r="R664" t="inlineStr">
        <is>
          <t xml:space="preserve">HM </t>
        </is>
      </c>
      <c r="S664" t="n">
        <v>6</v>
      </c>
      <c r="T664" t="n">
        <v>6</v>
      </c>
      <c r="U664" t="inlineStr">
        <is>
          <t>1995-06-23</t>
        </is>
      </c>
      <c r="V664" t="inlineStr">
        <is>
          <t>1995-06-23</t>
        </is>
      </c>
      <c r="W664" t="inlineStr">
        <is>
          <t>1992-07-16</t>
        </is>
      </c>
      <c r="X664" t="inlineStr">
        <is>
          <t>1995-08-07</t>
        </is>
      </c>
      <c r="Y664" t="n">
        <v>382</v>
      </c>
      <c r="Z664" t="n">
        <v>253</v>
      </c>
      <c r="AA664" t="n">
        <v>271</v>
      </c>
      <c r="AB664" t="n">
        <v>4</v>
      </c>
      <c r="AC664" t="n">
        <v>4</v>
      </c>
      <c r="AD664" t="n">
        <v>11</v>
      </c>
      <c r="AE664" t="n">
        <v>13</v>
      </c>
      <c r="AF664" t="n">
        <v>3</v>
      </c>
      <c r="AG664" t="n">
        <v>4</v>
      </c>
      <c r="AH664" t="n">
        <v>2</v>
      </c>
      <c r="AI664" t="n">
        <v>3</v>
      </c>
      <c r="AJ664" t="n">
        <v>7</v>
      </c>
      <c r="AK664" t="n">
        <v>7</v>
      </c>
      <c r="AL664" t="n">
        <v>3</v>
      </c>
      <c r="AM664" t="n">
        <v>3</v>
      </c>
      <c r="AN664" t="n">
        <v>0</v>
      </c>
      <c r="AO664" t="n">
        <v>0</v>
      </c>
      <c r="AP664" t="inlineStr">
        <is>
          <t>No</t>
        </is>
      </c>
      <c r="AQ664" t="inlineStr">
        <is>
          <t>Yes</t>
        </is>
      </c>
      <c r="AR664">
        <f>HYPERLINK("http://catalog.hathitrust.org/Record/000824866","HathiTrust Record")</f>
        <v/>
      </c>
      <c r="AS664">
        <f>HYPERLINK("https://creighton-primo.hosted.exlibrisgroup.com/primo-explore/search?tab=default_tab&amp;search_scope=EVERYTHING&amp;vid=01CRU&amp;lang=en_US&amp;offset=0&amp;query=any,contains,991000821419702656","Catalog Record")</f>
        <v/>
      </c>
      <c r="AT664">
        <f>HYPERLINK("http://www.worldcat.org/oclc/13395515","WorldCat Record")</f>
        <v/>
      </c>
      <c r="AU664" t="inlineStr">
        <is>
          <t>8907223243:eng</t>
        </is>
      </c>
      <c r="AV664" t="inlineStr">
        <is>
          <t>13395515</t>
        </is>
      </c>
      <c r="AW664" t="inlineStr">
        <is>
          <t>991000821419702656</t>
        </is>
      </c>
      <c r="AX664" t="inlineStr">
        <is>
          <t>991000821419702656</t>
        </is>
      </c>
      <c r="AY664" t="inlineStr">
        <is>
          <t>2262107320002656</t>
        </is>
      </c>
      <c r="AZ664" t="inlineStr">
        <is>
          <t>BOOK</t>
        </is>
      </c>
      <c r="BB664" t="inlineStr">
        <is>
          <t>9780080340487</t>
        </is>
      </c>
      <c r="BC664" t="inlineStr">
        <is>
          <t>32285001211001</t>
        </is>
      </c>
      <c r="BD664" t="inlineStr">
        <is>
          <t>893438630</t>
        </is>
      </c>
    </row>
    <row r="665">
      <c r="A665" t="inlineStr">
        <is>
          <t>No</t>
        </is>
      </c>
      <c r="B665" t="inlineStr">
        <is>
          <t>HM299 .H36 1981</t>
        </is>
      </c>
      <c r="C665" t="inlineStr">
        <is>
          <t>0                      HM 0299000H  36          1981</t>
        </is>
      </c>
      <c r="D665" t="inlineStr">
        <is>
          <t>Social skills in interpersonal communication / Owen Hargie, Christine Saunders and David Dickson.</t>
        </is>
      </c>
      <c r="F665" t="inlineStr">
        <is>
          <t>No</t>
        </is>
      </c>
      <c r="G665" t="inlineStr">
        <is>
          <t>1</t>
        </is>
      </c>
      <c r="H665" t="inlineStr">
        <is>
          <t>No</t>
        </is>
      </c>
      <c r="I665" t="inlineStr">
        <is>
          <t>No</t>
        </is>
      </c>
      <c r="J665" t="inlineStr">
        <is>
          <t>0</t>
        </is>
      </c>
      <c r="K665" t="inlineStr">
        <is>
          <t>Hargie, Owen.</t>
        </is>
      </c>
      <c r="L665" t="inlineStr">
        <is>
          <t>London : Croom Helm : Cambridge, Mass. ; dist. exclusively in the US by Brookline Books, c1981, 1983 printing.</t>
        </is>
      </c>
      <c r="M665" t="inlineStr">
        <is>
          <t>1981</t>
        </is>
      </c>
      <c r="O665" t="inlineStr">
        <is>
          <t>eng</t>
        </is>
      </c>
      <c r="P665" t="inlineStr">
        <is>
          <t>enk</t>
        </is>
      </c>
      <c r="R665" t="inlineStr">
        <is>
          <t xml:space="preserve">HM </t>
        </is>
      </c>
      <c r="S665" t="n">
        <v>6</v>
      </c>
      <c r="T665" t="n">
        <v>6</v>
      </c>
      <c r="U665" t="inlineStr">
        <is>
          <t>2006-01-11</t>
        </is>
      </c>
      <c r="V665" t="inlineStr">
        <is>
          <t>2006-01-11</t>
        </is>
      </c>
      <c r="W665" t="inlineStr">
        <is>
          <t>1992-09-21</t>
        </is>
      </c>
      <c r="X665" t="inlineStr">
        <is>
          <t>1992-09-21</t>
        </is>
      </c>
      <c r="Y665" t="n">
        <v>285</v>
      </c>
      <c r="Z665" t="n">
        <v>159</v>
      </c>
      <c r="AA665" t="n">
        <v>346</v>
      </c>
      <c r="AB665" t="n">
        <v>2</v>
      </c>
      <c r="AC665" t="n">
        <v>4</v>
      </c>
      <c r="AD665" t="n">
        <v>4</v>
      </c>
      <c r="AE665" t="n">
        <v>13</v>
      </c>
      <c r="AF665" t="n">
        <v>0</v>
      </c>
      <c r="AG665" t="n">
        <v>3</v>
      </c>
      <c r="AH665" t="n">
        <v>0</v>
      </c>
      <c r="AI665" t="n">
        <v>2</v>
      </c>
      <c r="AJ665" t="n">
        <v>3</v>
      </c>
      <c r="AK665" t="n">
        <v>10</v>
      </c>
      <c r="AL665" t="n">
        <v>1</v>
      </c>
      <c r="AM665" t="n">
        <v>3</v>
      </c>
      <c r="AN665" t="n">
        <v>0</v>
      </c>
      <c r="AO665" t="n">
        <v>0</v>
      </c>
      <c r="AP665" t="inlineStr">
        <is>
          <t>No</t>
        </is>
      </c>
      <c r="AQ665" t="inlineStr">
        <is>
          <t>Yes</t>
        </is>
      </c>
      <c r="AR665">
        <f>HYPERLINK("http://catalog.hathitrust.org/Record/007473735","HathiTrust Record")</f>
        <v/>
      </c>
      <c r="AS665">
        <f>HYPERLINK("https://creighton-primo.hosted.exlibrisgroup.com/primo-explore/search?tab=default_tab&amp;search_scope=EVERYTHING&amp;vid=01CRU&amp;lang=en_US&amp;offset=0&amp;query=any,contains,991005106679702656","Catalog Record")</f>
        <v/>
      </c>
      <c r="AT665">
        <f>HYPERLINK("http://www.worldcat.org/oclc/7344357","WorldCat Record")</f>
        <v/>
      </c>
      <c r="AU665" t="inlineStr">
        <is>
          <t>1808063772:eng</t>
        </is>
      </c>
      <c r="AV665" t="inlineStr">
        <is>
          <t>7344357</t>
        </is>
      </c>
      <c r="AW665" t="inlineStr">
        <is>
          <t>991005106679702656</t>
        </is>
      </c>
      <c r="AX665" t="inlineStr">
        <is>
          <t>991005106679702656</t>
        </is>
      </c>
      <c r="AY665" t="inlineStr">
        <is>
          <t>2257664770002656</t>
        </is>
      </c>
      <c r="AZ665" t="inlineStr">
        <is>
          <t>BOOK</t>
        </is>
      </c>
      <c r="BB665" t="inlineStr">
        <is>
          <t>9780709902799</t>
        </is>
      </c>
      <c r="BC665" t="inlineStr">
        <is>
          <t>32285001268985</t>
        </is>
      </c>
      <c r="BD665" t="inlineStr">
        <is>
          <t>893526911</t>
        </is>
      </c>
    </row>
    <row r="666">
      <c r="A666" t="inlineStr">
        <is>
          <t>No</t>
        </is>
      </c>
      <c r="B666" t="inlineStr">
        <is>
          <t>HM299 .S585 1988</t>
        </is>
      </c>
      <c r="C666" t="inlineStr">
        <is>
          <t>0                      HM 0299000S  585         1988</t>
        </is>
      </c>
      <c r="D666" t="inlineStr">
        <is>
          <t>The Social psychology of time : new perspectives / edited by Joseph E. McGrath.</t>
        </is>
      </c>
      <c r="F666" t="inlineStr">
        <is>
          <t>No</t>
        </is>
      </c>
      <c r="G666" t="inlineStr">
        <is>
          <t>1</t>
        </is>
      </c>
      <c r="H666" t="inlineStr">
        <is>
          <t>No</t>
        </is>
      </c>
      <c r="I666" t="inlineStr">
        <is>
          <t>No</t>
        </is>
      </c>
      <c r="J666" t="inlineStr">
        <is>
          <t>0</t>
        </is>
      </c>
      <c r="L666" t="inlineStr">
        <is>
          <t>Newbury Park, Calif. : Sage Publications, c1988.</t>
        </is>
      </c>
      <c r="M666" t="inlineStr">
        <is>
          <t>1988</t>
        </is>
      </c>
      <c r="O666" t="inlineStr">
        <is>
          <t>eng</t>
        </is>
      </c>
      <c r="P666" t="inlineStr">
        <is>
          <t>cau</t>
        </is>
      </c>
      <c r="Q666" t="inlineStr">
        <is>
          <t>A Sage focus edition ; [91]</t>
        </is>
      </c>
      <c r="R666" t="inlineStr">
        <is>
          <t xml:space="preserve">HM </t>
        </is>
      </c>
      <c r="S666" t="n">
        <v>14</v>
      </c>
      <c r="T666" t="n">
        <v>14</v>
      </c>
      <c r="U666" t="inlineStr">
        <is>
          <t>1999-11-29</t>
        </is>
      </c>
      <c r="V666" t="inlineStr">
        <is>
          <t>1999-11-29</t>
        </is>
      </c>
      <c r="W666" t="inlineStr">
        <is>
          <t>1992-09-21</t>
        </is>
      </c>
      <c r="X666" t="inlineStr">
        <is>
          <t>1992-09-21</t>
        </is>
      </c>
      <c r="Y666" t="n">
        <v>521</v>
      </c>
      <c r="Z666" t="n">
        <v>380</v>
      </c>
      <c r="AA666" t="n">
        <v>387</v>
      </c>
      <c r="AB666" t="n">
        <v>3</v>
      </c>
      <c r="AC666" t="n">
        <v>3</v>
      </c>
      <c r="AD666" t="n">
        <v>17</v>
      </c>
      <c r="AE666" t="n">
        <v>17</v>
      </c>
      <c r="AF666" t="n">
        <v>4</v>
      </c>
      <c r="AG666" t="n">
        <v>4</v>
      </c>
      <c r="AH666" t="n">
        <v>6</v>
      </c>
      <c r="AI666" t="n">
        <v>6</v>
      </c>
      <c r="AJ666" t="n">
        <v>10</v>
      </c>
      <c r="AK666" t="n">
        <v>10</v>
      </c>
      <c r="AL666" t="n">
        <v>2</v>
      </c>
      <c r="AM666" t="n">
        <v>2</v>
      </c>
      <c r="AN666" t="n">
        <v>0</v>
      </c>
      <c r="AO666" t="n">
        <v>0</v>
      </c>
      <c r="AP666" t="inlineStr">
        <is>
          <t>No</t>
        </is>
      </c>
      <c r="AQ666" t="inlineStr">
        <is>
          <t>Yes</t>
        </is>
      </c>
      <c r="AR666">
        <f>HYPERLINK("http://catalog.hathitrust.org/Record/000950050","HathiTrust Record")</f>
        <v/>
      </c>
      <c r="AS666">
        <f>HYPERLINK("https://creighton-primo.hosted.exlibrisgroup.com/primo-explore/search?tab=default_tab&amp;search_scope=EVERYTHING&amp;vid=01CRU&amp;lang=en_US&amp;offset=0&amp;query=any,contains,991001205699702656","Catalog Record")</f>
        <v/>
      </c>
      <c r="AT666">
        <f>HYPERLINK("http://www.worldcat.org/oclc/17353472","WorldCat Record")</f>
        <v/>
      </c>
      <c r="AU666" t="inlineStr">
        <is>
          <t>795476110:eng</t>
        </is>
      </c>
      <c r="AV666" t="inlineStr">
        <is>
          <t>17353472</t>
        </is>
      </c>
      <c r="AW666" t="inlineStr">
        <is>
          <t>991001205699702656</t>
        </is>
      </c>
      <c r="AX666" t="inlineStr">
        <is>
          <t>991001205699702656</t>
        </is>
      </c>
      <c r="AY666" t="inlineStr">
        <is>
          <t>2267704020002656</t>
        </is>
      </c>
      <c r="AZ666" t="inlineStr">
        <is>
          <t>BOOK</t>
        </is>
      </c>
      <c r="BB666" t="inlineStr">
        <is>
          <t>9780803927674</t>
        </is>
      </c>
      <c r="BC666" t="inlineStr">
        <is>
          <t>32285001268993</t>
        </is>
      </c>
      <c r="BD666" t="inlineStr">
        <is>
          <t>893225685</t>
        </is>
      </c>
    </row>
    <row r="667">
      <c r="A667" t="inlineStr">
        <is>
          <t>No</t>
        </is>
      </c>
      <c r="B667" t="inlineStr">
        <is>
          <t>HM299 .W54 1982</t>
        </is>
      </c>
      <c r="C667" t="inlineStr">
        <is>
          <t>0                      HM 0299000W  54          1982</t>
        </is>
      </c>
      <c r="D667" t="inlineStr">
        <is>
          <t>Social skills training manual : assessment, programme design, and management of training / Jill Wilkinson and Sandra Canter.</t>
        </is>
      </c>
      <c r="F667" t="inlineStr">
        <is>
          <t>No</t>
        </is>
      </c>
      <c r="G667" t="inlineStr">
        <is>
          <t>1</t>
        </is>
      </c>
      <c r="H667" t="inlineStr">
        <is>
          <t>No</t>
        </is>
      </c>
      <c r="I667" t="inlineStr">
        <is>
          <t>No</t>
        </is>
      </c>
      <c r="J667" t="inlineStr">
        <is>
          <t>0</t>
        </is>
      </c>
      <c r="K667" t="inlineStr">
        <is>
          <t>Wilkinson, Jill.</t>
        </is>
      </c>
      <c r="L667" t="inlineStr">
        <is>
          <t>Chichester ; New York : Wiley, c1982.</t>
        </is>
      </c>
      <c r="M667" t="inlineStr">
        <is>
          <t>1982</t>
        </is>
      </c>
      <c r="O667" t="inlineStr">
        <is>
          <t>eng</t>
        </is>
      </c>
      <c r="P667" t="inlineStr">
        <is>
          <t>enk</t>
        </is>
      </c>
      <c r="R667" t="inlineStr">
        <is>
          <t xml:space="preserve">HM </t>
        </is>
      </c>
      <c r="S667" t="n">
        <v>7</v>
      </c>
      <c r="T667" t="n">
        <v>7</v>
      </c>
      <c r="U667" t="inlineStr">
        <is>
          <t>2010-11-04</t>
        </is>
      </c>
      <c r="V667" t="inlineStr">
        <is>
          <t>2010-11-04</t>
        </is>
      </c>
      <c r="W667" t="inlineStr">
        <is>
          <t>1992-09-21</t>
        </is>
      </c>
      <c r="X667" t="inlineStr">
        <is>
          <t>1992-09-21</t>
        </is>
      </c>
      <c r="Y667" t="n">
        <v>489</v>
      </c>
      <c r="Z667" t="n">
        <v>359</v>
      </c>
      <c r="AA667" t="n">
        <v>366</v>
      </c>
      <c r="AB667" t="n">
        <v>5</v>
      </c>
      <c r="AC667" t="n">
        <v>5</v>
      </c>
      <c r="AD667" t="n">
        <v>22</v>
      </c>
      <c r="AE667" t="n">
        <v>22</v>
      </c>
      <c r="AF667" t="n">
        <v>8</v>
      </c>
      <c r="AG667" t="n">
        <v>8</v>
      </c>
      <c r="AH667" t="n">
        <v>5</v>
      </c>
      <c r="AI667" t="n">
        <v>5</v>
      </c>
      <c r="AJ667" t="n">
        <v>13</v>
      </c>
      <c r="AK667" t="n">
        <v>13</v>
      </c>
      <c r="AL667" t="n">
        <v>4</v>
      </c>
      <c r="AM667" t="n">
        <v>4</v>
      </c>
      <c r="AN667" t="n">
        <v>0</v>
      </c>
      <c r="AO667" t="n">
        <v>0</v>
      </c>
      <c r="AP667" t="inlineStr">
        <is>
          <t>No</t>
        </is>
      </c>
      <c r="AQ667" t="inlineStr">
        <is>
          <t>Yes</t>
        </is>
      </c>
      <c r="AR667">
        <f>HYPERLINK("http://catalog.hathitrust.org/Record/000150119","HathiTrust Record")</f>
        <v/>
      </c>
      <c r="AS667">
        <f>HYPERLINK("https://creighton-primo.hosted.exlibrisgroup.com/primo-explore/search?tab=default_tab&amp;search_scope=EVERYTHING&amp;vid=01CRU&amp;lang=en_US&amp;offset=0&amp;query=any,contains,991005155679702656","Catalog Record")</f>
        <v/>
      </c>
      <c r="AT667">
        <f>HYPERLINK("http://www.worldcat.org/oclc/7739446","WorldCat Record")</f>
        <v/>
      </c>
      <c r="AU667" t="inlineStr">
        <is>
          <t>29776193:eng</t>
        </is>
      </c>
      <c r="AV667" t="inlineStr">
        <is>
          <t>7739446</t>
        </is>
      </c>
      <c r="AW667" t="inlineStr">
        <is>
          <t>991005155679702656</t>
        </is>
      </c>
      <c r="AX667" t="inlineStr">
        <is>
          <t>991005155679702656</t>
        </is>
      </c>
      <c r="AY667" t="inlineStr">
        <is>
          <t>2258599050002656</t>
        </is>
      </c>
      <c r="AZ667" t="inlineStr">
        <is>
          <t>BOOK</t>
        </is>
      </c>
      <c r="BB667" t="inlineStr">
        <is>
          <t>9780471100560</t>
        </is>
      </c>
      <c r="BC667" t="inlineStr">
        <is>
          <t>32285001269009</t>
        </is>
      </c>
      <c r="BD667" t="inlineStr">
        <is>
          <t>893883419</t>
        </is>
      </c>
    </row>
    <row r="668">
      <c r="A668" t="inlineStr">
        <is>
          <t>No</t>
        </is>
      </c>
      <c r="B668" t="inlineStr">
        <is>
          <t>HM33 .H67 1984</t>
        </is>
      </c>
      <c r="C668" t="inlineStr">
        <is>
          <t>0                      HM 0033000H  67          1984</t>
        </is>
      </c>
      <c r="D668" t="inlineStr">
        <is>
          <t>Winners and losers : social and political polarities in America / Irving Louis Horowitz.</t>
        </is>
      </c>
      <c r="F668" t="inlineStr">
        <is>
          <t>No</t>
        </is>
      </c>
      <c r="G668" t="inlineStr">
        <is>
          <t>1</t>
        </is>
      </c>
      <c r="H668" t="inlineStr">
        <is>
          <t>No</t>
        </is>
      </c>
      <c r="I668" t="inlineStr">
        <is>
          <t>No</t>
        </is>
      </c>
      <c r="J668" t="inlineStr">
        <is>
          <t>0</t>
        </is>
      </c>
      <c r="K668" t="inlineStr">
        <is>
          <t>Horowitz, Irving Louis.</t>
        </is>
      </c>
      <c r="L668" t="inlineStr">
        <is>
          <t>Durham, N.C. : Duke University Press, 1984.</t>
        </is>
      </c>
      <c r="M668" t="inlineStr">
        <is>
          <t>1984</t>
        </is>
      </c>
      <c r="O668" t="inlineStr">
        <is>
          <t>eng</t>
        </is>
      </c>
      <c r="P668" t="inlineStr">
        <is>
          <t>ncu</t>
        </is>
      </c>
      <c r="Q668" t="inlineStr">
        <is>
          <t>Duke Press policy studies</t>
        </is>
      </c>
      <c r="R668" t="inlineStr">
        <is>
          <t xml:space="preserve">HM </t>
        </is>
      </c>
      <c r="S668" t="n">
        <v>1</v>
      </c>
      <c r="T668" t="n">
        <v>1</v>
      </c>
      <c r="U668" t="inlineStr">
        <is>
          <t>1996-01-11</t>
        </is>
      </c>
      <c r="V668" t="inlineStr">
        <is>
          <t>1996-01-11</t>
        </is>
      </c>
      <c r="W668" t="inlineStr">
        <is>
          <t>1992-08-12</t>
        </is>
      </c>
      <c r="X668" t="inlineStr">
        <is>
          <t>1992-08-12</t>
        </is>
      </c>
      <c r="Y668" t="n">
        <v>416</v>
      </c>
      <c r="Z668" t="n">
        <v>341</v>
      </c>
      <c r="AA668" t="n">
        <v>347</v>
      </c>
      <c r="AB668" t="n">
        <v>3</v>
      </c>
      <c r="AC668" t="n">
        <v>3</v>
      </c>
      <c r="AD668" t="n">
        <v>12</v>
      </c>
      <c r="AE668" t="n">
        <v>12</v>
      </c>
      <c r="AF668" t="n">
        <v>3</v>
      </c>
      <c r="AG668" t="n">
        <v>3</v>
      </c>
      <c r="AH668" t="n">
        <v>3</v>
      </c>
      <c r="AI668" t="n">
        <v>3</v>
      </c>
      <c r="AJ668" t="n">
        <v>7</v>
      </c>
      <c r="AK668" t="n">
        <v>7</v>
      </c>
      <c r="AL668" t="n">
        <v>2</v>
      </c>
      <c r="AM668" t="n">
        <v>2</v>
      </c>
      <c r="AN668" t="n">
        <v>0</v>
      </c>
      <c r="AO668" t="n">
        <v>0</v>
      </c>
      <c r="AP668" t="inlineStr">
        <is>
          <t>No</t>
        </is>
      </c>
      <c r="AQ668" t="inlineStr">
        <is>
          <t>Yes</t>
        </is>
      </c>
      <c r="AR668">
        <f>HYPERLINK("http://catalog.hathitrust.org/Record/000780857","HathiTrust Record")</f>
        <v/>
      </c>
      <c r="AS668">
        <f>HYPERLINK("https://creighton-primo.hosted.exlibrisgroup.com/primo-explore/search?tab=default_tab&amp;search_scope=EVERYTHING&amp;vid=01CRU&amp;lang=en_US&amp;offset=0&amp;query=any,contains,991000337839702656","Catalog Record")</f>
        <v/>
      </c>
      <c r="AT668">
        <f>HYPERLINK("http://www.worldcat.org/oclc/10230870","WorldCat Record")</f>
        <v/>
      </c>
      <c r="AU668" t="inlineStr">
        <is>
          <t>815127813:eng</t>
        </is>
      </c>
      <c r="AV668" t="inlineStr">
        <is>
          <t>10230870</t>
        </is>
      </c>
      <c r="AW668" t="inlineStr">
        <is>
          <t>991000337839702656</t>
        </is>
      </c>
      <c r="AX668" t="inlineStr">
        <is>
          <t>991000337839702656</t>
        </is>
      </c>
      <c r="AY668" t="inlineStr">
        <is>
          <t>2258532880002656</t>
        </is>
      </c>
      <c r="AZ668" t="inlineStr">
        <is>
          <t>BOOK</t>
        </is>
      </c>
      <c r="BB668" t="inlineStr">
        <is>
          <t>9780822306023</t>
        </is>
      </c>
      <c r="BC668" t="inlineStr">
        <is>
          <t>32285001194405</t>
        </is>
      </c>
      <c r="BD668" t="inlineStr">
        <is>
          <t>893802687</t>
        </is>
      </c>
    </row>
    <row r="669">
      <c r="A669" t="inlineStr">
        <is>
          <t>No</t>
        </is>
      </c>
      <c r="B669" t="inlineStr">
        <is>
          <t>HM33 .R67 1988</t>
        </is>
      </c>
      <c r="C669" t="inlineStr">
        <is>
          <t>0                      HM 0033000R  67          1988</t>
        </is>
      </c>
      <c r="D669" t="inlineStr">
        <is>
          <t>Reason, ideology, and politics / Shawn W. Rosenberg.</t>
        </is>
      </c>
      <c r="F669" t="inlineStr">
        <is>
          <t>No</t>
        </is>
      </c>
      <c r="G669" t="inlineStr">
        <is>
          <t>1</t>
        </is>
      </c>
      <c r="H669" t="inlineStr">
        <is>
          <t>No</t>
        </is>
      </c>
      <c r="I669" t="inlineStr">
        <is>
          <t>No</t>
        </is>
      </c>
      <c r="J669" t="inlineStr">
        <is>
          <t>0</t>
        </is>
      </c>
      <c r="K669" t="inlineStr">
        <is>
          <t>Rosenberg, Shawn W., 1951-</t>
        </is>
      </c>
      <c r="L669" t="inlineStr">
        <is>
          <t>Princeton, N.J. : Princeton University Press, 1988.</t>
        </is>
      </c>
      <c r="M669" t="inlineStr">
        <is>
          <t>1988</t>
        </is>
      </c>
      <c r="O669" t="inlineStr">
        <is>
          <t>eng</t>
        </is>
      </c>
      <c r="P669" t="inlineStr">
        <is>
          <t>nju</t>
        </is>
      </c>
      <c r="R669" t="inlineStr">
        <is>
          <t xml:space="preserve">HM </t>
        </is>
      </c>
      <c r="S669" t="n">
        <v>5</v>
      </c>
      <c r="T669" t="n">
        <v>5</v>
      </c>
      <c r="U669" t="inlineStr">
        <is>
          <t>1996-07-30</t>
        </is>
      </c>
      <c r="V669" t="inlineStr">
        <is>
          <t>1996-07-30</t>
        </is>
      </c>
      <c r="W669" t="inlineStr">
        <is>
          <t>1991-10-10</t>
        </is>
      </c>
      <c r="X669" t="inlineStr">
        <is>
          <t>1991-10-10</t>
        </is>
      </c>
      <c r="Y669" t="n">
        <v>320</v>
      </c>
      <c r="Z669" t="n">
        <v>268</v>
      </c>
      <c r="AA669" t="n">
        <v>279</v>
      </c>
      <c r="AB669" t="n">
        <v>3</v>
      </c>
      <c r="AC669" t="n">
        <v>3</v>
      </c>
      <c r="AD669" t="n">
        <v>14</v>
      </c>
      <c r="AE669" t="n">
        <v>14</v>
      </c>
      <c r="AF669" t="n">
        <v>3</v>
      </c>
      <c r="AG669" t="n">
        <v>3</v>
      </c>
      <c r="AH669" t="n">
        <v>6</v>
      </c>
      <c r="AI669" t="n">
        <v>6</v>
      </c>
      <c r="AJ669" t="n">
        <v>7</v>
      </c>
      <c r="AK669" t="n">
        <v>7</v>
      </c>
      <c r="AL669" t="n">
        <v>2</v>
      </c>
      <c r="AM669" t="n">
        <v>2</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HYPERLINK("https://creighton-primo.hosted.exlibrisgroup.com/primo-explore/search?tab=default_tab&amp;search_scope=EVERYTHING&amp;vid=01CRU&amp;lang=en_US&amp;offset=0&amp;query=any,contains,991001252359702656","Catalog Record")</f>
        <v/>
      </c>
      <c r="AT669">
        <f>HYPERLINK("http://www.worldcat.org/oclc/17678059","WorldCat Record")</f>
        <v/>
      </c>
      <c r="AU669" t="inlineStr">
        <is>
          <t>15741879:eng</t>
        </is>
      </c>
      <c r="AV669" t="inlineStr">
        <is>
          <t>17678059</t>
        </is>
      </c>
      <c r="AW669" t="inlineStr">
        <is>
          <t>991001252359702656</t>
        </is>
      </c>
      <c r="AX669" t="inlineStr">
        <is>
          <t>991001252359702656</t>
        </is>
      </c>
      <c r="AY669" t="inlineStr">
        <is>
          <t>2258382680002656</t>
        </is>
      </c>
      <c r="AZ669" t="inlineStr">
        <is>
          <t>BOOK</t>
        </is>
      </c>
      <c r="BB669" t="inlineStr">
        <is>
          <t>9780691077857</t>
        </is>
      </c>
      <c r="BC669" t="inlineStr">
        <is>
          <t>32285000726033</t>
        </is>
      </c>
      <c r="BD669" t="inlineStr">
        <is>
          <t>893426466</t>
        </is>
      </c>
    </row>
    <row r="670">
      <c r="A670" t="inlineStr">
        <is>
          <t>No</t>
        </is>
      </c>
      <c r="B670" t="inlineStr">
        <is>
          <t>HM35 .T8</t>
        </is>
      </c>
      <c r="C670" t="inlineStr">
        <is>
          <t>0                      HM 0035000T  8</t>
        </is>
      </c>
      <c r="D670" t="inlineStr">
        <is>
          <t>The social context of economic behavior.</t>
        </is>
      </c>
      <c r="F670" t="inlineStr">
        <is>
          <t>No</t>
        </is>
      </c>
      <c r="G670" t="inlineStr">
        <is>
          <t>1</t>
        </is>
      </c>
      <c r="H670" t="inlineStr">
        <is>
          <t>No</t>
        </is>
      </c>
      <c r="I670" t="inlineStr">
        <is>
          <t>No</t>
        </is>
      </c>
      <c r="J670" t="inlineStr">
        <is>
          <t>0</t>
        </is>
      </c>
      <c r="K670" t="inlineStr">
        <is>
          <t>Tucker, William Thomas, 1919-</t>
        </is>
      </c>
      <c r="L670" t="inlineStr">
        <is>
          <t>New York : Holt, Rinehart and Winston, [1964]</t>
        </is>
      </c>
      <c r="M670" t="inlineStr">
        <is>
          <t>1964</t>
        </is>
      </c>
      <c r="O670" t="inlineStr">
        <is>
          <t>eng</t>
        </is>
      </c>
      <c r="P670" t="inlineStr">
        <is>
          <t>nyu</t>
        </is>
      </c>
      <c r="Q670" t="inlineStr">
        <is>
          <t>Modern management series</t>
        </is>
      </c>
      <c r="R670" t="inlineStr">
        <is>
          <t xml:space="preserve">HM </t>
        </is>
      </c>
      <c r="S670" t="n">
        <v>2</v>
      </c>
      <c r="T670" t="n">
        <v>2</v>
      </c>
      <c r="U670" t="inlineStr">
        <is>
          <t>1997-04-16</t>
        </is>
      </c>
      <c r="V670" t="inlineStr">
        <is>
          <t>1997-04-16</t>
        </is>
      </c>
      <c r="W670" t="inlineStr">
        <is>
          <t>1994-04-19</t>
        </is>
      </c>
      <c r="X670" t="inlineStr">
        <is>
          <t>1994-04-19</t>
        </is>
      </c>
      <c r="Y670" t="n">
        <v>450</v>
      </c>
      <c r="Z670" t="n">
        <v>360</v>
      </c>
      <c r="AA670" t="n">
        <v>361</v>
      </c>
      <c r="AB670" t="n">
        <v>4</v>
      </c>
      <c r="AC670" t="n">
        <v>4</v>
      </c>
      <c r="AD670" t="n">
        <v>22</v>
      </c>
      <c r="AE670" t="n">
        <v>22</v>
      </c>
      <c r="AF670" t="n">
        <v>6</v>
      </c>
      <c r="AG670" t="n">
        <v>6</v>
      </c>
      <c r="AH670" t="n">
        <v>6</v>
      </c>
      <c r="AI670" t="n">
        <v>6</v>
      </c>
      <c r="AJ670" t="n">
        <v>14</v>
      </c>
      <c r="AK670" t="n">
        <v>14</v>
      </c>
      <c r="AL670" t="n">
        <v>3</v>
      </c>
      <c r="AM670" t="n">
        <v>3</v>
      </c>
      <c r="AN670" t="n">
        <v>0</v>
      </c>
      <c r="AO670" t="n">
        <v>0</v>
      </c>
      <c r="AP670" t="inlineStr">
        <is>
          <t>No</t>
        </is>
      </c>
      <c r="AQ670" t="inlineStr">
        <is>
          <t>Yes</t>
        </is>
      </c>
      <c r="AR670">
        <f>HYPERLINK("http://catalog.hathitrust.org/Record/000972554","HathiTrust Record")</f>
        <v/>
      </c>
      <c r="AS670">
        <f>HYPERLINK("https://creighton-primo.hosted.exlibrisgroup.com/primo-explore/search?tab=default_tab&amp;search_scope=EVERYTHING&amp;vid=01CRU&amp;lang=en_US&amp;offset=0&amp;query=any,contains,991003700639702656","Catalog Record")</f>
        <v/>
      </c>
      <c r="AT670">
        <f>HYPERLINK("http://www.worldcat.org/oclc/1336538","WorldCat Record")</f>
        <v/>
      </c>
      <c r="AU670" t="inlineStr">
        <is>
          <t>350404112:eng</t>
        </is>
      </c>
      <c r="AV670" t="inlineStr">
        <is>
          <t>1336538</t>
        </is>
      </c>
      <c r="AW670" t="inlineStr">
        <is>
          <t>991003700639702656</t>
        </is>
      </c>
      <c r="AX670" t="inlineStr">
        <is>
          <t>991003700639702656</t>
        </is>
      </c>
      <c r="AY670" t="inlineStr">
        <is>
          <t>2257589880002656</t>
        </is>
      </c>
      <c r="AZ670" t="inlineStr">
        <is>
          <t>BOOK</t>
        </is>
      </c>
      <c r="BC670" t="inlineStr">
        <is>
          <t>32285001890200</t>
        </is>
      </c>
      <c r="BD670" t="inlineStr">
        <is>
          <t>893416689</t>
        </is>
      </c>
    </row>
    <row r="671">
      <c r="A671" t="inlineStr">
        <is>
          <t>No</t>
        </is>
      </c>
      <c r="B671" t="inlineStr">
        <is>
          <t>HM36 .B86</t>
        </is>
      </c>
      <c r="C671" t="inlineStr">
        <is>
          <t>0                      HM 0036000B  86</t>
        </is>
      </c>
      <c r="D671" t="inlineStr">
        <is>
          <t>Sociology and history / Peter Burke.</t>
        </is>
      </c>
      <c r="F671" t="inlineStr">
        <is>
          <t>No</t>
        </is>
      </c>
      <c r="G671" t="inlineStr">
        <is>
          <t>1</t>
        </is>
      </c>
      <c r="H671" t="inlineStr">
        <is>
          <t>No</t>
        </is>
      </c>
      <c r="I671" t="inlineStr">
        <is>
          <t>No</t>
        </is>
      </c>
      <c r="J671" t="inlineStr">
        <is>
          <t>0</t>
        </is>
      </c>
      <c r="K671" t="inlineStr">
        <is>
          <t>Burke, Peter, 1937-</t>
        </is>
      </c>
      <c r="L671" t="inlineStr">
        <is>
          <t>London ; Boston : G. Allen &amp; Unwin, 1980.</t>
        </is>
      </c>
      <c r="M671" t="inlineStr">
        <is>
          <t>1980</t>
        </is>
      </c>
      <c r="O671" t="inlineStr">
        <is>
          <t>eng</t>
        </is>
      </c>
      <c r="P671" t="inlineStr">
        <is>
          <t>enk</t>
        </is>
      </c>
      <c r="Q671" t="inlineStr">
        <is>
          <t>Controversies in sociology ; 10</t>
        </is>
      </c>
      <c r="R671" t="inlineStr">
        <is>
          <t xml:space="preserve">HM </t>
        </is>
      </c>
      <c r="S671" t="n">
        <v>7</v>
      </c>
      <c r="T671" t="n">
        <v>7</v>
      </c>
      <c r="U671" t="inlineStr">
        <is>
          <t>2006-09-13</t>
        </is>
      </c>
      <c r="V671" t="inlineStr">
        <is>
          <t>2006-09-13</t>
        </is>
      </c>
      <c r="W671" t="inlineStr">
        <is>
          <t>1992-08-12</t>
        </is>
      </c>
      <c r="X671" t="inlineStr">
        <is>
          <t>1992-08-12</t>
        </is>
      </c>
      <c r="Y671" t="n">
        <v>574</v>
      </c>
      <c r="Z671" t="n">
        <v>368</v>
      </c>
      <c r="AA671" t="n">
        <v>378</v>
      </c>
      <c r="AB671" t="n">
        <v>3</v>
      </c>
      <c r="AC671" t="n">
        <v>3</v>
      </c>
      <c r="AD671" t="n">
        <v>17</v>
      </c>
      <c r="AE671" t="n">
        <v>18</v>
      </c>
      <c r="AF671" t="n">
        <v>5</v>
      </c>
      <c r="AG671" t="n">
        <v>5</v>
      </c>
      <c r="AH671" t="n">
        <v>4</v>
      </c>
      <c r="AI671" t="n">
        <v>4</v>
      </c>
      <c r="AJ671" t="n">
        <v>11</v>
      </c>
      <c r="AK671" t="n">
        <v>12</v>
      </c>
      <c r="AL671" t="n">
        <v>2</v>
      </c>
      <c r="AM671" t="n">
        <v>2</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HYPERLINK("https://creighton-primo.hosted.exlibrisgroup.com/primo-explore/search?tab=default_tab&amp;search_scope=EVERYTHING&amp;vid=01CRU&amp;lang=en_US&amp;offset=0&amp;query=any,contains,991005066199702656","Catalog Record")</f>
        <v/>
      </c>
      <c r="AT671">
        <f>HYPERLINK("http://www.worldcat.org/oclc/6962662","WorldCat Record")</f>
        <v/>
      </c>
      <c r="AU671" t="inlineStr">
        <is>
          <t>401914:eng</t>
        </is>
      </c>
      <c r="AV671" t="inlineStr">
        <is>
          <t>6962662</t>
        </is>
      </c>
      <c r="AW671" t="inlineStr">
        <is>
          <t>991005066199702656</t>
        </is>
      </c>
      <c r="AX671" t="inlineStr">
        <is>
          <t>991005066199702656</t>
        </is>
      </c>
      <c r="AY671" t="inlineStr">
        <is>
          <t>2255755630002656</t>
        </is>
      </c>
      <c r="AZ671" t="inlineStr">
        <is>
          <t>BOOK</t>
        </is>
      </c>
      <c r="BB671" t="inlineStr">
        <is>
          <t>9780043011140</t>
        </is>
      </c>
      <c r="BC671" t="inlineStr">
        <is>
          <t>32285001194454</t>
        </is>
      </c>
      <c r="BD671" t="inlineStr">
        <is>
          <t>893619387</t>
        </is>
      </c>
    </row>
    <row r="672">
      <c r="A672" t="inlineStr">
        <is>
          <t>No</t>
        </is>
      </c>
      <c r="B672" t="inlineStr">
        <is>
          <t>HM36.5 .C37 1995</t>
        </is>
      </c>
      <c r="C672" t="inlineStr">
        <is>
          <t>0                      HM 0036500C  37          1995</t>
        </is>
      </c>
      <c r="D672" t="inlineStr">
        <is>
          <t>Systems of war and peace / Theodore Caplow, Louis Hicks.</t>
        </is>
      </c>
      <c r="F672" t="inlineStr">
        <is>
          <t>No</t>
        </is>
      </c>
      <c r="G672" t="inlineStr">
        <is>
          <t>1</t>
        </is>
      </c>
      <c r="H672" t="inlineStr">
        <is>
          <t>No</t>
        </is>
      </c>
      <c r="I672" t="inlineStr">
        <is>
          <t>No</t>
        </is>
      </c>
      <c r="J672" t="inlineStr">
        <is>
          <t>0</t>
        </is>
      </c>
      <c r="K672" t="inlineStr">
        <is>
          <t>Caplow, Theodore.</t>
        </is>
      </c>
      <c r="L672" t="inlineStr">
        <is>
          <t>Lanham : University Press of America, 1995.</t>
        </is>
      </c>
      <c r="M672" t="inlineStr">
        <is>
          <t>1995</t>
        </is>
      </c>
      <c r="O672" t="inlineStr">
        <is>
          <t>eng</t>
        </is>
      </c>
      <c r="P672" t="inlineStr">
        <is>
          <t>mdu</t>
        </is>
      </c>
      <c r="R672" t="inlineStr">
        <is>
          <t xml:space="preserve">HM </t>
        </is>
      </c>
      <c r="S672" t="n">
        <v>2</v>
      </c>
      <c r="T672" t="n">
        <v>2</v>
      </c>
      <c r="U672" t="inlineStr">
        <is>
          <t>1998-09-26</t>
        </is>
      </c>
      <c r="V672" t="inlineStr">
        <is>
          <t>1998-09-26</t>
        </is>
      </c>
      <c r="W672" t="inlineStr">
        <is>
          <t>1997-06-06</t>
        </is>
      </c>
      <c r="X672" t="inlineStr">
        <is>
          <t>1997-06-06</t>
        </is>
      </c>
      <c r="Y672" t="n">
        <v>138</v>
      </c>
      <c r="Z672" t="n">
        <v>101</v>
      </c>
      <c r="AA672" t="n">
        <v>205</v>
      </c>
      <c r="AB672" t="n">
        <v>1</v>
      </c>
      <c r="AC672" t="n">
        <v>3</v>
      </c>
      <c r="AD672" t="n">
        <v>7</v>
      </c>
      <c r="AE672" t="n">
        <v>16</v>
      </c>
      <c r="AF672" t="n">
        <v>1</v>
      </c>
      <c r="AG672" t="n">
        <v>4</v>
      </c>
      <c r="AH672" t="n">
        <v>2</v>
      </c>
      <c r="AI672" t="n">
        <v>6</v>
      </c>
      <c r="AJ672" t="n">
        <v>5</v>
      </c>
      <c r="AK672" t="n">
        <v>7</v>
      </c>
      <c r="AL672" t="n">
        <v>0</v>
      </c>
      <c r="AM672" t="n">
        <v>2</v>
      </c>
      <c r="AN672" t="n">
        <v>0</v>
      </c>
      <c r="AO672" t="n">
        <v>0</v>
      </c>
      <c r="AP672" t="inlineStr">
        <is>
          <t>No</t>
        </is>
      </c>
      <c r="AQ672" t="inlineStr">
        <is>
          <t>Yes</t>
        </is>
      </c>
      <c r="AR672">
        <f>HYPERLINK("http://catalog.hathitrust.org/Record/002977361","HathiTrust Record")</f>
        <v/>
      </c>
      <c r="AS672">
        <f>HYPERLINK("https://creighton-primo.hosted.exlibrisgroup.com/primo-explore/search?tab=default_tab&amp;search_scope=EVERYTHING&amp;vid=01CRU&amp;lang=en_US&amp;offset=0&amp;query=any,contains,991002434569702656","Catalog Record")</f>
        <v/>
      </c>
      <c r="AT672">
        <f>HYPERLINK("http://www.worldcat.org/oclc/31740198","WorldCat Record")</f>
        <v/>
      </c>
      <c r="AU672" t="inlineStr">
        <is>
          <t>34430576:eng</t>
        </is>
      </c>
      <c r="AV672" t="inlineStr">
        <is>
          <t>31740198</t>
        </is>
      </c>
      <c r="AW672" t="inlineStr">
        <is>
          <t>991002434569702656</t>
        </is>
      </c>
      <c r="AX672" t="inlineStr">
        <is>
          <t>991002434569702656</t>
        </is>
      </c>
      <c r="AY672" t="inlineStr">
        <is>
          <t>2269884620002656</t>
        </is>
      </c>
      <c r="AZ672" t="inlineStr">
        <is>
          <t>BOOK</t>
        </is>
      </c>
      <c r="BB672" t="inlineStr">
        <is>
          <t>9780819198570</t>
        </is>
      </c>
      <c r="BC672" t="inlineStr">
        <is>
          <t>32285002750163</t>
        </is>
      </c>
      <c r="BD672" t="inlineStr">
        <is>
          <t>893335306</t>
        </is>
      </c>
    </row>
    <row r="673">
      <c r="A673" t="inlineStr">
        <is>
          <t>No</t>
        </is>
      </c>
      <c r="B673" t="inlineStr">
        <is>
          <t>HM36.5 .K46 1982</t>
        </is>
      </c>
      <c r="C673" t="inlineStr">
        <is>
          <t>0                      HM 0036500K  46          1982</t>
        </is>
      </c>
      <c r="D673" t="inlineStr">
        <is>
          <t>Freeze! : How you can help prevent nuclear war / by Edward M. Kennedy and Mark O. Hatfield ; foreword by W. Averell Harriman.</t>
        </is>
      </c>
      <c r="F673" t="inlineStr">
        <is>
          <t>No</t>
        </is>
      </c>
      <c r="G673" t="inlineStr">
        <is>
          <t>1</t>
        </is>
      </c>
      <c r="H673" t="inlineStr">
        <is>
          <t>No</t>
        </is>
      </c>
      <c r="I673" t="inlineStr">
        <is>
          <t>No</t>
        </is>
      </c>
      <c r="J673" t="inlineStr">
        <is>
          <t>0</t>
        </is>
      </c>
      <c r="K673" t="inlineStr">
        <is>
          <t>Kennedy, Edward M. (Edward Moore), 1932-2009.</t>
        </is>
      </c>
      <c r="L673" t="inlineStr">
        <is>
          <t>Toronto ; New York : Bantam Books, 1982.</t>
        </is>
      </c>
      <c r="M673" t="inlineStr">
        <is>
          <t>1982</t>
        </is>
      </c>
      <c r="O673" t="inlineStr">
        <is>
          <t>eng</t>
        </is>
      </c>
      <c r="P673" t="inlineStr">
        <is>
          <t>onc</t>
        </is>
      </c>
      <c r="R673" t="inlineStr">
        <is>
          <t xml:space="preserve">HM </t>
        </is>
      </c>
      <c r="S673" t="n">
        <v>2</v>
      </c>
      <c r="T673" t="n">
        <v>2</v>
      </c>
      <c r="U673" t="inlineStr">
        <is>
          <t>1994-02-24</t>
        </is>
      </c>
      <c r="V673" t="inlineStr">
        <is>
          <t>1994-02-24</t>
        </is>
      </c>
      <c r="W673" t="inlineStr">
        <is>
          <t>1992-08-12</t>
        </is>
      </c>
      <c r="X673" t="inlineStr">
        <is>
          <t>1992-08-12</t>
        </is>
      </c>
      <c r="Y673" t="n">
        <v>443</v>
      </c>
      <c r="Z673" t="n">
        <v>406</v>
      </c>
      <c r="AA673" t="n">
        <v>415</v>
      </c>
      <c r="AB673" t="n">
        <v>5</v>
      </c>
      <c r="AC673" t="n">
        <v>5</v>
      </c>
      <c r="AD673" t="n">
        <v>14</v>
      </c>
      <c r="AE673" t="n">
        <v>14</v>
      </c>
      <c r="AF673" t="n">
        <v>6</v>
      </c>
      <c r="AG673" t="n">
        <v>6</v>
      </c>
      <c r="AH673" t="n">
        <v>0</v>
      </c>
      <c r="AI673" t="n">
        <v>0</v>
      </c>
      <c r="AJ673" t="n">
        <v>6</v>
      </c>
      <c r="AK673" t="n">
        <v>6</v>
      </c>
      <c r="AL673" t="n">
        <v>3</v>
      </c>
      <c r="AM673" t="n">
        <v>3</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HYPERLINK("https://creighton-primo.hosted.exlibrisgroup.com/primo-explore/search?tab=default_tab&amp;search_scope=EVERYTHING&amp;vid=01CRU&amp;lang=en_US&amp;offset=0&amp;query=any,contains,991005235859702656","Catalog Record")</f>
        <v/>
      </c>
      <c r="AT673">
        <f>HYPERLINK("http://www.worldcat.org/oclc/16610837","WorldCat Record")</f>
        <v/>
      </c>
      <c r="AU673" t="inlineStr">
        <is>
          <t>836709663:eng</t>
        </is>
      </c>
      <c r="AV673" t="inlineStr">
        <is>
          <t>16610837</t>
        </is>
      </c>
      <c r="AW673" t="inlineStr">
        <is>
          <t>991005235859702656</t>
        </is>
      </c>
      <c r="AX673" t="inlineStr">
        <is>
          <t>991005235859702656</t>
        </is>
      </c>
      <c r="AY673" t="inlineStr">
        <is>
          <t>2265916460002656</t>
        </is>
      </c>
      <c r="AZ673" t="inlineStr">
        <is>
          <t>BOOK</t>
        </is>
      </c>
      <c r="BB673" t="inlineStr">
        <is>
          <t>9780553140774</t>
        </is>
      </c>
      <c r="BC673" t="inlineStr">
        <is>
          <t>32285001194488</t>
        </is>
      </c>
      <c r="BD673" t="inlineStr">
        <is>
          <t>893896118</t>
        </is>
      </c>
    </row>
    <row r="674">
      <c r="A674" t="inlineStr">
        <is>
          <t>No</t>
        </is>
      </c>
      <c r="B674" t="inlineStr">
        <is>
          <t>HM36.5 .M25</t>
        </is>
      </c>
      <c r="C674" t="inlineStr">
        <is>
          <t>0                      HM 0036500M  25</t>
        </is>
      </c>
      <c r="D674" t="inlineStr">
        <is>
          <t>The nature of human conflict / edited by Elton B. McNeil.</t>
        </is>
      </c>
      <c r="F674" t="inlineStr">
        <is>
          <t>No</t>
        </is>
      </c>
      <c r="G674" t="inlineStr">
        <is>
          <t>1</t>
        </is>
      </c>
      <c r="H674" t="inlineStr">
        <is>
          <t>No</t>
        </is>
      </c>
      <c r="I674" t="inlineStr">
        <is>
          <t>No</t>
        </is>
      </c>
      <c r="J674" t="inlineStr">
        <is>
          <t>0</t>
        </is>
      </c>
      <c r="L674" t="inlineStr">
        <is>
          <t>Englewood Cliffs, N.J. : Prentice-Hall, [1965]</t>
        </is>
      </c>
      <c r="M674" t="inlineStr">
        <is>
          <t>1965</t>
        </is>
      </c>
      <c r="O674" t="inlineStr">
        <is>
          <t>eng</t>
        </is>
      </c>
      <c r="P674" t="inlineStr">
        <is>
          <t>nju</t>
        </is>
      </c>
      <c r="R674" t="inlineStr">
        <is>
          <t xml:space="preserve">HM </t>
        </is>
      </c>
      <c r="S674" t="n">
        <v>4</v>
      </c>
      <c r="T674" t="n">
        <v>4</v>
      </c>
      <c r="U674" t="inlineStr">
        <is>
          <t>1998-11-04</t>
        </is>
      </c>
      <c r="V674" t="inlineStr">
        <is>
          <t>1998-11-04</t>
        </is>
      </c>
      <c r="W674" t="inlineStr">
        <is>
          <t>1992-12-16</t>
        </is>
      </c>
      <c r="X674" t="inlineStr">
        <is>
          <t>1992-12-16</t>
        </is>
      </c>
      <c r="Y674" t="n">
        <v>1007</v>
      </c>
      <c r="Z674" t="n">
        <v>825</v>
      </c>
      <c r="AA674" t="n">
        <v>829</v>
      </c>
      <c r="AB674" t="n">
        <v>7</v>
      </c>
      <c r="AC674" t="n">
        <v>7</v>
      </c>
      <c r="AD674" t="n">
        <v>39</v>
      </c>
      <c r="AE674" t="n">
        <v>39</v>
      </c>
      <c r="AF674" t="n">
        <v>15</v>
      </c>
      <c r="AG674" t="n">
        <v>15</v>
      </c>
      <c r="AH674" t="n">
        <v>9</v>
      </c>
      <c r="AI674" t="n">
        <v>9</v>
      </c>
      <c r="AJ674" t="n">
        <v>19</v>
      </c>
      <c r="AK674" t="n">
        <v>19</v>
      </c>
      <c r="AL674" t="n">
        <v>6</v>
      </c>
      <c r="AM674" t="n">
        <v>6</v>
      </c>
      <c r="AN674" t="n">
        <v>1</v>
      </c>
      <c r="AO674" t="n">
        <v>1</v>
      </c>
      <c r="AP674" t="inlineStr">
        <is>
          <t>No</t>
        </is>
      </c>
      <c r="AQ674" t="inlineStr">
        <is>
          <t>No</t>
        </is>
      </c>
      <c r="AS674">
        <f>HYPERLINK("https://creighton-primo.hosted.exlibrisgroup.com/primo-explore/search?tab=default_tab&amp;search_scope=EVERYTHING&amp;vid=01CRU&amp;lang=en_US&amp;offset=0&amp;query=any,contains,991001972169702656","Catalog Record")</f>
        <v/>
      </c>
      <c r="AT674">
        <f>HYPERLINK("http://www.worldcat.org/oclc/254153","WorldCat Record")</f>
        <v/>
      </c>
      <c r="AU674" t="inlineStr">
        <is>
          <t>1348703:eng</t>
        </is>
      </c>
      <c r="AV674" t="inlineStr">
        <is>
          <t>254153</t>
        </is>
      </c>
      <c r="AW674" t="inlineStr">
        <is>
          <t>991001972169702656</t>
        </is>
      </c>
      <c r="AX674" t="inlineStr">
        <is>
          <t>991001972169702656</t>
        </is>
      </c>
      <c r="AY674" t="inlineStr">
        <is>
          <t>2269471530002656</t>
        </is>
      </c>
      <c r="AZ674" t="inlineStr">
        <is>
          <t>BOOK</t>
        </is>
      </c>
      <c r="BC674" t="inlineStr">
        <is>
          <t>32285001443026</t>
        </is>
      </c>
      <c r="BD674" t="inlineStr">
        <is>
          <t>893510130</t>
        </is>
      </c>
    </row>
    <row r="675">
      <c r="A675" t="inlineStr">
        <is>
          <t>No</t>
        </is>
      </c>
      <c r="B675" t="inlineStr">
        <is>
          <t>HM36.5 .S62 1987</t>
        </is>
      </c>
      <c r="C675" t="inlineStr">
        <is>
          <t>0                      HM 0036500S  62          1987</t>
        </is>
      </c>
      <c r="D675" t="inlineStr">
        <is>
          <t>The sociology of war and peace / edited by Colin Creighton and Martin Shaw.</t>
        </is>
      </c>
      <c r="F675" t="inlineStr">
        <is>
          <t>No</t>
        </is>
      </c>
      <c r="G675" t="inlineStr">
        <is>
          <t>1</t>
        </is>
      </c>
      <c r="H675" t="inlineStr">
        <is>
          <t>No</t>
        </is>
      </c>
      <c r="I675" t="inlineStr">
        <is>
          <t>No</t>
        </is>
      </c>
      <c r="J675" t="inlineStr">
        <is>
          <t>0</t>
        </is>
      </c>
      <c r="L675" t="inlineStr">
        <is>
          <t>Dobbs Ferry, NY : Sheridan House, 1987.</t>
        </is>
      </c>
      <c r="M675" t="inlineStr">
        <is>
          <t>1987</t>
        </is>
      </c>
      <c r="O675" t="inlineStr">
        <is>
          <t>eng</t>
        </is>
      </c>
      <c r="P675" t="inlineStr">
        <is>
          <t>nyu</t>
        </is>
      </c>
      <c r="R675" t="inlineStr">
        <is>
          <t xml:space="preserve">HM </t>
        </is>
      </c>
      <c r="S675" t="n">
        <v>3</v>
      </c>
      <c r="T675" t="n">
        <v>3</v>
      </c>
      <c r="U675" t="inlineStr">
        <is>
          <t>1998-09-26</t>
        </is>
      </c>
      <c r="V675" t="inlineStr">
        <is>
          <t>1998-09-26</t>
        </is>
      </c>
      <c r="W675" t="inlineStr">
        <is>
          <t>1992-08-12</t>
        </is>
      </c>
      <c r="X675" t="inlineStr">
        <is>
          <t>1992-08-12</t>
        </is>
      </c>
      <c r="Y675" t="n">
        <v>246</v>
      </c>
      <c r="Z675" t="n">
        <v>224</v>
      </c>
      <c r="AA675" t="n">
        <v>283</v>
      </c>
      <c r="AB675" t="n">
        <v>2</v>
      </c>
      <c r="AC675" t="n">
        <v>3</v>
      </c>
      <c r="AD675" t="n">
        <v>13</v>
      </c>
      <c r="AE675" t="n">
        <v>16</v>
      </c>
      <c r="AF675" t="n">
        <v>6</v>
      </c>
      <c r="AG675" t="n">
        <v>7</v>
      </c>
      <c r="AH675" t="n">
        <v>4</v>
      </c>
      <c r="AI675" t="n">
        <v>5</v>
      </c>
      <c r="AJ675" t="n">
        <v>7</v>
      </c>
      <c r="AK675" t="n">
        <v>9</v>
      </c>
      <c r="AL675" t="n">
        <v>1</v>
      </c>
      <c r="AM675" t="n">
        <v>2</v>
      </c>
      <c r="AN675" t="n">
        <v>0</v>
      </c>
      <c r="AO675" t="n">
        <v>0</v>
      </c>
      <c r="AP675" t="inlineStr">
        <is>
          <t>No</t>
        </is>
      </c>
      <c r="AQ675" t="inlineStr">
        <is>
          <t>Yes</t>
        </is>
      </c>
      <c r="AR675">
        <f>HYPERLINK("http://catalog.hathitrust.org/Record/000822358","HathiTrust Record")</f>
        <v/>
      </c>
      <c r="AS675">
        <f>HYPERLINK("https://creighton-primo.hosted.exlibrisgroup.com/primo-explore/search?tab=default_tab&amp;search_scope=EVERYTHING&amp;vid=01CRU&amp;lang=en_US&amp;offset=0&amp;query=any,contains,991000918779702656","Catalog Record")</f>
        <v/>
      </c>
      <c r="AT675">
        <f>HYPERLINK("http://www.worldcat.org/oclc/14188673","WorldCat Record")</f>
        <v/>
      </c>
      <c r="AU675" t="inlineStr">
        <is>
          <t>351507891:eng</t>
        </is>
      </c>
      <c r="AV675" t="inlineStr">
        <is>
          <t>14188673</t>
        </is>
      </c>
      <c r="AW675" t="inlineStr">
        <is>
          <t>991000918779702656</t>
        </is>
      </c>
      <c r="AX675" t="inlineStr">
        <is>
          <t>991000918779702656</t>
        </is>
      </c>
      <c r="AY675" t="inlineStr">
        <is>
          <t>2259875610002656</t>
        </is>
      </c>
      <c r="AZ675" t="inlineStr">
        <is>
          <t>BOOK</t>
        </is>
      </c>
      <c r="BB675" t="inlineStr">
        <is>
          <t>9780911378665</t>
        </is>
      </c>
      <c r="BC675" t="inlineStr">
        <is>
          <t>32285001194520</t>
        </is>
      </c>
      <c r="BD675" t="inlineStr">
        <is>
          <t>893255858</t>
        </is>
      </c>
    </row>
    <row r="676">
      <c r="A676" t="inlineStr">
        <is>
          <t>No</t>
        </is>
      </c>
      <c r="B676" t="inlineStr">
        <is>
          <t>HM36.5 .W37</t>
        </is>
      </c>
      <c r="C676" t="inlineStr">
        <is>
          <t>0                      HM 0036500W  37</t>
        </is>
      </c>
      <c r="D676" t="inlineStr">
        <is>
          <t>The War system : an interdisciplinary approach / edited by Richard A. Falk and Samuel S. Kim.</t>
        </is>
      </c>
      <c r="F676" t="inlineStr">
        <is>
          <t>No</t>
        </is>
      </c>
      <c r="G676" t="inlineStr">
        <is>
          <t>1</t>
        </is>
      </c>
      <c r="H676" t="inlineStr">
        <is>
          <t>No</t>
        </is>
      </c>
      <c r="I676" t="inlineStr">
        <is>
          <t>No</t>
        </is>
      </c>
      <c r="J676" t="inlineStr">
        <is>
          <t>0</t>
        </is>
      </c>
      <c r="L676" t="inlineStr">
        <is>
          <t>Boulder, Colo. : Westview Press, 1980.</t>
        </is>
      </c>
      <c r="M676" t="inlineStr">
        <is>
          <t>1980</t>
        </is>
      </c>
      <c r="O676" t="inlineStr">
        <is>
          <t>eng</t>
        </is>
      </c>
      <c r="P676" t="inlineStr">
        <is>
          <t>cou</t>
        </is>
      </c>
      <c r="Q676" t="inlineStr">
        <is>
          <t>Westview special studies in peace, conflict, and conflict resolution</t>
        </is>
      </c>
      <c r="R676" t="inlineStr">
        <is>
          <t xml:space="preserve">HM </t>
        </is>
      </c>
      <c r="S676" t="n">
        <v>1</v>
      </c>
      <c r="T676" t="n">
        <v>1</v>
      </c>
      <c r="U676" t="inlineStr">
        <is>
          <t>1992-11-08</t>
        </is>
      </c>
      <c r="V676" t="inlineStr">
        <is>
          <t>1992-11-08</t>
        </is>
      </c>
      <c r="W676" t="inlineStr">
        <is>
          <t>1992-04-24</t>
        </is>
      </c>
      <c r="X676" t="inlineStr">
        <is>
          <t>1992-04-24</t>
        </is>
      </c>
      <c r="Y676" t="n">
        <v>512</v>
      </c>
      <c r="Z676" t="n">
        <v>414</v>
      </c>
      <c r="AA676" t="n">
        <v>434</v>
      </c>
      <c r="AB676" t="n">
        <v>3</v>
      </c>
      <c r="AC676" t="n">
        <v>3</v>
      </c>
      <c r="AD676" t="n">
        <v>20</v>
      </c>
      <c r="AE676" t="n">
        <v>20</v>
      </c>
      <c r="AF676" t="n">
        <v>6</v>
      </c>
      <c r="AG676" t="n">
        <v>6</v>
      </c>
      <c r="AH676" t="n">
        <v>5</v>
      </c>
      <c r="AI676" t="n">
        <v>5</v>
      </c>
      <c r="AJ676" t="n">
        <v>10</v>
      </c>
      <c r="AK676" t="n">
        <v>10</v>
      </c>
      <c r="AL676" t="n">
        <v>2</v>
      </c>
      <c r="AM676" t="n">
        <v>2</v>
      </c>
      <c r="AN676" t="n">
        <v>1</v>
      </c>
      <c r="AO676" t="n">
        <v>1</v>
      </c>
      <c r="AP676" t="inlineStr">
        <is>
          <t>No</t>
        </is>
      </c>
      <c r="AQ676" t="inlineStr">
        <is>
          <t>Yes</t>
        </is>
      </c>
      <c r="AR676">
        <f>HYPERLINK("http://catalog.hathitrust.org/Record/000713844","HathiTrust Record")</f>
        <v/>
      </c>
      <c r="AS676">
        <f>HYPERLINK("https://creighton-primo.hosted.exlibrisgroup.com/primo-explore/search?tab=default_tab&amp;search_scope=EVERYTHING&amp;vid=01CRU&amp;lang=en_US&amp;offset=0&amp;query=any,contains,991004816319702656","Catalog Record")</f>
        <v/>
      </c>
      <c r="AT676">
        <f>HYPERLINK("http://www.worldcat.org/oclc/5310535","WorldCat Record")</f>
        <v/>
      </c>
      <c r="AU676" t="inlineStr">
        <is>
          <t>815133113:eng</t>
        </is>
      </c>
      <c r="AV676" t="inlineStr">
        <is>
          <t>5310535</t>
        </is>
      </c>
      <c r="AW676" t="inlineStr">
        <is>
          <t>991004816319702656</t>
        </is>
      </c>
      <c r="AX676" t="inlineStr">
        <is>
          <t>991004816319702656</t>
        </is>
      </c>
      <c r="AY676" t="inlineStr">
        <is>
          <t>2264366370002656</t>
        </is>
      </c>
      <c r="AZ676" t="inlineStr">
        <is>
          <t>BOOK</t>
        </is>
      </c>
      <c r="BB676" t="inlineStr">
        <is>
          <t>9780865310421</t>
        </is>
      </c>
      <c r="BC676" t="inlineStr">
        <is>
          <t>32285001095511</t>
        </is>
      </c>
      <c r="BD676" t="inlineStr">
        <is>
          <t>893789132</t>
        </is>
      </c>
    </row>
    <row r="677">
      <c r="A677" t="inlineStr">
        <is>
          <t>No</t>
        </is>
      </c>
      <c r="B677" t="inlineStr">
        <is>
          <t>HM435 .S9 2000</t>
        </is>
      </c>
      <c r="C677" t="inlineStr">
        <is>
          <t>0                      HM 0435000S  9           2000</t>
        </is>
      </c>
      <c r="D677" t="inlineStr">
        <is>
          <t>A short history of sociological thought / Alan Swingewood.</t>
        </is>
      </c>
      <c r="F677" t="inlineStr">
        <is>
          <t>No</t>
        </is>
      </c>
      <c r="G677" t="inlineStr">
        <is>
          <t>1</t>
        </is>
      </c>
      <c r="H677" t="inlineStr">
        <is>
          <t>No</t>
        </is>
      </c>
      <c r="I677" t="inlineStr">
        <is>
          <t>No</t>
        </is>
      </c>
      <c r="J677" t="inlineStr">
        <is>
          <t>0</t>
        </is>
      </c>
      <c r="K677" t="inlineStr">
        <is>
          <t>Swingewood, Alan.</t>
        </is>
      </c>
      <c r="L677" t="inlineStr">
        <is>
          <t>New York : St. Martin's Press, 2000.</t>
        </is>
      </c>
      <c r="M677" t="inlineStr">
        <is>
          <t>2000</t>
        </is>
      </c>
      <c r="N677" t="inlineStr">
        <is>
          <t>3rd ed.</t>
        </is>
      </c>
      <c r="O677" t="inlineStr">
        <is>
          <t>eng</t>
        </is>
      </c>
      <c r="P677" t="inlineStr">
        <is>
          <t>nyu</t>
        </is>
      </c>
      <c r="R677" t="inlineStr">
        <is>
          <t xml:space="preserve">HM </t>
        </is>
      </c>
      <c r="S677" t="n">
        <v>1</v>
      </c>
      <c r="T677" t="n">
        <v>1</v>
      </c>
      <c r="U677" t="inlineStr">
        <is>
          <t>2008-03-06</t>
        </is>
      </c>
      <c r="V677" t="inlineStr">
        <is>
          <t>2008-03-06</t>
        </is>
      </c>
      <c r="W677" t="inlineStr">
        <is>
          <t>2008-03-06</t>
        </is>
      </c>
      <c r="X677" t="inlineStr">
        <is>
          <t>2008-03-06</t>
        </is>
      </c>
      <c r="Y677" t="n">
        <v>213</v>
      </c>
      <c r="Z677" t="n">
        <v>173</v>
      </c>
      <c r="AA677" t="n">
        <v>572</v>
      </c>
      <c r="AB677" t="n">
        <v>2</v>
      </c>
      <c r="AC677" t="n">
        <v>6</v>
      </c>
      <c r="AD677" t="n">
        <v>8</v>
      </c>
      <c r="AE677" t="n">
        <v>27</v>
      </c>
      <c r="AF677" t="n">
        <v>2</v>
      </c>
      <c r="AG677" t="n">
        <v>9</v>
      </c>
      <c r="AH677" t="n">
        <v>1</v>
      </c>
      <c r="AI677" t="n">
        <v>6</v>
      </c>
      <c r="AJ677" t="n">
        <v>5</v>
      </c>
      <c r="AK677" t="n">
        <v>15</v>
      </c>
      <c r="AL677" t="n">
        <v>1</v>
      </c>
      <c r="AM677" t="n">
        <v>5</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HYPERLINK("https://creighton-primo.hosted.exlibrisgroup.com/primo-explore/search?tab=default_tab&amp;search_scope=EVERYTHING&amp;vid=01CRU&amp;lang=en_US&amp;offset=0&amp;query=any,contains,991005188449702656","Catalog Record")</f>
        <v/>
      </c>
      <c r="AT677">
        <f>HYPERLINK("http://www.worldcat.org/oclc/42603336","WorldCat Record")</f>
        <v/>
      </c>
      <c r="AU677" t="inlineStr">
        <is>
          <t>2873830:eng</t>
        </is>
      </c>
      <c r="AV677" t="inlineStr">
        <is>
          <t>42603336</t>
        </is>
      </c>
      <c r="AW677" t="inlineStr">
        <is>
          <t>991005188449702656</t>
        </is>
      </c>
      <c r="AX677" t="inlineStr">
        <is>
          <t>991005188449702656</t>
        </is>
      </c>
      <c r="AY677" t="inlineStr">
        <is>
          <t>2266268340002656</t>
        </is>
      </c>
      <c r="AZ677" t="inlineStr">
        <is>
          <t>BOOK</t>
        </is>
      </c>
      <c r="BB677" t="inlineStr">
        <is>
          <t>9780312230920</t>
        </is>
      </c>
      <c r="BC677" t="inlineStr">
        <is>
          <t>32285005396394</t>
        </is>
      </c>
      <c r="BD677" t="inlineStr">
        <is>
          <t>893902268</t>
        </is>
      </c>
    </row>
    <row r="678">
      <c r="A678" t="inlineStr">
        <is>
          <t>No</t>
        </is>
      </c>
      <c r="B678" t="inlineStr">
        <is>
          <t>HM447 .T45 2000</t>
        </is>
      </c>
      <c r="C678" t="inlineStr">
        <is>
          <t>0                      HM 0447000T  45          2000</t>
        </is>
      </c>
      <c r="D678" t="inlineStr">
        <is>
          <t>Third survey of research in sociology and social anthropology / M.S. Gore, editor.</t>
        </is>
      </c>
      <c r="E678" t="inlineStr">
        <is>
          <t>V. 2</t>
        </is>
      </c>
      <c r="F678" t="inlineStr">
        <is>
          <t>Yes</t>
        </is>
      </c>
      <c r="G678" t="inlineStr">
        <is>
          <t>1</t>
        </is>
      </c>
      <c r="H678" t="inlineStr">
        <is>
          <t>No</t>
        </is>
      </c>
      <c r="I678" t="inlineStr">
        <is>
          <t>No</t>
        </is>
      </c>
      <c r="J678" t="inlineStr">
        <is>
          <t>0</t>
        </is>
      </c>
      <c r="L678" t="inlineStr">
        <is>
          <t>New Delhi : Published by Indian Council of Social Science Research, and Manak Publications, c2000.</t>
        </is>
      </c>
      <c r="M678" t="inlineStr">
        <is>
          <t>2000</t>
        </is>
      </c>
      <c r="O678" t="inlineStr">
        <is>
          <t>eng</t>
        </is>
      </c>
      <c r="P678" t="inlineStr">
        <is>
          <t xml:space="preserve">ii </t>
        </is>
      </c>
      <c r="R678" t="inlineStr">
        <is>
          <t xml:space="preserve">HM </t>
        </is>
      </c>
      <c r="S678" t="n">
        <v>2</v>
      </c>
      <c r="T678" t="n">
        <v>3</v>
      </c>
      <c r="U678" t="inlineStr">
        <is>
          <t>2007-10-27</t>
        </is>
      </c>
      <c r="V678" t="inlineStr">
        <is>
          <t>2007-10-27</t>
        </is>
      </c>
      <c r="W678" t="inlineStr">
        <is>
          <t>2005-09-28</t>
        </is>
      </c>
      <c r="X678" t="inlineStr">
        <is>
          <t>2005-09-28</t>
        </is>
      </c>
      <c r="Y678" t="n">
        <v>38</v>
      </c>
      <c r="Z678" t="n">
        <v>31</v>
      </c>
      <c r="AA678" t="n">
        <v>33</v>
      </c>
      <c r="AB678" t="n">
        <v>1</v>
      </c>
      <c r="AC678" t="n">
        <v>1</v>
      </c>
      <c r="AD678" t="n">
        <v>0</v>
      </c>
      <c r="AE678" t="n">
        <v>0</v>
      </c>
      <c r="AF678" t="n">
        <v>0</v>
      </c>
      <c r="AG678" t="n">
        <v>0</v>
      </c>
      <c r="AH678" t="n">
        <v>0</v>
      </c>
      <c r="AI678" t="n">
        <v>0</v>
      </c>
      <c r="AJ678" t="n">
        <v>0</v>
      </c>
      <c r="AK678" t="n">
        <v>0</v>
      </c>
      <c r="AL678" t="n">
        <v>0</v>
      </c>
      <c r="AM678" t="n">
        <v>0</v>
      </c>
      <c r="AN678" t="n">
        <v>0</v>
      </c>
      <c r="AO678" t="n">
        <v>0</v>
      </c>
      <c r="AP678" t="inlineStr">
        <is>
          <t>No</t>
        </is>
      </c>
      <c r="AQ678" t="inlineStr">
        <is>
          <t>Yes</t>
        </is>
      </c>
      <c r="AR678">
        <f>HYPERLINK("http://catalog.hathitrust.org/Record/003542679","HathiTrust Record")</f>
        <v/>
      </c>
      <c r="AS678">
        <f>HYPERLINK("https://creighton-primo.hosted.exlibrisgroup.com/primo-explore/search?tab=default_tab&amp;search_scope=EVERYTHING&amp;vid=01CRU&amp;lang=en_US&amp;offset=0&amp;query=any,contains,991004657279702656","Catalog Record")</f>
        <v/>
      </c>
      <c r="AT678">
        <f>HYPERLINK("http://www.worldcat.org/oclc/45556353","WorldCat Record")</f>
        <v/>
      </c>
      <c r="AU678" t="inlineStr">
        <is>
          <t>474253862:eng</t>
        </is>
      </c>
      <c r="AV678" t="inlineStr">
        <is>
          <t>45556353</t>
        </is>
      </c>
      <c r="AW678" t="inlineStr">
        <is>
          <t>991004657279702656</t>
        </is>
      </c>
      <c r="AX678" t="inlineStr">
        <is>
          <t>991004657279702656</t>
        </is>
      </c>
      <c r="AY678" t="inlineStr">
        <is>
          <t>2259437560002656</t>
        </is>
      </c>
      <c r="AZ678" t="inlineStr">
        <is>
          <t>BOOK</t>
        </is>
      </c>
      <c r="BB678" t="inlineStr">
        <is>
          <t>9788186562826</t>
        </is>
      </c>
      <c r="BC678" t="inlineStr">
        <is>
          <t>32285005085732</t>
        </is>
      </c>
      <c r="BD678" t="inlineStr">
        <is>
          <t>893895256</t>
        </is>
      </c>
    </row>
    <row r="679">
      <c r="A679" t="inlineStr">
        <is>
          <t>No</t>
        </is>
      </c>
      <c r="B679" t="inlineStr">
        <is>
          <t>HM447 .T45 2000</t>
        </is>
      </c>
      <c r="C679" t="inlineStr">
        <is>
          <t>0                      HM 0447000T  45          2000</t>
        </is>
      </c>
      <c r="D679" t="inlineStr">
        <is>
          <t>Third survey of research in sociology and social anthropology / M.S. Gore, editor.</t>
        </is>
      </c>
      <c r="E679" t="inlineStr">
        <is>
          <t>V. 1</t>
        </is>
      </c>
      <c r="F679" t="inlineStr">
        <is>
          <t>Yes</t>
        </is>
      </c>
      <c r="G679" t="inlineStr">
        <is>
          <t>1</t>
        </is>
      </c>
      <c r="H679" t="inlineStr">
        <is>
          <t>No</t>
        </is>
      </c>
      <c r="I679" t="inlineStr">
        <is>
          <t>No</t>
        </is>
      </c>
      <c r="J679" t="inlineStr">
        <is>
          <t>0</t>
        </is>
      </c>
      <c r="L679" t="inlineStr">
        <is>
          <t>New Delhi : Published by Indian Council of Social Science Research, and Manak Publications, c2000.</t>
        </is>
      </c>
      <c r="M679" t="inlineStr">
        <is>
          <t>2000</t>
        </is>
      </c>
      <c r="O679" t="inlineStr">
        <is>
          <t>eng</t>
        </is>
      </c>
      <c r="P679" t="inlineStr">
        <is>
          <t xml:space="preserve">ii </t>
        </is>
      </c>
      <c r="R679" t="inlineStr">
        <is>
          <t xml:space="preserve">HM </t>
        </is>
      </c>
      <c r="S679" t="n">
        <v>1</v>
      </c>
      <c r="T679" t="n">
        <v>3</v>
      </c>
      <c r="U679" t="inlineStr">
        <is>
          <t>2005-09-28</t>
        </is>
      </c>
      <c r="V679" t="inlineStr">
        <is>
          <t>2007-10-27</t>
        </is>
      </c>
      <c r="W679" t="inlineStr">
        <is>
          <t>2005-09-28</t>
        </is>
      </c>
      <c r="X679" t="inlineStr">
        <is>
          <t>2005-09-28</t>
        </is>
      </c>
      <c r="Y679" t="n">
        <v>38</v>
      </c>
      <c r="Z679" t="n">
        <v>31</v>
      </c>
      <c r="AA679" t="n">
        <v>33</v>
      </c>
      <c r="AB679" t="n">
        <v>1</v>
      </c>
      <c r="AC679" t="n">
        <v>1</v>
      </c>
      <c r="AD679" t="n">
        <v>0</v>
      </c>
      <c r="AE679" t="n">
        <v>0</v>
      </c>
      <c r="AF679" t="n">
        <v>0</v>
      </c>
      <c r="AG679" t="n">
        <v>0</v>
      </c>
      <c r="AH679" t="n">
        <v>0</v>
      </c>
      <c r="AI679" t="n">
        <v>0</v>
      </c>
      <c r="AJ679" t="n">
        <v>0</v>
      </c>
      <c r="AK679" t="n">
        <v>0</v>
      </c>
      <c r="AL679" t="n">
        <v>0</v>
      </c>
      <c r="AM679" t="n">
        <v>0</v>
      </c>
      <c r="AN679" t="n">
        <v>0</v>
      </c>
      <c r="AO679" t="n">
        <v>0</v>
      </c>
      <c r="AP679" t="inlineStr">
        <is>
          <t>No</t>
        </is>
      </c>
      <c r="AQ679" t="inlineStr">
        <is>
          <t>Yes</t>
        </is>
      </c>
      <c r="AR679">
        <f>HYPERLINK("http://catalog.hathitrust.org/Record/003542679","HathiTrust Record")</f>
        <v/>
      </c>
      <c r="AS679">
        <f>HYPERLINK("https://creighton-primo.hosted.exlibrisgroup.com/primo-explore/search?tab=default_tab&amp;search_scope=EVERYTHING&amp;vid=01CRU&amp;lang=en_US&amp;offset=0&amp;query=any,contains,991004657279702656","Catalog Record")</f>
        <v/>
      </c>
      <c r="AT679">
        <f>HYPERLINK("http://www.worldcat.org/oclc/45556353","WorldCat Record")</f>
        <v/>
      </c>
      <c r="AU679" t="inlineStr">
        <is>
          <t>474253862:eng</t>
        </is>
      </c>
      <c r="AV679" t="inlineStr">
        <is>
          <t>45556353</t>
        </is>
      </c>
      <c r="AW679" t="inlineStr">
        <is>
          <t>991004657279702656</t>
        </is>
      </c>
      <c r="AX679" t="inlineStr">
        <is>
          <t>991004657279702656</t>
        </is>
      </c>
      <c r="AY679" t="inlineStr">
        <is>
          <t>2259437560002656</t>
        </is>
      </c>
      <c r="AZ679" t="inlineStr">
        <is>
          <t>BOOK</t>
        </is>
      </c>
      <c r="BB679" t="inlineStr">
        <is>
          <t>9788186562826</t>
        </is>
      </c>
      <c r="BC679" t="inlineStr">
        <is>
          <t>32285005085724</t>
        </is>
      </c>
      <c r="BD679" t="inlineStr">
        <is>
          <t>893889014</t>
        </is>
      </c>
    </row>
    <row r="680">
      <c r="A680" t="inlineStr">
        <is>
          <t>No</t>
        </is>
      </c>
      <c r="B680" t="inlineStr">
        <is>
          <t>HM449 .B38 2001</t>
        </is>
      </c>
      <c r="C680" t="inlineStr">
        <is>
          <t>0                      HM 0449000B  38          2001</t>
        </is>
      </c>
      <c r="D680" t="inlineStr">
        <is>
          <t>The Bauman reader / edited by Peter Beilharz.</t>
        </is>
      </c>
      <c r="F680" t="inlineStr">
        <is>
          <t>No</t>
        </is>
      </c>
      <c r="G680" t="inlineStr">
        <is>
          <t>1</t>
        </is>
      </c>
      <c r="H680" t="inlineStr">
        <is>
          <t>No</t>
        </is>
      </c>
      <c r="I680" t="inlineStr">
        <is>
          <t>No</t>
        </is>
      </c>
      <c r="J680" t="inlineStr">
        <is>
          <t>0</t>
        </is>
      </c>
      <c r="L680" t="inlineStr">
        <is>
          <t>Malden, MA : Blackwell Publishers, 2001.</t>
        </is>
      </c>
      <c r="M680" t="inlineStr">
        <is>
          <t>2001</t>
        </is>
      </c>
      <c r="O680" t="inlineStr">
        <is>
          <t>eng</t>
        </is>
      </c>
      <c r="P680" t="inlineStr">
        <is>
          <t>mau</t>
        </is>
      </c>
      <c r="Q680" t="inlineStr">
        <is>
          <t>Blackwell readers</t>
        </is>
      </c>
      <c r="R680" t="inlineStr">
        <is>
          <t xml:space="preserve">HM </t>
        </is>
      </c>
      <c r="S680" t="n">
        <v>1</v>
      </c>
      <c r="T680" t="n">
        <v>1</v>
      </c>
      <c r="U680" t="inlineStr">
        <is>
          <t>2002-10-28</t>
        </is>
      </c>
      <c r="V680" t="inlineStr">
        <is>
          <t>2002-10-28</t>
        </is>
      </c>
      <c r="W680" t="inlineStr">
        <is>
          <t>2002-10-28</t>
        </is>
      </c>
      <c r="X680" t="inlineStr">
        <is>
          <t>2002-10-28</t>
        </is>
      </c>
      <c r="Y680" t="n">
        <v>277</v>
      </c>
      <c r="Z680" t="n">
        <v>150</v>
      </c>
      <c r="AA680" t="n">
        <v>150</v>
      </c>
      <c r="AB680" t="n">
        <v>2</v>
      </c>
      <c r="AC680" t="n">
        <v>2</v>
      </c>
      <c r="AD680" t="n">
        <v>9</v>
      </c>
      <c r="AE680" t="n">
        <v>9</v>
      </c>
      <c r="AF680" t="n">
        <v>3</v>
      </c>
      <c r="AG680" t="n">
        <v>3</v>
      </c>
      <c r="AH680" t="n">
        <v>2</v>
      </c>
      <c r="AI680" t="n">
        <v>2</v>
      </c>
      <c r="AJ680" t="n">
        <v>5</v>
      </c>
      <c r="AK680" t="n">
        <v>5</v>
      </c>
      <c r="AL680" t="n">
        <v>1</v>
      </c>
      <c r="AM680" t="n">
        <v>1</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HYPERLINK("https://creighton-primo.hosted.exlibrisgroup.com/primo-explore/search?tab=default_tab&amp;search_scope=EVERYTHING&amp;vid=01CRU&amp;lang=en_US&amp;offset=0&amp;query=any,contains,991003912509702656","Catalog Record")</f>
        <v/>
      </c>
      <c r="AT680">
        <f>HYPERLINK("http://www.worldcat.org/oclc/43434608","WorldCat Record")</f>
        <v/>
      </c>
      <c r="AU680" t="inlineStr">
        <is>
          <t>56522543:eng</t>
        </is>
      </c>
      <c r="AV680" t="inlineStr">
        <is>
          <t>43434608</t>
        </is>
      </c>
      <c r="AW680" t="inlineStr">
        <is>
          <t>991003912509702656</t>
        </is>
      </c>
      <c r="AX680" t="inlineStr">
        <is>
          <t>991003912509702656</t>
        </is>
      </c>
      <c r="AY680" t="inlineStr">
        <is>
          <t>2255708500002656</t>
        </is>
      </c>
      <c r="AZ680" t="inlineStr">
        <is>
          <t>BOOK</t>
        </is>
      </c>
      <c r="BB680" t="inlineStr">
        <is>
          <t>9780631214915</t>
        </is>
      </c>
      <c r="BC680" t="inlineStr">
        <is>
          <t>32285004658281</t>
        </is>
      </c>
      <c r="BD680" t="inlineStr">
        <is>
          <t>893869046</t>
        </is>
      </c>
    </row>
    <row r="681">
      <c r="A681" t="inlineStr">
        <is>
          <t>No</t>
        </is>
      </c>
      <c r="B681" t="inlineStr">
        <is>
          <t>HM449 .B47 2001</t>
        </is>
      </c>
      <c r="C681" t="inlineStr">
        <is>
          <t>0                      HM 0449000B  47          2001</t>
        </is>
      </c>
      <c r="D681" t="inlineStr">
        <is>
          <t>The postmodern adventure : science, technology, and cultural studies at the Third Millennium / Steven Best, Douglas Kellner.</t>
        </is>
      </c>
      <c r="F681" t="inlineStr">
        <is>
          <t>No</t>
        </is>
      </c>
      <c r="G681" t="inlineStr">
        <is>
          <t>1</t>
        </is>
      </c>
      <c r="H681" t="inlineStr">
        <is>
          <t>No</t>
        </is>
      </c>
      <c r="I681" t="inlineStr">
        <is>
          <t>No</t>
        </is>
      </c>
      <c r="J681" t="inlineStr">
        <is>
          <t>0</t>
        </is>
      </c>
      <c r="K681" t="inlineStr">
        <is>
          <t>Best, Steven.</t>
        </is>
      </c>
      <c r="L681" t="inlineStr">
        <is>
          <t>New York : Guilford Press, c2001.</t>
        </is>
      </c>
      <c r="M681" t="inlineStr">
        <is>
          <t>2001</t>
        </is>
      </c>
      <c r="O681" t="inlineStr">
        <is>
          <t>eng</t>
        </is>
      </c>
      <c r="P681" t="inlineStr">
        <is>
          <t>nyu</t>
        </is>
      </c>
      <c r="Q681" t="inlineStr">
        <is>
          <t>Critical perspectives</t>
        </is>
      </c>
      <c r="R681" t="inlineStr">
        <is>
          <t xml:space="preserve">HM </t>
        </is>
      </c>
      <c r="S681" t="n">
        <v>4</v>
      </c>
      <c r="T681" t="n">
        <v>4</v>
      </c>
      <c r="U681" t="inlineStr">
        <is>
          <t>2007-11-26</t>
        </is>
      </c>
      <c r="V681" t="inlineStr">
        <is>
          <t>2007-11-26</t>
        </is>
      </c>
      <c r="W681" t="inlineStr">
        <is>
          <t>2001-11-27</t>
        </is>
      </c>
      <c r="X681" t="inlineStr">
        <is>
          <t>2001-11-27</t>
        </is>
      </c>
      <c r="Y681" t="n">
        <v>397</v>
      </c>
      <c r="Z681" t="n">
        <v>328</v>
      </c>
      <c r="AA681" t="n">
        <v>338</v>
      </c>
      <c r="AB681" t="n">
        <v>3</v>
      </c>
      <c r="AC681" t="n">
        <v>3</v>
      </c>
      <c r="AD681" t="n">
        <v>19</v>
      </c>
      <c r="AE681" t="n">
        <v>19</v>
      </c>
      <c r="AF681" t="n">
        <v>9</v>
      </c>
      <c r="AG681" t="n">
        <v>9</v>
      </c>
      <c r="AH681" t="n">
        <v>5</v>
      </c>
      <c r="AI681" t="n">
        <v>5</v>
      </c>
      <c r="AJ681" t="n">
        <v>10</v>
      </c>
      <c r="AK681" t="n">
        <v>10</v>
      </c>
      <c r="AL681" t="n">
        <v>2</v>
      </c>
      <c r="AM681" t="n">
        <v>2</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HYPERLINK("https://creighton-primo.hosted.exlibrisgroup.com/primo-explore/search?tab=default_tab&amp;search_scope=EVERYTHING&amp;vid=01CRU&amp;lang=en_US&amp;offset=0&amp;query=any,contains,991003664039702656","Catalog Record")</f>
        <v/>
      </c>
      <c r="AT681">
        <f>HYPERLINK("http://www.worldcat.org/oclc/46683688","WorldCat Record")</f>
        <v/>
      </c>
      <c r="AU681" t="inlineStr">
        <is>
          <t>793043322:eng</t>
        </is>
      </c>
      <c r="AV681" t="inlineStr">
        <is>
          <t>46683688</t>
        </is>
      </c>
      <c r="AW681" t="inlineStr">
        <is>
          <t>991003664039702656</t>
        </is>
      </c>
      <c r="AX681" t="inlineStr">
        <is>
          <t>991003664039702656</t>
        </is>
      </c>
      <c r="AY681" t="inlineStr">
        <is>
          <t>2255268690002656</t>
        </is>
      </c>
      <c r="AZ681" t="inlineStr">
        <is>
          <t>BOOK</t>
        </is>
      </c>
      <c r="BB681" t="inlineStr">
        <is>
          <t>9781572306653</t>
        </is>
      </c>
      <c r="BC681" t="inlineStr">
        <is>
          <t>32285004413893</t>
        </is>
      </c>
      <c r="BD681" t="inlineStr">
        <is>
          <t>893627695</t>
        </is>
      </c>
    </row>
    <row r="682">
      <c r="A682" t="inlineStr">
        <is>
          <t>No</t>
        </is>
      </c>
      <c r="B682" t="inlineStr">
        <is>
          <t>HM449 .B74 2003</t>
        </is>
      </c>
      <c r="C682" t="inlineStr">
        <is>
          <t>0                      HM 0449000B  74          2003</t>
        </is>
      </c>
      <c r="D682" t="inlineStr">
        <is>
          <t>On the future of history : the postmodernist challenge and its aftermath / Ernst Breisach.</t>
        </is>
      </c>
      <c r="F682" t="inlineStr">
        <is>
          <t>No</t>
        </is>
      </c>
      <c r="G682" t="inlineStr">
        <is>
          <t>1</t>
        </is>
      </c>
      <c r="H682" t="inlineStr">
        <is>
          <t>No</t>
        </is>
      </c>
      <c r="I682" t="inlineStr">
        <is>
          <t>No</t>
        </is>
      </c>
      <c r="J682" t="inlineStr">
        <is>
          <t>0</t>
        </is>
      </c>
      <c r="K682" t="inlineStr">
        <is>
          <t>Breisach, Ernst.</t>
        </is>
      </c>
      <c r="L682" t="inlineStr">
        <is>
          <t>Chicago : University of Chicago Press, c2003.</t>
        </is>
      </c>
      <c r="M682" t="inlineStr">
        <is>
          <t>2003</t>
        </is>
      </c>
      <c r="O682" t="inlineStr">
        <is>
          <t>eng</t>
        </is>
      </c>
      <c r="P682" t="inlineStr">
        <is>
          <t>ilu</t>
        </is>
      </c>
      <c r="R682" t="inlineStr">
        <is>
          <t xml:space="preserve">HM </t>
        </is>
      </c>
      <c r="S682" t="n">
        <v>2</v>
      </c>
      <c r="T682" t="n">
        <v>2</v>
      </c>
      <c r="U682" t="inlineStr">
        <is>
          <t>2007-08-22</t>
        </is>
      </c>
      <c r="V682" t="inlineStr">
        <is>
          <t>2007-08-22</t>
        </is>
      </c>
      <c r="W682" t="inlineStr">
        <is>
          <t>2006-04-13</t>
        </is>
      </c>
      <c r="X682" t="inlineStr">
        <is>
          <t>2006-04-13</t>
        </is>
      </c>
      <c r="Y682" t="n">
        <v>476</v>
      </c>
      <c r="Z682" t="n">
        <v>360</v>
      </c>
      <c r="AA682" t="n">
        <v>999</v>
      </c>
      <c r="AB682" t="n">
        <v>2</v>
      </c>
      <c r="AC682" t="n">
        <v>16</v>
      </c>
      <c r="AD682" t="n">
        <v>23</v>
      </c>
      <c r="AE682" t="n">
        <v>42</v>
      </c>
      <c r="AF682" t="n">
        <v>9</v>
      </c>
      <c r="AG682" t="n">
        <v>16</v>
      </c>
      <c r="AH682" t="n">
        <v>6</v>
      </c>
      <c r="AI682" t="n">
        <v>8</v>
      </c>
      <c r="AJ682" t="n">
        <v>14</v>
      </c>
      <c r="AK682" t="n">
        <v>16</v>
      </c>
      <c r="AL682" t="n">
        <v>1</v>
      </c>
      <c r="AM682" t="n">
        <v>11</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HYPERLINK("https://creighton-primo.hosted.exlibrisgroup.com/primo-explore/search?tab=default_tab&amp;search_scope=EVERYTHING&amp;vid=01CRU&amp;lang=en_US&amp;offset=0&amp;query=any,contains,991004783799702656","Catalog Record")</f>
        <v/>
      </c>
      <c r="AT682">
        <f>HYPERLINK("http://www.worldcat.org/oclc/51942326","WorldCat Record")</f>
        <v/>
      </c>
      <c r="AU682" t="inlineStr">
        <is>
          <t>794179494:eng</t>
        </is>
      </c>
      <c r="AV682" t="inlineStr">
        <is>
          <t>51942326</t>
        </is>
      </c>
      <c r="AW682" t="inlineStr">
        <is>
          <t>991004783799702656</t>
        </is>
      </c>
      <c r="AX682" t="inlineStr">
        <is>
          <t>991004783799702656</t>
        </is>
      </c>
      <c r="AY682" t="inlineStr">
        <is>
          <t>2263395270002656</t>
        </is>
      </c>
      <c r="AZ682" t="inlineStr">
        <is>
          <t>BOOK</t>
        </is>
      </c>
      <c r="BB682" t="inlineStr">
        <is>
          <t>9780226072791</t>
        </is>
      </c>
      <c r="BC682" t="inlineStr">
        <is>
          <t>32285005181317</t>
        </is>
      </c>
      <c r="BD682" t="inlineStr">
        <is>
          <t>893694351</t>
        </is>
      </c>
    </row>
    <row r="683">
      <c r="A683" t="inlineStr">
        <is>
          <t>No</t>
        </is>
      </c>
      <c r="B683" t="inlineStr">
        <is>
          <t>HM449 .S55 1999</t>
        </is>
      </c>
      <c r="C683" t="inlineStr">
        <is>
          <t>0                      HM 0449000S  55          1999</t>
        </is>
      </c>
      <c r="D683" t="inlineStr">
        <is>
          <t>Zygmunt Bauman : prophet of postmodernity / Dennis Smith.</t>
        </is>
      </c>
      <c r="F683" t="inlineStr">
        <is>
          <t>No</t>
        </is>
      </c>
      <c r="G683" t="inlineStr">
        <is>
          <t>1</t>
        </is>
      </c>
      <c r="H683" t="inlineStr">
        <is>
          <t>No</t>
        </is>
      </c>
      <c r="I683" t="inlineStr">
        <is>
          <t>No</t>
        </is>
      </c>
      <c r="J683" t="inlineStr">
        <is>
          <t>0</t>
        </is>
      </c>
      <c r="K683" t="inlineStr">
        <is>
          <t>Smith, Dennis, 1945-</t>
        </is>
      </c>
      <c r="L683" t="inlineStr">
        <is>
          <t>Cambridge, UK : Polity Press ; Malden, MA : Blackwell, 1999.</t>
        </is>
      </c>
      <c r="M683" t="inlineStr">
        <is>
          <t>1999</t>
        </is>
      </c>
      <c r="O683" t="inlineStr">
        <is>
          <t>eng</t>
        </is>
      </c>
      <c r="P683" t="inlineStr">
        <is>
          <t>enk</t>
        </is>
      </c>
      <c r="Q683" t="inlineStr">
        <is>
          <t>Key contemporary thinkers</t>
        </is>
      </c>
      <c r="R683" t="inlineStr">
        <is>
          <t xml:space="preserve">HM </t>
        </is>
      </c>
      <c r="S683" t="n">
        <v>1</v>
      </c>
      <c r="T683" t="n">
        <v>1</v>
      </c>
      <c r="U683" t="inlineStr">
        <is>
          <t>2000-12-14</t>
        </is>
      </c>
      <c r="V683" t="inlineStr">
        <is>
          <t>2000-12-14</t>
        </is>
      </c>
      <c r="W683" t="inlineStr">
        <is>
          <t>2000-12-14</t>
        </is>
      </c>
      <c r="X683" t="inlineStr">
        <is>
          <t>2000-12-14</t>
        </is>
      </c>
      <c r="Y683" t="n">
        <v>332</v>
      </c>
      <c r="Z683" t="n">
        <v>202</v>
      </c>
      <c r="AA683" t="n">
        <v>229</v>
      </c>
      <c r="AB683" t="n">
        <v>3</v>
      </c>
      <c r="AC683" t="n">
        <v>3</v>
      </c>
      <c r="AD683" t="n">
        <v>14</v>
      </c>
      <c r="AE683" t="n">
        <v>16</v>
      </c>
      <c r="AF683" t="n">
        <v>1</v>
      </c>
      <c r="AG683" t="n">
        <v>2</v>
      </c>
      <c r="AH683" t="n">
        <v>5</v>
      </c>
      <c r="AI683" t="n">
        <v>7</v>
      </c>
      <c r="AJ683" t="n">
        <v>9</v>
      </c>
      <c r="AK683" t="n">
        <v>9</v>
      </c>
      <c r="AL683" t="n">
        <v>2</v>
      </c>
      <c r="AM683" t="n">
        <v>2</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HYPERLINK("https://creighton-primo.hosted.exlibrisgroup.com/primo-explore/search?tab=default_tab&amp;search_scope=EVERYTHING&amp;vid=01CRU&amp;lang=en_US&amp;offset=0&amp;query=any,contains,991003321539702656","Catalog Record")</f>
        <v/>
      </c>
      <c r="AT683">
        <f>HYPERLINK("http://www.worldcat.org/oclc/41754869","WorldCat Record")</f>
        <v/>
      </c>
      <c r="AU683" t="inlineStr">
        <is>
          <t>12260422:eng</t>
        </is>
      </c>
      <c r="AV683" t="inlineStr">
        <is>
          <t>41754869</t>
        </is>
      </c>
      <c r="AW683" t="inlineStr">
        <is>
          <t>991003321539702656</t>
        </is>
      </c>
      <c r="AX683" t="inlineStr">
        <is>
          <t>991003321539702656</t>
        </is>
      </c>
      <c r="AY683" t="inlineStr">
        <is>
          <t>2266969330002656</t>
        </is>
      </c>
      <c r="AZ683" t="inlineStr">
        <is>
          <t>BOOK</t>
        </is>
      </c>
      <c r="BB683" t="inlineStr">
        <is>
          <t>9780745618982</t>
        </is>
      </c>
      <c r="BC683" t="inlineStr">
        <is>
          <t>32285004277009</t>
        </is>
      </c>
      <c r="BD683" t="inlineStr">
        <is>
          <t>893258314</t>
        </is>
      </c>
    </row>
    <row r="684">
      <c r="A684" t="inlineStr">
        <is>
          <t>No</t>
        </is>
      </c>
      <c r="B684" t="inlineStr">
        <is>
          <t>HM45 .A7</t>
        </is>
      </c>
      <c r="C684" t="inlineStr">
        <is>
          <t>0                      HM 0045000A  7</t>
        </is>
      </c>
      <c r="D684" t="inlineStr">
        <is>
          <t>1000 ideas for term papers in sociology, by the editors of Arc Books.</t>
        </is>
      </c>
      <c r="F684" t="inlineStr">
        <is>
          <t>No</t>
        </is>
      </c>
      <c r="G684" t="inlineStr">
        <is>
          <t>1</t>
        </is>
      </c>
      <c r="H684" t="inlineStr">
        <is>
          <t>No</t>
        </is>
      </c>
      <c r="I684" t="inlineStr">
        <is>
          <t>No</t>
        </is>
      </c>
      <c r="J684" t="inlineStr">
        <is>
          <t>0</t>
        </is>
      </c>
      <c r="K684" t="inlineStr">
        <is>
          <t>Arc Books, Inc.</t>
        </is>
      </c>
      <c r="M684" t="inlineStr">
        <is>
          <t>1970</t>
        </is>
      </c>
      <c r="O684" t="inlineStr">
        <is>
          <t>eng</t>
        </is>
      </c>
      <c r="P684" t="inlineStr">
        <is>
          <t>nyu</t>
        </is>
      </c>
      <c r="R684" t="inlineStr">
        <is>
          <t xml:space="preserve">HM </t>
        </is>
      </c>
      <c r="S684" t="n">
        <v>10</v>
      </c>
      <c r="T684" t="n">
        <v>10</v>
      </c>
      <c r="U684" t="inlineStr">
        <is>
          <t>2000-03-02</t>
        </is>
      </c>
      <c r="V684" t="inlineStr">
        <is>
          <t>2000-03-02</t>
        </is>
      </c>
      <c r="W684" t="inlineStr">
        <is>
          <t>1992-10-27</t>
        </is>
      </c>
      <c r="X684" t="inlineStr">
        <is>
          <t>1992-10-27</t>
        </is>
      </c>
      <c r="Y684" t="n">
        <v>188</v>
      </c>
      <c r="Z684" t="n">
        <v>181</v>
      </c>
      <c r="AA684" t="n">
        <v>182</v>
      </c>
      <c r="AB684" t="n">
        <v>2</v>
      </c>
      <c r="AC684" t="n">
        <v>2</v>
      </c>
      <c r="AD684" t="n">
        <v>2</v>
      </c>
      <c r="AE684" t="n">
        <v>2</v>
      </c>
      <c r="AF684" t="n">
        <v>0</v>
      </c>
      <c r="AG684" t="n">
        <v>0</v>
      </c>
      <c r="AH684" t="n">
        <v>0</v>
      </c>
      <c r="AI684" t="n">
        <v>0</v>
      </c>
      <c r="AJ684" t="n">
        <v>1</v>
      </c>
      <c r="AK684" t="n">
        <v>1</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HYPERLINK("https://creighton-primo.hosted.exlibrisgroup.com/primo-explore/search?tab=default_tab&amp;search_scope=EVERYTHING&amp;vid=01CRU&amp;lang=en_US&amp;offset=0&amp;query=any,contains,991000813809702656","Catalog Record")</f>
        <v/>
      </c>
      <c r="AT684">
        <f>HYPERLINK("http://www.worldcat.org/oclc/141588","WorldCat Record")</f>
        <v/>
      </c>
      <c r="AU684" t="inlineStr">
        <is>
          <t>1306957:eng</t>
        </is>
      </c>
      <c r="AV684" t="inlineStr">
        <is>
          <t>141588</t>
        </is>
      </c>
      <c r="AW684" t="inlineStr">
        <is>
          <t>991000813809702656</t>
        </is>
      </c>
      <c r="AX684" t="inlineStr">
        <is>
          <t>991000813809702656</t>
        </is>
      </c>
      <c r="AY684" t="inlineStr">
        <is>
          <t>2256164470002656</t>
        </is>
      </c>
      <c r="AZ684" t="inlineStr">
        <is>
          <t>BOOK</t>
        </is>
      </c>
      <c r="BB684" t="inlineStr">
        <is>
          <t>9780668019682</t>
        </is>
      </c>
      <c r="BC684" t="inlineStr">
        <is>
          <t>32285001385771</t>
        </is>
      </c>
      <c r="BD684" t="inlineStr">
        <is>
          <t>893413704</t>
        </is>
      </c>
    </row>
    <row r="685">
      <c r="A685" t="inlineStr">
        <is>
          <t>No</t>
        </is>
      </c>
      <c r="B685" t="inlineStr">
        <is>
          <t>HM45 .C84 1999</t>
        </is>
      </c>
      <c r="C685" t="inlineStr">
        <is>
          <t>0                      HM 0045000C  84          1999</t>
        </is>
      </c>
      <c r="D685" t="inlineStr">
        <is>
          <t>Cultivating the sociological imagination : concepts and models for service-learning in sociology / James Ostrow, Gary Hesser, and Sandra Enos, volume editors ; Edward Zlotkowski, series editor.</t>
        </is>
      </c>
      <c r="F685" t="inlineStr">
        <is>
          <t>No</t>
        </is>
      </c>
      <c r="G685" t="inlineStr">
        <is>
          <t>1</t>
        </is>
      </c>
      <c r="H685" t="inlineStr">
        <is>
          <t>No</t>
        </is>
      </c>
      <c r="I685" t="inlineStr">
        <is>
          <t>No</t>
        </is>
      </c>
      <c r="J685" t="inlineStr">
        <is>
          <t>0</t>
        </is>
      </c>
      <c r="L685" t="inlineStr">
        <is>
          <t>Washington, DC : American Association for Higher Education ; Published in cooperation with American Sociological Associaion, c1999.</t>
        </is>
      </c>
      <c r="M685" t="inlineStr">
        <is>
          <t>1999</t>
        </is>
      </c>
      <c r="O685" t="inlineStr">
        <is>
          <t>eng</t>
        </is>
      </c>
      <c r="P685" t="inlineStr">
        <is>
          <t>dcu</t>
        </is>
      </c>
      <c r="Q685" t="inlineStr">
        <is>
          <t>AAHE's series on service-learning in the disciplines</t>
        </is>
      </c>
      <c r="R685" t="inlineStr">
        <is>
          <t xml:space="preserve">HM </t>
        </is>
      </c>
      <c r="S685" t="n">
        <v>3</v>
      </c>
      <c r="T685" t="n">
        <v>3</v>
      </c>
      <c r="U685" t="inlineStr">
        <is>
          <t>2008-04-28</t>
        </is>
      </c>
      <c r="V685" t="inlineStr">
        <is>
          <t>2008-04-28</t>
        </is>
      </c>
      <c r="W685" t="inlineStr">
        <is>
          <t>1999-08-19</t>
        </is>
      </c>
      <c r="X685" t="inlineStr">
        <is>
          <t>1999-08-19</t>
        </is>
      </c>
      <c r="Y685" t="n">
        <v>408</v>
      </c>
      <c r="Z685" t="n">
        <v>391</v>
      </c>
      <c r="AA685" t="n">
        <v>442</v>
      </c>
      <c r="AB685" t="n">
        <v>8</v>
      </c>
      <c r="AC685" t="n">
        <v>8</v>
      </c>
      <c r="AD685" t="n">
        <v>33</v>
      </c>
      <c r="AE685" t="n">
        <v>34</v>
      </c>
      <c r="AF685" t="n">
        <v>13</v>
      </c>
      <c r="AG685" t="n">
        <v>14</v>
      </c>
      <c r="AH685" t="n">
        <v>8</v>
      </c>
      <c r="AI685" t="n">
        <v>8</v>
      </c>
      <c r="AJ685" t="n">
        <v>15</v>
      </c>
      <c r="AK685" t="n">
        <v>15</v>
      </c>
      <c r="AL685" t="n">
        <v>7</v>
      </c>
      <c r="AM685" t="n">
        <v>7</v>
      </c>
      <c r="AN685" t="n">
        <v>0</v>
      </c>
      <c r="AO685" t="n">
        <v>0</v>
      </c>
      <c r="AP685" t="inlineStr">
        <is>
          <t>No</t>
        </is>
      </c>
      <c r="AQ685" t="inlineStr">
        <is>
          <t>Yes</t>
        </is>
      </c>
      <c r="AR685">
        <f>HYPERLINK("http://catalog.hathitrust.org/Record/003503102","HathiTrust Record")</f>
        <v/>
      </c>
      <c r="AS685">
        <f>HYPERLINK("https://creighton-primo.hosted.exlibrisgroup.com/primo-explore/search?tab=default_tab&amp;search_scope=EVERYTHING&amp;vid=01CRU&amp;lang=en_US&amp;offset=0&amp;query=any,contains,991003040709702656","Catalog Record")</f>
        <v/>
      </c>
      <c r="AT685">
        <f>HYPERLINK("http://www.worldcat.org/oclc/42056623","WorldCat Record")</f>
        <v/>
      </c>
      <c r="AU685" t="inlineStr">
        <is>
          <t>475893948:eng</t>
        </is>
      </c>
      <c r="AV685" t="inlineStr">
        <is>
          <t>42056623</t>
        </is>
      </c>
      <c r="AW685" t="inlineStr">
        <is>
          <t>991003040709702656</t>
        </is>
      </c>
      <c r="AX685" t="inlineStr">
        <is>
          <t>991003040709702656</t>
        </is>
      </c>
      <c r="AY685" t="inlineStr">
        <is>
          <t>2259612840002656</t>
        </is>
      </c>
      <c r="AZ685" t="inlineStr">
        <is>
          <t>BOOK</t>
        </is>
      </c>
      <c r="BB685" t="inlineStr">
        <is>
          <t>9781563770050</t>
        </is>
      </c>
      <c r="BC685" t="inlineStr">
        <is>
          <t>32285003582839</t>
        </is>
      </c>
      <c r="BD685" t="inlineStr">
        <is>
          <t>893239836</t>
        </is>
      </c>
    </row>
    <row r="686">
      <c r="A686" t="inlineStr">
        <is>
          <t>No</t>
        </is>
      </c>
      <c r="B686" t="inlineStr">
        <is>
          <t>HM467 .S64 2004</t>
        </is>
      </c>
      <c r="C686" t="inlineStr">
        <is>
          <t>0                      HM 0467000S  64          2004</t>
        </is>
      </c>
      <c r="D686" t="inlineStr">
        <is>
          <t>The politics of critical theory : language/discourse/society / George Snedeker.</t>
        </is>
      </c>
      <c r="F686" t="inlineStr">
        <is>
          <t>No</t>
        </is>
      </c>
      <c r="G686" t="inlineStr">
        <is>
          <t>1</t>
        </is>
      </c>
      <c r="H686" t="inlineStr">
        <is>
          <t>No</t>
        </is>
      </c>
      <c r="I686" t="inlineStr">
        <is>
          <t>No</t>
        </is>
      </c>
      <c r="J686" t="inlineStr">
        <is>
          <t>0</t>
        </is>
      </c>
      <c r="K686" t="inlineStr">
        <is>
          <t>Snedeker, George.</t>
        </is>
      </c>
      <c r="L686" t="inlineStr">
        <is>
          <t>Lanham, Md. : University Press of America, c2004.</t>
        </is>
      </c>
      <c r="M686" t="inlineStr">
        <is>
          <t>2004</t>
        </is>
      </c>
      <c r="O686" t="inlineStr">
        <is>
          <t>eng</t>
        </is>
      </c>
      <c r="P686" t="inlineStr">
        <is>
          <t>mdu</t>
        </is>
      </c>
      <c r="R686" t="inlineStr">
        <is>
          <t xml:space="preserve">HM </t>
        </is>
      </c>
      <c r="S686" t="n">
        <v>3</v>
      </c>
      <c r="T686" t="n">
        <v>3</v>
      </c>
      <c r="U686" t="inlineStr">
        <is>
          <t>2006-12-01</t>
        </is>
      </c>
      <c r="V686" t="inlineStr">
        <is>
          <t>2006-12-01</t>
        </is>
      </c>
      <c r="W686" t="inlineStr">
        <is>
          <t>2005-02-01</t>
        </is>
      </c>
      <c r="X686" t="inlineStr">
        <is>
          <t>2005-02-01</t>
        </is>
      </c>
      <c r="Y686" t="n">
        <v>152</v>
      </c>
      <c r="Z686" t="n">
        <v>102</v>
      </c>
      <c r="AA686" t="n">
        <v>102</v>
      </c>
      <c r="AB686" t="n">
        <v>2</v>
      </c>
      <c r="AC686" t="n">
        <v>2</v>
      </c>
      <c r="AD686" t="n">
        <v>7</v>
      </c>
      <c r="AE686" t="n">
        <v>7</v>
      </c>
      <c r="AF686" t="n">
        <v>1</v>
      </c>
      <c r="AG686" t="n">
        <v>1</v>
      </c>
      <c r="AH686" t="n">
        <v>2</v>
      </c>
      <c r="AI686" t="n">
        <v>2</v>
      </c>
      <c r="AJ686" t="n">
        <v>5</v>
      </c>
      <c r="AK686" t="n">
        <v>5</v>
      </c>
      <c r="AL686" t="n">
        <v>1</v>
      </c>
      <c r="AM686" t="n">
        <v>1</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HYPERLINK("https://creighton-primo.hosted.exlibrisgroup.com/primo-explore/search?tab=default_tab&amp;search_scope=EVERYTHING&amp;vid=01CRU&amp;lang=en_US&amp;offset=0&amp;query=any,contains,991004421489702656","Catalog Record")</f>
        <v/>
      </c>
      <c r="AT686">
        <f>HYPERLINK("http://www.worldcat.org/oclc/55673214","WorldCat Record")</f>
        <v/>
      </c>
      <c r="AU686" t="inlineStr">
        <is>
          <t>16010387:eng</t>
        </is>
      </c>
      <c r="AV686" t="inlineStr">
        <is>
          <t>55673214</t>
        </is>
      </c>
      <c r="AW686" t="inlineStr">
        <is>
          <t>991004421489702656</t>
        </is>
      </c>
      <c r="AX686" t="inlineStr">
        <is>
          <t>991004421489702656</t>
        </is>
      </c>
      <c r="AY686" t="inlineStr">
        <is>
          <t>2264153040002656</t>
        </is>
      </c>
      <c r="AZ686" t="inlineStr">
        <is>
          <t>BOOK</t>
        </is>
      </c>
      <c r="BB686" t="inlineStr">
        <is>
          <t>9780761828150</t>
        </is>
      </c>
      <c r="BC686" t="inlineStr">
        <is>
          <t>32285005023238</t>
        </is>
      </c>
      <c r="BD686" t="inlineStr">
        <is>
          <t>893535974</t>
        </is>
      </c>
    </row>
    <row r="687">
      <c r="A687" t="inlineStr">
        <is>
          <t>No</t>
        </is>
      </c>
      <c r="B687" t="inlineStr">
        <is>
          <t>HM477.D66 P46 2002</t>
        </is>
      </c>
      <c r="C687" t="inlineStr">
        <is>
          <t>0                      HM 0477000D  66                 P  46          2002</t>
        </is>
      </c>
      <c r="D687" t="inlineStr">
        <is>
          <t>El pensamiento sociológico y geográfico a fines del siglo XIX : primer seminario dominicano de sociología / Juan Francisco Martínez Almanzar ... [et al.].</t>
        </is>
      </c>
      <c r="F687" t="inlineStr">
        <is>
          <t>No</t>
        </is>
      </c>
      <c r="G687" t="inlineStr">
        <is>
          <t>1</t>
        </is>
      </c>
      <c r="H687" t="inlineStr">
        <is>
          <t>No</t>
        </is>
      </c>
      <c r="I687" t="inlineStr">
        <is>
          <t>No</t>
        </is>
      </c>
      <c r="J687" t="inlineStr">
        <is>
          <t>0</t>
        </is>
      </c>
      <c r="L687" t="inlineStr">
        <is>
          <t>[República Dominicana] : Asociación Dominicana de Sociólogos, ADOS 2002.</t>
        </is>
      </c>
      <c r="M687" t="inlineStr">
        <is>
          <t>2002</t>
        </is>
      </c>
      <c r="O687" t="inlineStr">
        <is>
          <t>spa</t>
        </is>
      </c>
      <c r="P687" t="inlineStr">
        <is>
          <t xml:space="preserve">dr </t>
        </is>
      </c>
      <c r="R687" t="inlineStr">
        <is>
          <t xml:space="preserve">HM </t>
        </is>
      </c>
      <c r="S687" t="n">
        <v>2</v>
      </c>
      <c r="T687" t="n">
        <v>2</v>
      </c>
      <c r="U687" t="inlineStr">
        <is>
          <t>2003-12-09</t>
        </is>
      </c>
      <c r="V687" t="inlineStr">
        <is>
          <t>2003-12-09</t>
        </is>
      </c>
      <c r="W687" t="inlineStr">
        <is>
          <t>2003-12-09</t>
        </is>
      </c>
      <c r="X687" t="inlineStr">
        <is>
          <t>2003-12-09</t>
        </is>
      </c>
      <c r="Y687" t="n">
        <v>10</v>
      </c>
      <c r="Z687" t="n">
        <v>10</v>
      </c>
      <c r="AA687" t="n">
        <v>10</v>
      </c>
      <c r="AB687" t="n">
        <v>1</v>
      </c>
      <c r="AC687" t="n">
        <v>1</v>
      </c>
      <c r="AD687" t="n">
        <v>0</v>
      </c>
      <c r="AE687" t="n">
        <v>0</v>
      </c>
      <c r="AF687" t="n">
        <v>0</v>
      </c>
      <c r="AG687" t="n">
        <v>0</v>
      </c>
      <c r="AH687" t="n">
        <v>0</v>
      </c>
      <c r="AI687" t="n">
        <v>0</v>
      </c>
      <c r="AJ687" t="n">
        <v>0</v>
      </c>
      <c r="AK687" t="n">
        <v>0</v>
      </c>
      <c r="AL687" t="n">
        <v>0</v>
      </c>
      <c r="AM687" t="n">
        <v>0</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HYPERLINK("https://creighton-primo.hosted.exlibrisgroup.com/primo-explore/search?tab=default_tab&amp;search_scope=EVERYTHING&amp;vid=01CRU&amp;lang=en_US&amp;offset=0&amp;query=any,contains,991004202619702656","Catalog Record")</f>
        <v/>
      </c>
      <c r="AT687">
        <f>HYPERLINK("http://www.worldcat.org/oclc/53045423","WorldCat Record")</f>
        <v/>
      </c>
      <c r="AU687" t="inlineStr">
        <is>
          <t>11754815:spa</t>
        </is>
      </c>
      <c r="AV687" t="inlineStr">
        <is>
          <t>53045423</t>
        </is>
      </c>
      <c r="AW687" t="inlineStr">
        <is>
          <t>991004202619702656</t>
        </is>
      </c>
      <c r="AX687" t="inlineStr">
        <is>
          <t>991004202619702656</t>
        </is>
      </c>
      <c r="AY687" t="inlineStr">
        <is>
          <t>2262486280002656</t>
        </is>
      </c>
      <c r="AZ687" t="inlineStr">
        <is>
          <t>BOOK</t>
        </is>
      </c>
      <c r="BC687" t="inlineStr">
        <is>
          <t>32285004887302</t>
        </is>
      </c>
      <c r="BD687" t="inlineStr">
        <is>
          <t>893718619</t>
        </is>
      </c>
    </row>
    <row r="688">
      <c r="A688" t="inlineStr">
        <is>
          <t>No</t>
        </is>
      </c>
      <c r="B688" t="inlineStr">
        <is>
          <t>HM477.G3 M33 2001</t>
        </is>
      </c>
      <c r="C688" t="inlineStr">
        <is>
          <t>0                      HM 0477000G  3                  M  33          2001</t>
        </is>
      </c>
      <c r="D688" t="inlineStr">
        <is>
          <t>Objectivity and the silence of reason : Weber, Habermas, and the methodological disputes in German sociology / George E. McCarthy.</t>
        </is>
      </c>
      <c r="F688" t="inlineStr">
        <is>
          <t>No</t>
        </is>
      </c>
      <c r="G688" t="inlineStr">
        <is>
          <t>1</t>
        </is>
      </c>
      <c r="H688" t="inlineStr">
        <is>
          <t>No</t>
        </is>
      </c>
      <c r="I688" t="inlineStr">
        <is>
          <t>No</t>
        </is>
      </c>
      <c r="J688" t="inlineStr">
        <is>
          <t>0</t>
        </is>
      </c>
      <c r="K688" t="inlineStr">
        <is>
          <t>McCarthy, George E.</t>
        </is>
      </c>
      <c r="L688" t="inlineStr">
        <is>
          <t>New Brunswick, N.J. : Transaction Publishers, 2001.</t>
        </is>
      </c>
      <c r="M688" t="inlineStr">
        <is>
          <t>2001</t>
        </is>
      </c>
      <c r="O688" t="inlineStr">
        <is>
          <t>eng</t>
        </is>
      </c>
      <c r="P688" t="inlineStr">
        <is>
          <t>nju</t>
        </is>
      </c>
      <c r="R688" t="inlineStr">
        <is>
          <t xml:space="preserve">HM </t>
        </is>
      </c>
      <c r="S688" t="n">
        <v>2</v>
      </c>
      <c r="T688" t="n">
        <v>2</v>
      </c>
      <c r="U688" t="inlineStr">
        <is>
          <t>2006-01-19</t>
        </is>
      </c>
      <c r="V688" t="inlineStr">
        <is>
          <t>2006-01-19</t>
        </is>
      </c>
      <c r="W688" t="inlineStr">
        <is>
          <t>2001-10-31</t>
        </is>
      </c>
      <c r="X688" t="inlineStr">
        <is>
          <t>2001-10-31</t>
        </is>
      </c>
      <c r="Y688" t="n">
        <v>311</v>
      </c>
      <c r="Z688" t="n">
        <v>250</v>
      </c>
      <c r="AA688" t="n">
        <v>273</v>
      </c>
      <c r="AB688" t="n">
        <v>3</v>
      </c>
      <c r="AC688" t="n">
        <v>3</v>
      </c>
      <c r="AD688" t="n">
        <v>22</v>
      </c>
      <c r="AE688" t="n">
        <v>22</v>
      </c>
      <c r="AF688" t="n">
        <v>8</v>
      </c>
      <c r="AG688" t="n">
        <v>8</v>
      </c>
      <c r="AH688" t="n">
        <v>6</v>
      </c>
      <c r="AI688" t="n">
        <v>6</v>
      </c>
      <c r="AJ688" t="n">
        <v>12</v>
      </c>
      <c r="AK688" t="n">
        <v>12</v>
      </c>
      <c r="AL688" t="n">
        <v>2</v>
      </c>
      <c r="AM688" t="n">
        <v>2</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HYPERLINK("https://creighton-primo.hosted.exlibrisgroup.com/primo-explore/search?tab=default_tab&amp;search_scope=EVERYTHING&amp;vid=01CRU&amp;lang=en_US&amp;offset=0&amp;query=any,contains,991003627149702656","Catalog Record")</f>
        <v/>
      </c>
      <c r="AT688">
        <f>HYPERLINK("http://www.worldcat.org/oclc/45879477","WorldCat Record")</f>
        <v/>
      </c>
      <c r="AU688" t="inlineStr">
        <is>
          <t>837028299:eng</t>
        </is>
      </c>
      <c r="AV688" t="inlineStr">
        <is>
          <t>45879477</t>
        </is>
      </c>
      <c r="AW688" t="inlineStr">
        <is>
          <t>991003627149702656</t>
        </is>
      </c>
      <c r="AX688" t="inlineStr">
        <is>
          <t>991003627149702656</t>
        </is>
      </c>
      <c r="AY688" t="inlineStr">
        <is>
          <t>2254748150002656</t>
        </is>
      </c>
      <c r="AZ688" t="inlineStr">
        <is>
          <t>BOOK</t>
        </is>
      </c>
      <c r="BB688" t="inlineStr">
        <is>
          <t>9780765800534</t>
        </is>
      </c>
      <c r="BC688" t="inlineStr">
        <is>
          <t>32285004417191</t>
        </is>
      </c>
      <c r="BD688" t="inlineStr">
        <is>
          <t>893686740</t>
        </is>
      </c>
    </row>
    <row r="689">
      <c r="A689" t="inlineStr">
        <is>
          <t>No</t>
        </is>
      </c>
      <c r="B689" t="inlineStr">
        <is>
          <t>HM477.I4 H35 2004</t>
        </is>
      </c>
      <c r="C689" t="inlineStr">
        <is>
          <t>0                      HM 0477000I  4                  H  35          2004</t>
        </is>
      </c>
      <c r="D689" t="inlineStr">
        <is>
          <t>Handbook of Indian sociology / edited by Veena Das.</t>
        </is>
      </c>
      <c r="F689" t="inlineStr">
        <is>
          <t>No</t>
        </is>
      </c>
      <c r="G689" t="inlineStr">
        <is>
          <t>1</t>
        </is>
      </c>
      <c r="H689" t="inlineStr">
        <is>
          <t>No</t>
        </is>
      </c>
      <c r="I689" t="inlineStr">
        <is>
          <t>No</t>
        </is>
      </c>
      <c r="J689" t="inlineStr">
        <is>
          <t>0</t>
        </is>
      </c>
      <c r="L689" t="inlineStr">
        <is>
          <t>New Delhi : New York : Oxford University Press, c2004.</t>
        </is>
      </c>
      <c r="M689" t="inlineStr">
        <is>
          <t>2004</t>
        </is>
      </c>
      <c r="O689" t="inlineStr">
        <is>
          <t>eng</t>
        </is>
      </c>
      <c r="P689" t="inlineStr">
        <is>
          <t xml:space="preserve">ii </t>
        </is>
      </c>
      <c r="R689" t="inlineStr">
        <is>
          <t xml:space="preserve">HM </t>
        </is>
      </c>
      <c r="S689" t="n">
        <v>2</v>
      </c>
      <c r="T689" t="n">
        <v>2</v>
      </c>
      <c r="U689" t="inlineStr">
        <is>
          <t>2006-01-23</t>
        </is>
      </c>
      <c r="V689" t="inlineStr">
        <is>
          <t>2006-01-23</t>
        </is>
      </c>
      <c r="W689" t="inlineStr">
        <is>
          <t>2005-10-19</t>
        </is>
      </c>
      <c r="X689" t="inlineStr">
        <is>
          <t>2005-10-19</t>
        </is>
      </c>
      <c r="Y689" t="n">
        <v>118</v>
      </c>
      <c r="Z689" t="n">
        <v>80</v>
      </c>
      <c r="AA689" t="n">
        <v>84</v>
      </c>
      <c r="AB689" t="n">
        <v>1</v>
      </c>
      <c r="AC689" t="n">
        <v>1</v>
      </c>
      <c r="AD689" t="n">
        <v>3</v>
      </c>
      <c r="AE689" t="n">
        <v>3</v>
      </c>
      <c r="AF689" t="n">
        <v>0</v>
      </c>
      <c r="AG689" t="n">
        <v>0</v>
      </c>
      <c r="AH689" t="n">
        <v>3</v>
      </c>
      <c r="AI689" t="n">
        <v>3</v>
      </c>
      <c r="AJ689" t="n">
        <v>1</v>
      </c>
      <c r="AK689" t="n">
        <v>1</v>
      </c>
      <c r="AL689" t="n">
        <v>0</v>
      </c>
      <c r="AM689" t="n">
        <v>0</v>
      </c>
      <c r="AN689" t="n">
        <v>0</v>
      </c>
      <c r="AO689" t="n">
        <v>0</v>
      </c>
      <c r="AP689" t="inlineStr">
        <is>
          <t>No</t>
        </is>
      </c>
      <c r="AQ689" t="inlineStr">
        <is>
          <t>Yes</t>
        </is>
      </c>
      <c r="AR689">
        <f>HYPERLINK("http://catalog.hathitrust.org/Record/004721061","HathiTrust Record")</f>
        <v/>
      </c>
      <c r="AS689">
        <f>HYPERLINK("https://creighton-primo.hosted.exlibrisgroup.com/primo-explore/search?tab=default_tab&amp;search_scope=EVERYTHING&amp;vid=01CRU&amp;lang=en_US&amp;offset=0&amp;query=any,contains,991004657229702656","Catalog Record")</f>
        <v/>
      </c>
      <c r="AT689">
        <f>HYPERLINK("http://www.worldcat.org/oclc/56367850","WorldCat Record")</f>
        <v/>
      </c>
      <c r="AU689" t="inlineStr">
        <is>
          <t>17002262:eng</t>
        </is>
      </c>
      <c r="AV689" t="inlineStr">
        <is>
          <t>56367850</t>
        </is>
      </c>
      <c r="AW689" t="inlineStr">
        <is>
          <t>991004657229702656</t>
        </is>
      </c>
      <c r="AX689" t="inlineStr">
        <is>
          <t>991004657229702656</t>
        </is>
      </c>
      <c r="AY689" t="inlineStr">
        <is>
          <t>2261628440002656</t>
        </is>
      </c>
      <c r="AZ689" t="inlineStr">
        <is>
          <t>BOOK</t>
        </is>
      </c>
      <c r="BB689" t="inlineStr">
        <is>
          <t>9780195668315</t>
        </is>
      </c>
      <c r="BC689" t="inlineStr">
        <is>
          <t>32285005140651</t>
        </is>
      </c>
      <c r="BD689" t="inlineStr">
        <is>
          <t>893337968</t>
        </is>
      </c>
    </row>
    <row r="690">
      <c r="A690" t="inlineStr">
        <is>
          <t>No</t>
        </is>
      </c>
      <c r="B690" t="inlineStr">
        <is>
          <t>HM478 .B58 2003</t>
        </is>
      </c>
      <c r="C690" t="inlineStr">
        <is>
          <t>0                      HM 0478000B  58          2003</t>
        </is>
      </c>
      <c r="D690" t="inlineStr">
        <is>
          <t>The Blackwell companion to major contemporary social theorists / edited by George Ritzer.</t>
        </is>
      </c>
      <c r="F690" t="inlineStr">
        <is>
          <t>No</t>
        </is>
      </c>
      <c r="G690" t="inlineStr">
        <is>
          <t>1</t>
        </is>
      </c>
      <c r="H690" t="inlineStr">
        <is>
          <t>No</t>
        </is>
      </c>
      <c r="I690" t="inlineStr">
        <is>
          <t>No</t>
        </is>
      </c>
      <c r="J690" t="inlineStr">
        <is>
          <t>0</t>
        </is>
      </c>
      <c r="L690" t="inlineStr">
        <is>
          <t>Maldem, Mass. ; Oxford : Blackwell, 2003.</t>
        </is>
      </c>
      <c r="M690" t="inlineStr">
        <is>
          <t>2003</t>
        </is>
      </c>
      <c r="O690" t="inlineStr">
        <is>
          <t>eng</t>
        </is>
      </c>
      <c r="P690" t="inlineStr">
        <is>
          <t>enk</t>
        </is>
      </c>
      <c r="Q690" t="inlineStr">
        <is>
          <t>Blackwell companions to sociology ; 7</t>
        </is>
      </c>
      <c r="R690" t="inlineStr">
        <is>
          <t xml:space="preserve">HM </t>
        </is>
      </c>
      <c r="S690" t="n">
        <v>5</v>
      </c>
      <c r="T690" t="n">
        <v>5</v>
      </c>
      <c r="U690" t="inlineStr">
        <is>
          <t>2009-01-12</t>
        </is>
      </c>
      <c r="V690" t="inlineStr">
        <is>
          <t>2009-01-12</t>
        </is>
      </c>
      <c r="W690" t="inlineStr">
        <is>
          <t>2005-02-08</t>
        </is>
      </c>
      <c r="X690" t="inlineStr">
        <is>
          <t>2005-02-08</t>
        </is>
      </c>
      <c r="Y690" t="n">
        <v>246</v>
      </c>
      <c r="Z690" t="n">
        <v>123</v>
      </c>
      <c r="AA690" t="n">
        <v>226</v>
      </c>
      <c r="AB690" t="n">
        <v>1</v>
      </c>
      <c r="AC690" t="n">
        <v>1</v>
      </c>
      <c r="AD690" t="n">
        <v>5</v>
      </c>
      <c r="AE690" t="n">
        <v>12</v>
      </c>
      <c r="AF690" t="n">
        <v>4</v>
      </c>
      <c r="AG690" t="n">
        <v>6</v>
      </c>
      <c r="AH690" t="n">
        <v>1</v>
      </c>
      <c r="AI690" t="n">
        <v>3</v>
      </c>
      <c r="AJ690" t="n">
        <v>2</v>
      </c>
      <c r="AK690" t="n">
        <v>6</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HYPERLINK("https://creighton-primo.hosted.exlibrisgroup.com/primo-explore/search?tab=default_tab&amp;search_scope=EVERYTHING&amp;vid=01CRU&amp;lang=en_US&amp;offset=0&amp;query=any,contains,991004383519702656","Catalog Record")</f>
        <v/>
      </c>
      <c r="AT690">
        <f>HYPERLINK("http://www.worldcat.org/oclc/50877524","WorldCat Record")</f>
        <v/>
      </c>
      <c r="AU690" t="inlineStr">
        <is>
          <t>2869440070:eng</t>
        </is>
      </c>
      <c r="AV690" t="inlineStr">
        <is>
          <t>50877524</t>
        </is>
      </c>
      <c r="AW690" t="inlineStr">
        <is>
          <t>991004383519702656</t>
        </is>
      </c>
      <c r="AX690" t="inlineStr">
        <is>
          <t>991004383519702656</t>
        </is>
      </c>
      <c r="AY690" t="inlineStr">
        <is>
          <t>2261026410002656</t>
        </is>
      </c>
      <c r="AZ690" t="inlineStr">
        <is>
          <t>BOOK</t>
        </is>
      </c>
      <c r="BB690" t="inlineStr">
        <is>
          <t>9781405105958</t>
        </is>
      </c>
      <c r="BC690" t="inlineStr">
        <is>
          <t>32285005025167</t>
        </is>
      </c>
      <c r="BD690" t="inlineStr">
        <is>
          <t>893788638</t>
        </is>
      </c>
    </row>
    <row r="691">
      <c r="A691" t="inlineStr">
        <is>
          <t>No</t>
        </is>
      </c>
      <c r="B691" t="inlineStr">
        <is>
          <t>HM478 .S35 2004</t>
        </is>
      </c>
      <c r="C691" t="inlineStr">
        <is>
          <t>0                      HM 0478000S  35          2004</t>
        </is>
      </c>
      <c r="D691" t="inlineStr">
        <is>
          <t>Beyond the enlightenment : lives and thoughts of social theorists / Roger A. Salerno.</t>
        </is>
      </c>
      <c r="F691" t="inlineStr">
        <is>
          <t>No</t>
        </is>
      </c>
      <c r="G691" t="inlineStr">
        <is>
          <t>1</t>
        </is>
      </c>
      <c r="H691" t="inlineStr">
        <is>
          <t>No</t>
        </is>
      </c>
      <c r="I691" t="inlineStr">
        <is>
          <t>No</t>
        </is>
      </c>
      <c r="J691" t="inlineStr">
        <is>
          <t>0</t>
        </is>
      </c>
      <c r="K691" t="inlineStr">
        <is>
          <t>Salerno, Roger A.</t>
        </is>
      </c>
      <c r="L691" t="inlineStr">
        <is>
          <t>Westport, Conn. : Praeger, 2004.</t>
        </is>
      </c>
      <c r="M691" t="inlineStr">
        <is>
          <t>2004</t>
        </is>
      </c>
      <c r="O691" t="inlineStr">
        <is>
          <t>eng</t>
        </is>
      </c>
      <c r="P691" t="inlineStr">
        <is>
          <t>ctu</t>
        </is>
      </c>
      <c r="R691" t="inlineStr">
        <is>
          <t xml:space="preserve">HM </t>
        </is>
      </c>
      <c r="S691" t="n">
        <v>4</v>
      </c>
      <c r="T691" t="n">
        <v>4</v>
      </c>
      <c r="U691" t="inlineStr">
        <is>
          <t>2007-11-18</t>
        </is>
      </c>
      <c r="V691" t="inlineStr">
        <is>
          <t>2007-11-18</t>
        </is>
      </c>
      <c r="W691" t="inlineStr">
        <is>
          <t>2006-02-09</t>
        </is>
      </c>
      <c r="X691" t="inlineStr">
        <is>
          <t>2006-02-09</t>
        </is>
      </c>
      <c r="Y691" t="n">
        <v>380</v>
      </c>
      <c r="Z691" t="n">
        <v>314</v>
      </c>
      <c r="AA691" t="n">
        <v>952</v>
      </c>
      <c r="AB691" t="n">
        <v>2</v>
      </c>
      <c r="AC691" t="n">
        <v>36</v>
      </c>
      <c r="AD691" t="n">
        <v>17</v>
      </c>
      <c r="AE691" t="n">
        <v>36</v>
      </c>
      <c r="AF691" t="n">
        <v>5</v>
      </c>
      <c r="AG691" t="n">
        <v>11</v>
      </c>
      <c r="AH691" t="n">
        <v>6</v>
      </c>
      <c r="AI691" t="n">
        <v>6</v>
      </c>
      <c r="AJ691" t="n">
        <v>9</v>
      </c>
      <c r="AK691" t="n">
        <v>12</v>
      </c>
      <c r="AL691" t="n">
        <v>1</v>
      </c>
      <c r="AM691" t="n">
        <v>13</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HYPERLINK("https://creighton-primo.hosted.exlibrisgroup.com/primo-explore/search?tab=default_tab&amp;search_scope=EVERYTHING&amp;vid=01CRU&amp;lang=en_US&amp;offset=0&amp;query=any,contains,991004736899702656","Catalog Record")</f>
        <v/>
      </c>
      <c r="AT691">
        <f>HYPERLINK("http://www.worldcat.org/oclc/54374587","WorldCat Record")</f>
        <v/>
      </c>
      <c r="AU691" t="inlineStr">
        <is>
          <t>796432516:eng</t>
        </is>
      </c>
      <c r="AV691" t="inlineStr">
        <is>
          <t>54374587</t>
        </is>
      </c>
      <c r="AW691" t="inlineStr">
        <is>
          <t>991004736899702656</t>
        </is>
      </c>
      <c r="AX691" t="inlineStr">
        <is>
          <t>991004736899702656</t>
        </is>
      </c>
      <c r="AY691" t="inlineStr">
        <is>
          <t>2255217020002656</t>
        </is>
      </c>
      <c r="AZ691" t="inlineStr">
        <is>
          <t>BOOK</t>
        </is>
      </c>
      <c r="BB691" t="inlineStr">
        <is>
          <t>9780275977245</t>
        </is>
      </c>
      <c r="BC691" t="inlineStr">
        <is>
          <t>32285005159339</t>
        </is>
      </c>
      <c r="BD691" t="inlineStr">
        <is>
          <t>893260112</t>
        </is>
      </c>
    </row>
    <row r="692">
      <c r="A692" t="inlineStr">
        <is>
          <t>No</t>
        </is>
      </c>
      <c r="B692" t="inlineStr">
        <is>
          <t>HM479.D34 A3 2003</t>
        </is>
      </c>
      <c r="C692" t="inlineStr">
        <is>
          <t>0                      HM 0479000D  34                 A  3           2003</t>
        </is>
      </c>
      <c r="D692" t="inlineStr">
        <is>
          <t>Über Grenzen : Lebenserinnerungen / Ralf Dahrendorf.</t>
        </is>
      </c>
      <c r="F692" t="inlineStr">
        <is>
          <t>No</t>
        </is>
      </c>
      <c r="G692" t="inlineStr">
        <is>
          <t>1</t>
        </is>
      </c>
      <c r="H692" t="inlineStr">
        <is>
          <t>No</t>
        </is>
      </c>
      <c r="I692" t="inlineStr">
        <is>
          <t>No</t>
        </is>
      </c>
      <c r="J692" t="inlineStr">
        <is>
          <t>0</t>
        </is>
      </c>
      <c r="K692" t="inlineStr">
        <is>
          <t>Dahrendorf, Ralf, 1929-2009.</t>
        </is>
      </c>
      <c r="L692" t="inlineStr">
        <is>
          <t>München : C.H. Beck, 2003.</t>
        </is>
      </c>
      <c r="M692" t="inlineStr">
        <is>
          <t>2003</t>
        </is>
      </c>
      <c r="N692" t="inlineStr">
        <is>
          <t>3. Aufl.</t>
        </is>
      </c>
      <c r="O692" t="inlineStr">
        <is>
          <t>ger</t>
        </is>
      </c>
      <c r="P692" t="inlineStr">
        <is>
          <t xml:space="preserve">gw </t>
        </is>
      </c>
      <c r="R692" t="inlineStr">
        <is>
          <t xml:space="preserve">HM </t>
        </is>
      </c>
      <c r="S692" t="n">
        <v>1</v>
      </c>
      <c r="T692" t="n">
        <v>1</v>
      </c>
      <c r="U692" t="inlineStr">
        <is>
          <t>2003-10-13</t>
        </is>
      </c>
      <c r="V692" t="inlineStr">
        <is>
          <t>2003-10-13</t>
        </is>
      </c>
      <c r="W692" t="inlineStr">
        <is>
          <t>2003-10-13</t>
        </is>
      </c>
      <c r="X692" t="inlineStr">
        <is>
          <t>2003-10-13</t>
        </is>
      </c>
      <c r="Y692" t="n">
        <v>103</v>
      </c>
      <c r="Z692" t="n">
        <v>37</v>
      </c>
      <c r="AA692" t="n">
        <v>38</v>
      </c>
      <c r="AB692" t="n">
        <v>1</v>
      </c>
      <c r="AC692" t="n">
        <v>1</v>
      </c>
      <c r="AD692" t="n">
        <v>2</v>
      </c>
      <c r="AE692" t="n">
        <v>2</v>
      </c>
      <c r="AF692" t="n">
        <v>0</v>
      </c>
      <c r="AG692" t="n">
        <v>0</v>
      </c>
      <c r="AH692" t="n">
        <v>1</v>
      </c>
      <c r="AI692" t="n">
        <v>1</v>
      </c>
      <c r="AJ692" t="n">
        <v>2</v>
      </c>
      <c r="AK692" t="n">
        <v>2</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HYPERLINK("https://creighton-primo.hosted.exlibrisgroup.com/primo-explore/search?tab=default_tab&amp;search_scope=EVERYTHING&amp;vid=01CRU&amp;lang=en_US&amp;offset=0&amp;query=any,contains,991004027039702656","Catalog Record")</f>
        <v/>
      </c>
      <c r="AT692">
        <f>HYPERLINK("http://www.worldcat.org/oclc/50428761","WorldCat Record")</f>
        <v/>
      </c>
      <c r="AU692" t="inlineStr">
        <is>
          <t>891754638:ger</t>
        </is>
      </c>
      <c r="AV692" t="inlineStr">
        <is>
          <t>50428761</t>
        </is>
      </c>
      <c r="AW692" t="inlineStr">
        <is>
          <t>991004027039702656</t>
        </is>
      </c>
      <c r="AX692" t="inlineStr">
        <is>
          <t>991004027039702656</t>
        </is>
      </c>
      <c r="AY692" t="inlineStr">
        <is>
          <t>2270196750002656</t>
        </is>
      </c>
      <c r="AZ692" t="inlineStr">
        <is>
          <t>BOOK</t>
        </is>
      </c>
      <c r="BB692" t="inlineStr">
        <is>
          <t>9783406493386</t>
        </is>
      </c>
      <c r="BC692" t="inlineStr">
        <is>
          <t>32285004788039</t>
        </is>
      </c>
      <c r="BD692" t="inlineStr">
        <is>
          <t>893343370</t>
        </is>
      </c>
    </row>
    <row r="693">
      <c r="A693" t="inlineStr">
        <is>
          <t>No</t>
        </is>
      </c>
      <c r="B693" t="inlineStr">
        <is>
          <t>HM479.G64 C66 2010</t>
        </is>
      </c>
      <c r="C693" t="inlineStr">
        <is>
          <t>0                      HM 0479000G  64                 C  66          2010</t>
        </is>
      </c>
      <c r="D693" t="inlineStr">
        <is>
          <t>The contemporary Goffman / edited by Michael Hviid Jacobsen.</t>
        </is>
      </c>
      <c r="F693" t="inlineStr">
        <is>
          <t>No</t>
        </is>
      </c>
      <c r="G693" t="inlineStr">
        <is>
          <t>1</t>
        </is>
      </c>
      <c r="H693" t="inlineStr">
        <is>
          <t>No</t>
        </is>
      </c>
      <c r="I693" t="inlineStr">
        <is>
          <t>No</t>
        </is>
      </c>
      <c r="J693" t="inlineStr">
        <is>
          <t>0</t>
        </is>
      </c>
      <c r="L693" t="inlineStr">
        <is>
          <t>New York : Routledge, 2010.</t>
        </is>
      </c>
      <c r="M693" t="inlineStr">
        <is>
          <t>2010</t>
        </is>
      </c>
      <c r="O693" t="inlineStr">
        <is>
          <t>eng</t>
        </is>
      </c>
      <c r="P693" t="inlineStr">
        <is>
          <t>nyu</t>
        </is>
      </c>
      <c r="Q693" t="inlineStr">
        <is>
          <t>Routledge studies in social and political thought ; 68</t>
        </is>
      </c>
      <c r="R693" t="inlineStr">
        <is>
          <t xml:space="preserve">HM </t>
        </is>
      </c>
      <c r="S693" t="n">
        <v>1</v>
      </c>
      <c r="T693" t="n">
        <v>1</v>
      </c>
      <c r="U693" t="inlineStr">
        <is>
          <t>2010-11-09</t>
        </is>
      </c>
      <c r="V693" t="inlineStr">
        <is>
          <t>2010-11-09</t>
        </is>
      </c>
      <c r="W693" t="inlineStr">
        <is>
          <t>2010-11-09</t>
        </is>
      </c>
      <c r="X693" t="inlineStr">
        <is>
          <t>2010-11-09</t>
        </is>
      </c>
      <c r="Y693" t="n">
        <v>247</v>
      </c>
      <c r="Z693" t="n">
        <v>168</v>
      </c>
      <c r="AA693" t="n">
        <v>200</v>
      </c>
      <c r="AB693" t="n">
        <v>2</v>
      </c>
      <c r="AC693" t="n">
        <v>2</v>
      </c>
      <c r="AD693" t="n">
        <v>10</v>
      </c>
      <c r="AE693" t="n">
        <v>11</v>
      </c>
      <c r="AF693" t="n">
        <v>3</v>
      </c>
      <c r="AG693" t="n">
        <v>3</v>
      </c>
      <c r="AH693" t="n">
        <v>4</v>
      </c>
      <c r="AI693" t="n">
        <v>4</v>
      </c>
      <c r="AJ693" t="n">
        <v>7</v>
      </c>
      <c r="AK693" t="n">
        <v>8</v>
      </c>
      <c r="AL693" t="n">
        <v>1</v>
      </c>
      <c r="AM693" t="n">
        <v>1</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HYPERLINK("https://creighton-primo.hosted.exlibrisgroup.com/primo-explore/search?tab=default_tab&amp;search_scope=EVERYTHING&amp;vid=01CRU&amp;lang=en_US&amp;offset=0&amp;query=any,contains,991000213599702656","Catalog Record")</f>
        <v/>
      </c>
      <c r="AT693">
        <f>HYPERLINK("http://www.worldcat.org/oclc/277196198","WorldCat Record")</f>
        <v/>
      </c>
      <c r="AU693" t="inlineStr">
        <is>
          <t>766915748:eng</t>
        </is>
      </c>
      <c r="AV693" t="inlineStr">
        <is>
          <t>277196198</t>
        </is>
      </c>
      <c r="AW693" t="inlineStr">
        <is>
          <t>991000213599702656</t>
        </is>
      </c>
      <c r="AX693" t="inlineStr">
        <is>
          <t>991000213599702656</t>
        </is>
      </c>
      <c r="AY693" t="inlineStr">
        <is>
          <t>2265384990002656</t>
        </is>
      </c>
      <c r="AZ693" t="inlineStr">
        <is>
          <t>BOOK</t>
        </is>
      </c>
      <c r="BB693" t="inlineStr">
        <is>
          <t>9780415996815</t>
        </is>
      </c>
      <c r="BC693" t="inlineStr">
        <is>
          <t>32285005604904</t>
        </is>
      </c>
      <c r="BD693" t="inlineStr">
        <is>
          <t>893515111</t>
        </is>
      </c>
    </row>
    <row r="694">
      <c r="A694" t="inlineStr">
        <is>
          <t>No</t>
        </is>
      </c>
      <c r="B694" t="inlineStr">
        <is>
          <t>HM48 .B87 1984</t>
        </is>
      </c>
      <c r="C694" t="inlineStr">
        <is>
          <t>0                      HM 0048000B  87          1984</t>
        </is>
      </c>
      <c r="D694" t="inlineStr">
        <is>
          <t>In the field : an introduction to field research / Robert G. Burgess.</t>
        </is>
      </c>
      <c r="F694" t="inlineStr">
        <is>
          <t>No</t>
        </is>
      </c>
      <c r="G694" t="inlineStr">
        <is>
          <t>1</t>
        </is>
      </c>
      <c r="H694" t="inlineStr">
        <is>
          <t>No</t>
        </is>
      </c>
      <c r="I694" t="inlineStr">
        <is>
          <t>No</t>
        </is>
      </c>
      <c r="J694" t="inlineStr">
        <is>
          <t>0</t>
        </is>
      </c>
      <c r="K694" t="inlineStr">
        <is>
          <t>Burgess, Robert G.</t>
        </is>
      </c>
      <c r="L694" t="inlineStr">
        <is>
          <t>London ; Boston : Allen &amp; Unwin, 1984.</t>
        </is>
      </c>
      <c r="M694" t="inlineStr">
        <is>
          <t>1984</t>
        </is>
      </c>
      <c r="O694" t="inlineStr">
        <is>
          <t>eng</t>
        </is>
      </c>
      <c r="P694" t="inlineStr">
        <is>
          <t>enk</t>
        </is>
      </c>
      <c r="Q694" t="inlineStr">
        <is>
          <t>Contemporary social research series ; 8</t>
        </is>
      </c>
      <c r="R694" t="inlineStr">
        <is>
          <t xml:space="preserve">HM </t>
        </is>
      </c>
      <c r="S694" t="n">
        <v>1</v>
      </c>
      <c r="T694" t="n">
        <v>1</v>
      </c>
      <c r="U694" t="inlineStr">
        <is>
          <t>2002-12-01</t>
        </is>
      </c>
      <c r="V694" t="inlineStr">
        <is>
          <t>2002-12-01</t>
        </is>
      </c>
      <c r="W694" t="inlineStr">
        <is>
          <t>1992-08-12</t>
        </is>
      </c>
      <c r="X694" t="inlineStr">
        <is>
          <t>1992-08-12</t>
        </is>
      </c>
      <c r="Y694" t="n">
        <v>450</v>
      </c>
      <c r="Z694" t="n">
        <v>226</v>
      </c>
      <c r="AA694" t="n">
        <v>286</v>
      </c>
      <c r="AB694" t="n">
        <v>2</v>
      </c>
      <c r="AC694" t="n">
        <v>2</v>
      </c>
      <c r="AD694" t="n">
        <v>10</v>
      </c>
      <c r="AE694" t="n">
        <v>10</v>
      </c>
      <c r="AF694" t="n">
        <v>2</v>
      </c>
      <c r="AG694" t="n">
        <v>2</v>
      </c>
      <c r="AH694" t="n">
        <v>2</v>
      </c>
      <c r="AI694" t="n">
        <v>2</v>
      </c>
      <c r="AJ694" t="n">
        <v>8</v>
      </c>
      <c r="AK694" t="n">
        <v>8</v>
      </c>
      <c r="AL694" t="n">
        <v>1</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HYPERLINK("https://creighton-primo.hosted.exlibrisgroup.com/primo-explore/search?tab=default_tab&amp;search_scope=EVERYTHING&amp;vid=01CRU&amp;lang=en_US&amp;offset=0&amp;query=any,contains,991000343219702656","Catalog Record")</f>
        <v/>
      </c>
      <c r="AT694">
        <f>HYPERLINK("http://www.worldcat.org/oclc/10275696","WorldCat Record")</f>
        <v/>
      </c>
      <c r="AU694" t="inlineStr">
        <is>
          <t>795321770:eng</t>
        </is>
      </c>
      <c r="AV694" t="inlineStr">
        <is>
          <t>10275696</t>
        </is>
      </c>
      <c r="AW694" t="inlineStr">
        <is>
          <t>991000343219702656</t>
        </is>
      </c>
      <c r="AX694" t="inlineStr">
        <is>
          <t>991000343219702656</t>
        </is>
      </c>
      <c r="AY694" t="inlineStr">
        <is>
          <t>2269107370002656</t>
        </is>
      </c>
      <c r="AZ694" t="inlineStr">
        <is>
          <t>BOOK</t>
        </is>
      </c>
      <c r="BB694" t="inlineStr">
        <is>
          <t>9780043120187</t>
        </is>
      </c>
      <c r="BC694" t="inlineStr">
        <is>
          <t>32285001194553</t>
        </is>
      </c>
      <c r="BD694" t="inlineStr">
        <is>
          <t>893607825</t>
        </is>
      </c>
    </row>
    <row r="695">
      <c r="A695" t="inlineStr">
        <is>
          <t>No</t>
        </is>
      </c>
      <c r="B695" t="inlineStr">
        <is>
          <t>HM48 .C45 1982</t>
        </is>
      </c>
      <c r="C695" t="inlineStr">
        <is>
          <t>0                      HM 0048000C  45          1982</t>
        </is>
      </c>
      <c r="D695" t="inlineStr">
        <is>
          <t>Knowledge into action : a guide to research utilization / George P. Cernada.</t>
        </is>
      </c>
      <c r="F695" t="inlineStr">
        <is>
          <t>No</t>
        </is>
      </c>
      <c r="G695" t="inlineStr">
        <is>
          <t>1</t>
        </is>
      </c>
      <c r="H695" t="inlineStr">
        <is>
          <t>No</t>
        </is>
      </c>
      <c r="I695" t="inlineStr">
        <is>
          <t>No</t>
        </is>
      </c>
      <c r="J695" t="inlineStr">
        <is>
          <t>0</t>
        </is>
      </c>
      <c r="K695" t="inlineStr">
        <is>
          <t>Cernada, George Peter.</t>
        </is>
      </c>
      <c r="L695" t="inlineStr">
        <is>
          <t>Farmingdale, N.Y. : Baywood Pub. Co., c1982.</t>
        </is>
      </c>
      <c r="M695" t="inlineStr">
        <is>
          <t>1982</t>
        </is>
      </c>
      <c r="O695" t="inlineStr">
        <is>
          <t>eng</t>
        </is>
      </c>
      <c r="P695" t="inlineStr">
        <is>
          <t>nyu</t>
        </is>
      </c>
      <c r="Q695" t="inlineStr">
        <is>
          <t>Community health education monographs ; v. 1</t>
        </is>
      </c>
      <c r="R695" t="inlineStr">
        <is>
          <t xml:space="preserve">HM </t>
        </is>
      </c>
      <c r="S695" t="n">
        <v>1</v>
      </c>
      <c r="T695" t="n">
        <v>1</v>
      </c>
      <c r="U695" t="inlineStr">
        <is>
          <t>2003-03-20</t>
        </is>
      </c>
      <c r="V695" t="inlineStr">
        <is>
          <t>2003-03-20</t>
        </is>
      </c>
      <c r="W695" t="inlineStr">
        <is>
          <t>2003-03-20</t>
        </is>
      </c>
      <c r="X695" t="inlineStr">
        <is>
          <t>2003-03-20</t>
        </is>
      </c>
      <c r="Y695" t="n">
        <v>122</v>
      </c>
      <c r="Z695" t="n">
        <v>99</v>
      </c>
      <c r="AA695" t="n">
        <v>119</v>
      </c>
      <c r="AB695" t="n">
        <v>2</v>
      </c>
      <c r="AC695" t="n">
        <v>2</v>
      </c>
      <c r="AD695" t="n">
        <v>6</v>
      </c>
      <c r="AE695" t="n">
        <v>6</v>
      </c>
      <c r="AF695" t="n">
        <v>2</v>
      </c>
      <c r="AG695" t="n">
        <v>2</v>
      </c>
      <c r="AH695" t="n">
        <v>2</v>
      </c>
      <c r="AI695" t="n">
        <v>2</v>
      </c>
      <c r="AJ695" t="n">
        <v>4</v>
      </c>
      <c r="AK695" t="n">
        <v>4</v>
      </c>
      <c r="AL695" t="n">
        <v>1</v>
      </c>
      <c r="AM695" t="n">
        <v>1</v>
      </c>
      <c r="AN695" t="n">
        <v>0</v>
      </c>
      <c r="AO695" t="n">
        <v>0</v>
      </c>
      <c r="AP695" t="inlineStr">
        <is>
          <t>No</t>
        </is>
      </c>
      <c r="AQ695" t="inlineStr">
        <is>
          <t>Yes</t>
        </is>
      </c>
      <c r="AR695">
        <f>HYPERLINK("http://catalog.hathitrust.org/Record/000112107","HathiTrust Record")</f>
        <v/>
      </c>
      <c r="AS695">
        <f>HYPERLINK("https://creighton-primo.hosted.exlibrisgroup.com/primo-explore/search?tab=default_tab&amp;search_scope=EVERYTHING&amp;vid=01CRU&amp;lang=en_US&amp;offset=0&amp;query=any,contains,991003990879702656","Catalog Record")</f>
        <v/>
      </c>
      <c r="AT695">
        <f>HYPERLINK("http://www.worldcat.org/oclc/7977250","WorldCat Record")</f>
        <v/>
      </c>
      <c r="AU695" t="inlineStr">
        <is>
          <t>551954:eng</t>
        </is>
      </c>
      <c r="AV695" t="inlineStr">
        <is>
          <t>7977250</t>
        </is>
      </c>
      <c r="AW695" t="inlineStr">
        <is>
          <t>991003990879702656</t>
        </is>
      </c>
      <c r="AX695" t="inlineStr">
        <is>
          <t>991003990879702656</t>
        </is>
      </c>
      <c r="AY695" t="inlineStr">
        <is>
          <t>2272521760002656</t>
        </is>
      </c>
      <c r="AZ695" t="inlineStr">
        <is>
          <t>BOOK</t>
        </is>
      </c>
      <c r="BB695" t="inlineStr">
        <is>
          <t>9780895030313</t>
        </is>
      </c>
      <c r="BC695" t="inlineStr">
        <is>
          <t>32285004686043</t>
        </is>
      </c>
      <c r="BD695" t="inlineStr">
        <is>
          <t>893869153</t>
        </is>
      </c>
    </row>
    <row r="696">
      <c r="A696" t="inlineStr">
        <is>
          <t>No</t>
        </is>
      </c>
      <c r="B696" t="inlineStr">
        <is>
          <t>HM48 .F53</t>
        </is>
      </c>
      <c r="C696" t="inlineStr">
        <is>
          <t>0                      HM 0048000F  53</t>
        </is>
      </c>
      <c r="D696" t="inlineStr">
        <is>
          <t>Qualitative methodology : firsthand involvement with the social world / edited by William J. Filstead.</t>
        </is>
      </c>
      <c r="F696" t="inlineStr">
        <is>
          <t>No</t>
        </is>
      </c>
      <c r="G696" t="inlineStr">
        <is>
          <t>1</t>
        </is>
      </c>
      <c r="H696" t="inlineStr">
        <is>
          <t>No</t>
        </is>
      </c>
      <c r="I696" t="inlineStr">
        <is>
          <t>No</t>
        </is>
      </c>
      <c r="J696" t="inlineStr">
        <is>
          <t>0</t>
        </is>
      </c>
      <c r="K696" t="inlineStr">
        <is>
          <t>Filstead, William J. compiler.</t>
        </is>
      </c>
      <c r="L696" t="inlineStr">
        <is>
          <t>Chicago : Markham Pub. Co., [1970]</t>
        </is>
      </c>
      <c r="M696" t="inlineStr">
        <is>
          <t>1970</t>
        </is>
      </c>
      <c r="O696" t="inlineStr">
        <is>
          <t>eng</t>
        </is>
      </c>
      <c r="P696" t="inlineStr">
        <is>
          <t>ilu</t>
        </is>
      </c>
      <c r="Q696" t="inlineStr">
        <is>
          <t>Markham sociology series</t>
        </is>
      </c>
      <c r="R696" t="inlineStr">
        <is>
          <t xml:space="preserve">HM </t>
        </is>
      </c>
      <c r="S696" t="n">
        <v>5</v>
      </c>
      <c r="T696" t="n">
        <v>5</v>
      </c>
      <c r="U696" t="inlineStr">
        <is>
          <t>2001-03-08</t>
        </is>
      </c>
      <c r="V696" t="inlineStr">
        <is>
          <t>2001-03-08</t>
        </is>
      </c>
      <c r="W696" t="inlineStr">
        <is>
          <t>1992-01-02</t>
        </is>
      </c>
      <c r="X696" t="inlineStr">
        <is>
          <t>1992-01-02</t>
        </is>
      </c>
      <c r="Y696" t="n">
        <v>566</v>
      </c>
      <c r="Z696" t="n">
        <v>442</v>
      </c>
      <c r="AA696" t="n">
        <v>453</v>
      </c>
      <c r="AB696" t="n">
        <v>4</v>
      </c>
      <c r="AC696" t="n">
        <v>4</v>
      </c>
      <c r="AD696" t="n">
        <v>20</v>
      </c>
      <c r="AE696" t="n">
        <v>20</v>
      </c>
      <c r="AF696" t="n">
        <v>3</v>
      </c>
      <c r="AG696" t="n">
        <v>3</v>
      </c>
      <c r="AH696" t="n">
        <v>8</v>
      </c>
      <c r="AI696" t="n">
        <v>8</v>
      </c>
      <c r="AJ696" t="n">
        <v>10</v>
      </c>
      <c r="AK696" t="n">
        <v>10</v>
      </c>
      <c r="AL696" t="n">
        <v>3</v>
      </c>
      <c r="AM696" t="n">
        <v>3</v>
      </c>
      <c r="AN696" t="n">
        <v>0</v>
      </c>
      <c r="AO696" t="n">
        <v>0</v>
      </c>
      <c r="AP696" t="inlineStr">
        <is>
          <t>No</t>
        </is>
      </c>
      <c r="AQ696" t="inlineStr">
        <is>
          <t>Yes</t>
        </is>
      </c>
      <c r="AR696">
        <f>HYPERLINK("http://catalog.hathitrust.org/Record/001107991","HathiTrust Record")</f>
        <v/>
      </c>
      <c r="AS696">
        <f>HYPERLINK("https://creighton-primo.hosted.exlibrisgroup.com/primo-explore/search?tab=default_tab&amp;search_scope=EVERYTHING&amp;vid=01CRU&amp;lang=en_US&amp;offset=0&amp;query=any,contains,991000586779702656","Catalog Record")</f>
        <v/>
      </c>
      <c r="AT696">
        <f>HYPERLINK("http://www.worldcat.org/oclc/96171","WorldCat Record")</f>
        <v/>
      </c>
      <c r="AU696" t="inlineStr">
        <is>
          <t>148972277:eng</t>
        </is>
      </c>
      <c r="AV696" t="inlineStr">
        <is>
          <t>96171</t>
        </is>
      </c>
      <c r="AW696" t="inlineStr">
        <is>
          <t>991000586779702656</t>
        </is>
      </c>
      <c r="AX696" t="inlineStr">
        <is>
          <t>991000586779702656</t>
        </is>
      </c>
      <c r="AY696" t="inlineStr">
        <is>
          <t>2271239270002656</t>
        </is>
      </c>
      <c r="AZ696" t="inlineStr">
        <is>
          <t>BOOK</t>
        </is>
      </c>
      <c r="BB696" t="inlineStr">
        <is>
          <t>9780841040212</t>
        </is>
      </c>
      <c r="BC696" t="inlineStr">
        <is>
          <t>32285000881945</t>
        </is>
      </c>
      <c r="BD696" t="inlineStr">
        <is>
          <t>893695968</t>
        </is>
      </c>
    </row>
    <row r="697">
      <c r="A697" t="inlineStr">
        <is>
          <t>No</t>
        </is>
      </c>
      <c r="B697" t="inlineStr">
        <is>
          <t>HM48 .F75 2006</t>
        </is>
      </c>
      <c r="C697" t="inlineStr">
        <is>
          <t>0                      HM 0048000F  75          2006</t>
        </is>
      </c>
      <c r="D697" t="inlineStr">
        <is>
          <t>Extreme competition : innovation and the great 21st century business reformation / Peter Fingar.</t>
        </is>
      </c>
      <c r="F697" t="inlineStr">
        <is>
          <t>No</t>
        </is>
      </c>
      <c r="G697" t="inlineStr">
        <is>
          <t>1</t>
        </is>
      </c>
      <c r="H697" t="inlineStr">
        <is>
          <t>No</t>
        </is>
      </c>
      <c r="I697" t="inlineStr">
        <is>
          <t>No</t>
        </is>
      </c>
      <c r="J697" t="inlineStr">
        <is>
          <t>0</t>
        </is>
      </c>
      <c r="K697" t="inlineStr">
        <is>
          <t>Fingar, Peter, 1946-</t>
        </is>
      </c>
      <c r="L697" t="inlineStr">
        <is>
          <t>Tampa, Fla. : Meghan-Kiffer Press, c2006</t>
        </is>
      </c>
      <c r="M697" t="inlineStr">
        <is>
          <t>2006</t>
        </is>
      </c>
      <c r="O697" t="inlineStr">
        <is>
          <t>eng</t>
        </is>
      </c>
      <c r="P697" t="inlineStr">
        <is>
          <t>flu</t>
        </is>
      </c>
      <c r="R697" t="inlineStr">
        <is>
          <t xml:space="preserve">HM </t>
        </is>
      </c>
      <c r="S697" t="n">
        <v>2</v>
      </c>
      <c r="T697" t="n">
        <v>2</v>
      </c>
      <c r="U697" t="inlineStr">
        <is>
          <t>2009-11-05</t>
        </is>
      </c>
      <c r="V697" t="inlineStr">
        <is>
          <t>2009-11-05</t>
        </is>
      </c>
      <c r="W697" t="inlineStr">
        <is>
          <t>2006-05-04</t>
        </is>
      </c>
      <c r="X697" t="inlineStr">
        <is>
          <t>2006-05-04</t>
        </is>
      </c>
      <c r="Y697" t="n">
        <v>131</v>
      </c>
      <c r="Z697" t="n">
        <v>102</v>
      </c>
      <c r="AA697" t="n">
        <v>107</v>
      </c>
      <c r="AB697" t="n">
        <v>2</v>
      </c>
      <c r="AC697" t="n">
        <v>2</v>
      </c>
      <c r="AD697" t="n">
        <v>4</v>
      </c>
      <c r="AE697" t="n">
        <v>4</v>
      </c>
      <c r="AF697" t="n">
        <v>1</v>
      </c>
      <c r="AG697" t="n">
        <v>1</v>
      </c>
      <c r="AH697" t="n">
        <v>1</v>
      </c>
      <c r="AI697" t="n">
        <v>1</v>
      </c>
      <c r="AJ697" t="n">
        <v>2</v>
      </c>
      <c r="AK697" t="n">
        <v>2</v>
      </c>
      <c r="AL697" t="n">
        <v>1</v>
      </c>
      <c r="AM697" t="n">
        <v>1</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HYPERLINK("https://creighton-primo.hosted.exlibrisgroup.com/primo-explore/search?tab=default_tab&amp;search_scope=EVERYTHING&amp;vid=01CRU&amp;lang=en_US&amp;offset=0&amp;query=any,contains,991004804579702656","Catalog Record")</f>
        <v/>
      </c>
      <c r="AT697">
        <f>HYPERLINK("http://www.worldcat.org/oclc/64590593","WorldCat Record")</f>
        <v/>
      </c>
      <c r="AU697" t="inlineStr">
        <is>
          <t>864542413:eng</t>
        </is>
      </c>
      <c r="AV697" t="inlineStr">
        <is>
          <t>64590593</t>
        </is>
      </c>
      <c r="AW697" t="inlineStr">
        <is>
          <t>991004804579702656</t>
        </is>
      </c>
      <c r="AX697" t="inlineStr">
        <is>
          <t>991004804579702656</t>
        </is>
      </c>
      <c r="AY697" t="inlineStr">
        <is>
          <t>2265552050002656</t>
        </is>
      </c>
      <c r="AZ697" t="inlineStr">
        <is>
          <t>BOOK</t>
        </is>
      </c>
      <c r="BB697" t="inlineStr">
        <is>
          <t>9780929652382</t>
        </is>
      </c>
      <c r="BC697" t="inlineStr">
        <is>
          <t>32285005184444</t>
        </is>
      </c>
      <c r="BD697" t="inlineStr">
        <is>
          <t>893870135</t>
        </is>
      </c>
    </row>
    <row r="698">
      <c r="A698" t="inlineStr">
        <is>
          <t>No</t>
        </is>
      </c>
      <c r="B698" t="inlineStr">
        <is>
          <t>HM48 .M46 1982</t>
        </is>
      </c>
      <c r="C698" t="inlineStr">
        <is>
          <t>0                      HM 0048000M  46          1982</t>
        </is>
      </c>
      <c r="D698" t="inlineStr">
        <is>
          <t>Social research and the practicing professions / Robert K. Merton ; edited and with an introduction by Aaron Rosenblatt and Thomas F. Gieryn.</t>
        </is>
      </c>
      <c r="F698" t="inlineStr">
        <is>
          <t>No</t>
        </is>
      </c>
      <c r="G698" t="inlineStr">
        <is>
          <t>1</t>
        </is>
      </c>
      <c r="H698" t="inlineStr">
        <is>
          <t>No</t>
        </is>
      </c>
      <c r="I698" t="inlineStr">
        <is>
          <t>No</t>
        </is>
      </c>
      <c r="J698" t="inlineStr">
        <is>
          <t>0</t>
        </is>
      </c>
      <c r="K698" t="inlineStr">
        <is>
          <t>Merton, Robert King, 1910-2003.</t>
        </is>
      </c>
      <c r="L698" t="inlineStr">
        <is>
          <t>Cambridge, Mass. : Abt Books, c1982.</t>
        </is>
      </c>
      <c r="M698" t="inlineStr">
        <is>
          <t>1982</t>
        </is>
      </c>
      <c r="O698" t="inlineStr">
        <is>
          <t>eng</t>
        </is>
      </c>
      <c r="P698" t="inlineStr">
        <is>
          <t>mau</t>
        </is>
      </c>
      <c r="R698" t="inlineStr">
        <is>
          <t xml:space="preserve">HM </t>
        </is>
      </c>
      <c r="S698" t="n">
        <v>4</v>
      </c>
      <c r="T698" t="n">
        <v>4</v>
      </c>
      <c r="U698" t="inlineStr">
        <is>
          <t>1997-07-31</t>
        </is>
      </c>
      <c r="V698" t="inlineStr">
        <is>
          <t>1997-07-31</t>
        </is>
      </c>
      <c r="W698" t="inlineStr">
        <is>
          <t>1992-08-12</t>
        </is>
      </c>
      <c r="X698" t="inlineStr">
        <is>
          <t>1992-08-12</t>
        </is>
      </c>
      <c r="Y698" t="n">
        <v>353</v>
      </c>
      <c r="Z698" t="n">
        <v>279</v>
      </c>
      <c r="AA698" t="n">
        <v>318</v>
      </c>
      <c r="AB698" t="n">
        <v>3</v>
      </c>
      <c r="AC698" t="n">
        <v>3</v>
      </c>
      <c r="AD698" t="n">
        <v>14</v>
      </c>
      <c r="AE698" t="n">
        <v>17</v>
      </c>
      <c r="AF698" t="n">
        <v>2</v>
      </c>
      <c r="AG698" t="n">
        <v>2</v>
      </c>
      <c r="AH698" t="n">
        <v>3</v>
      </c>
      <c r="AI698" t="n">
        <v>3</v>
      </c>
      <c r="AJ698" t="n">
        <v>7</v>
      </c>
      <c r="AK698" t="n">
        <v>10</v>
      </c>
      <c r="AL698" t="n">
        <v>2</v>
      </c>
      <c r="AM698" t="n">
        <v>2</v>
      </c>
      <c r="AN698" t="n">
        <v>2</v>
      </c>
      <c r="AO698" t="n">
        <v>2</v>
      </c>
      <c r="AP698" t="inlineStr">
        <is>
          <t>No</t>
        </is>
      </c>
      <c r="AQ698" t="inlineStr">
        <is>
          <t>Yes</t>
        </is>
      </c>
      <c r="AR698">
        <f>HYPERLINK("http://catalog.hathitrust.org/Record/000188380","HathiTrust Record")</f>
        <v/>
      </c>
      <c r="AS698">
        <f>HYPERLINK("https://creighton-primo.hosted.exlibrisgroup.com/primo-explore/search?tab=default_tab&amp;search_scope=EVERYTHING&amp;vid=01CRU&amp;lang=en_US&amp;offset=0&amp;query=any,contains,991005249329702656","Catalog Record")</f>
        <v/>
      </c>
      <c r="AT698">
        <f>HYPERLINK("http://www.worldcat.org/oclc/8476360","WorldCat Record")</f>
        <v/>
      </c>
      <c r="AU698" t="inlineStr">
        <is>
          <t>57763173:eng</t>
        </is>
      </c>
      <c r="AV698" t="inlineStr">
        <is>
          <t>8476360</t>
        </is>
      </c>
      <c r="AW698" t="inlineStr">
        <is>
          <t>991005249329702656</t>
        </is>
      </c>
      <c r="AX698" t="inlineStr">
        <is>
          <t>991005249329702656</t>
        </is>
      </c>
      <c r="AY698" t="inlineStr">
        <is>
          <t>2257643170002656</t>
        </is>
      </c>
      <c r="AZ698" t="inlineStr">
        <is>
          <t>BOOK</t>
        </is>
      </c>
      <c r="BB698" t="inlineStr">
        <is>
          <t>9780890115695</t>
        </is>
      </c>
      <c r="BC698" t="inlineStr">
        <is>
          <t>32285001194595</t>
        </is>
      </c>
      <c r="BD698" t="inlineStr">
        <is>
          <t>893896135</t>
        </is>
      </c>
    </row>
    <row r="699">
      <c r="A699" t="inlineStr">
        <is>
          <t>No</t>
        </is>
      </c>
      <c r="B699" t="inlineStr">
        <is>
          <t>HM48 .R435 1997</t>
        </is>
      </c>
      <c r="C699" t="inlineStr">
        <is>
          <t>0                      HM 0048000R  435         1997</t>
        </is>
      </c>
      <c r="D699" t="inlineStr">
        <is>
          <t>Reflexivity &amp; voice / Rosanna Hertz, editor.</t>
        </is>
      </c>
      <c r="F699" t="inlineStr">
        <is>
          <t>No</t>
        </is>
      </c>
      <c r="G699" t="inlineStr">
        <is>
          <t>1</t>
        </is>
      </c>
      <c r="H699" t="inlineStr">
        <is>
          <t>No</t>
        </is>
      </c>
      <c r="I699" t="inlineStr">
        <is>
          <t>No</t>
        </is>
      </c>
      <c r="J699" t="inlineStr">
        <is>
          <t>0</t>
        </is>
      </c>
      <c r="L699" t="inlineStr">
        <is>
          <t>Thousand Oaks, Calif. : Sage Publications, c1997.</t>
        </is>
      </c>
      <c r="M699" t="inlineStr">
        <is>
          <t>1997</t>
        </is>
      </c>
      <c r="O699" t="inlineStr">
        <is>
          <t>eng</t>
        </is>
      </c>
      <c r="P699" t="inlineStr">
        <is>
          <t>cau</t>
        </is>
      </c>
      <c r="R699" t="inlineStr">
        <is>
          <t xml:space="preserve">HM </t>
        </is>
      </c>
      <c r="S699" t="n">
        <v>1</v>
      </c>
      <c r="T699" t="n">
        <v>1</v>
      </c>
      <c r="U699" t="inlineStr">
        <is>
          <t>2005-09-15</t>
        </is>
      </c>
      <c r="V699" t="inlineStr">
        <is>
          <t>2005-09-15</t>
        </is>
      </c>
      <c r="W699" t="inlineStr">
        <is>
          <t>1998-04-22</t>
        </is>
      </c>
      <c r="X699" t="inlineStr">
        <is>
          <t>1998-04-22</t>
        </is>
      </c>
      <c r="Y699" t="n">
        <v>280</v>
      </c>
      <c r="Z699" t="n">
        <v>165</v>
      </c>
      <c r="AA699" t="n">
        <v>165</v>
      </c>
      <c r="AB699" t="n">
        <v>2</v>
      </c>
      <c r="AC699" t="n">
        <v>2</v>
      </c>
      <c r="AD699" t="n">
        <v>8</v>
      </c>
      <c r="AE699" t="n">
        <v>8</v>
      </c>
      <c r="AF699" t="n">
        <v>2</v>
      </c>
      <c r="AG699" t="n">
        <v>2</v>
      </c>
      <c r="AH699" t="n">
        <v>3</v>
      </c>
      <c r="AI699" t="n">
        <v>3</v>
      </c>
      <c r="AJ699" t="n">
        <v>5</v>
      </c>
      <c r="AK699" t="n">
        <v>5</v>
      </c>
      <c r="AL699" t="n">
        <v>1</v>
      </c>
      <c r="AM699" t="n">
        <v>1</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HYPERLINK("https://creighton-primo.hosted.exlibrisgroup.com/primo-explore/search?tab=default_tab&amp;search_scope=EVERYTHING&amp;vid=01CRU&amp;lang=en_US&amp;offset=0&amp;query=any,contains,991002768239702656","Catalog Record")</f>
        <v/>
      </c>
      <c r="AT699">
        <f>HYPERLINK("http://www.worldcat.org/oclc/36327481","WorldCat Record")</f>
        <v/>
      </c>
      <c r="AU699" t="inlineStr">
        <is>
          <t>590166:eng</t>
        </is>
      </c>
      <c r="AV699" t="inlineStr">
        <is>
          <t>36327481</t>
        </is>
      </c>
      <c r="AW699" t="inlineStr">
        <is>
          <t>991002768239702656</t>
        </is>
      </c>
      <c r="AX699" t="inlineStr">
        <is>
          <t>991002768239702656</t>
        </is>
      </c>
      <c r="AY699" t="inlineStr">
        <is>
          <t>2264993390002656</t>
        </is>
      </c>
      <c r="AZ699" t="inlineStr">
        <is>
          <t>BOOK</t>
        </is>
      </c>
      <c r="BB699" t="inlineStr">
        <is>
          <t>9780761903833</t>
        </is>
      </c>
      <c r="BC699" t="inlineStr">
        <is>
          <t>32285003376455</t>
        </is>
      </c>
      <c r="BD699" t="inlineStr">
        <is>
          <t>893530444</t>
        </is>
      </c>
    </row>
    <row r="700">
      <c r="A700" t="inlineStr">
        <is>
          <t>No</t>
        </is>
      </c>
      <c r="B700" t="inlineStr">
        <is>
          <t>HM48 .S568 1984</t>
        </is>
      </c>
      <c r="C700" t="inlineStr">
        <is>
          <t>0                      HM 0048000S  568         1984</t>
        </is>
      </c>
      <c r="D700" t="inlineStr">
        <is>
          <t>Social researching : politics, problems, practice / edited by Colin Bell and Helen Roberts.</t>
        </is>
      </c>
      <c r="F700" t="inlineStr">
        <is>
          <t>No</t>
        </is>
      </c>
      <c r="G700" t="inlineStr">
        <is>
          <t>1</t>
        </is>
      </c>
      <c r="H700" t="inlineStr">
        <is>
          <t>No</t>
        </is>
      </c>
      <c r="I700" t="inlineStr">
        <is>
          <t>No</t>
        </is>
      </c>
      <c r="J700" t="inlineStr">
        <is>
          <t>0</t>
        </is>
      </c>
      <c r="L700" t="inlineStr">
        <is>
          <t>London ; Boston : Routledge &amp; K. Paul, 1984.</t>
        </is>
      </c>
      <c r="M700" t="inlineStr">
        <is>
          <t>1984</t>
        </is>
      </c>
      <c r="O700" t="inlineStr">
        <is>
          <t>eng</t>
        </is>
      </c>
      <c r="P700" t="inlineStr">
        <is>
          <t>enk</t>
        </is>
      </c>
      <c r="R700" t="inlineStr">
        <is>
          <t xml:space="preserve">HM </t>
        </is>
      </c>
      <c r="S700" t="n">
        <v>1</v>
      </c>
      <c r="T700" t="n">
        <v>1</v>
      </c>
      <c r="U700" t="inlineStr">
        <is>
          <t>2010-07-26</t>
        </is>
      </c>
      <c r="V700" t="inlineStr">
        <is>
          <t>2010-07-26</t>
        </is>
      </c>
      <c r="W700" t="inlineStr">
        <is>
          <t>1992-08-12</t>
        </is>
      </c>
      <c r="X700" t="inlineStr">
        <is>
          <t>1992-08-12</t>
        </is>
      </c>
      <c r="Y700" t="n">
        <v>331</v>
      </c>
      <c r="Z700" t="n">
        <v>152</v>
      </c>
      <c r="AA700" t="n">
        <v>158</v>
      </c>
      <c r="AB700" t="n">
        <v>2</v>
      </c>
      <c r="AC700" t="n">
        <v>2</v>
      </c>
      <c r="AD700" t="n">
        <v>8</v>
      </c>
      <c r="AE700" t="n">
        <v>8</v>
      </c>
      <c r="AF700" t="n">
        <v>2</v>
      </c>
      <c r="AG700" t="n">
        <v>2</v>
      </c>
      <c r="AH700" t="n">
        <v>2</v>
      </c>
      <c r="AI700" t="n">
        <v>2</v>
      </c>
      <c r="AJ700" t="n">
        <v>4</v>
      </c>
      <c r="AK700" t="n">
        <v>4</v>
      </c>
      <c r="AL700" t="n">
        <v>1</v>
      </c>
      <c r="AM700" t="n">
        <v>1</v>
      </c>
      <c r="AN700" t="n">
        <v>0</v>
      </c>
      <c r="AO700" t="n">
        <v>0</v>
      </c>
      <c r="AP700" t="inlineStr">
        <is>
          <t>No</t>
        </is>
      </c>
      <c r="AQ700" t="inlineStr">
        <is>
          <t>Yes</t>
        </is>
      </c>
      <c r="AR700">
        <f>HYPERLINK("http://catalog.hathitrust.org/Record/000781588","HathiTrust Record")</f>
        <v/>
      </c>
      <c r="AS700">
        <f>HYPERLINK("https://creighton-primo.hosted.exlibrisgroup.com/primo-explore/search?tab=default_tab&amp;search_scope=EVERYTHING&amp;vid=01CRU&amp;lang=en_US&amp;offset=0&amp;query=any,contains,991000337219702656","Catalog Record")</f>
        <v/>
      </c>
      <c r="AT700">
        <f>HYPERLINK("http://www.worldcat.org/oclc/10230463","WorldCat Record")</f>
        <v/>
      </c>
      <c r="AU700" t="inlineStr">
        <is>
          <t>836646708:eng</t>
        </is>
      </c>
      <c r="AV700" t="inlineStr">
        <is>
          <t>10230463</t>
        </is>
      </c>
      <c r="AW700" t="inlineStr">
        <is>
          <t>991000337219702656</t>
        </is>
      </c>
      <c r="AX700" t="inlineStr">
        <is>
          <t>991000337219702656</t>
        </is>
      </c>
      <c r="AY700" t="inlineStr">
        <is>
          <t>2256406110002656</t>
        </is>
      </c>
      <c r="AZ700" t="inlineStr">
        <is>
          <t>BOOK</t>
        </is>
      </c>
      <c r="BB700" t="inlineStr">
        <is>
          <t>9780710098849</t>
        </is>
      </c>
      <c r="BC700" t="inlineStr">
        <is>
          <t>32285001194645</t>
        </is>
      </c>
      <c r="BD700" t="inlineStr">
        <is>
          <t>893626274</t>
        </is>
      </c>
    </row>
    <row r="701">
      <c r="A701" t="inlineStr">
        <is>
          <t>No</t>
        </is>
      </c>
      <c r="B701" t="inlineStr">
        <is>
          <t>HM480 .S742 2009</t>
        </is>
      </c>
      <c r="C701" t="inlineStr">
        <is>
          <t>0                      HM 0480000S  742         2009</t>
        </is>
      </c>
      <c r="D701" t="inlineStr">
        <is>
          <t>The philosophy of Jürgen Habermas : a critical introduction / Uwe Steinhoff ; translated by Karsten Schöllner.</t>
        </is>
      </c>
      <c r="F701" t="inlineStr">
        <is>
          <t>No</t>
        </is>
      </c>
      <c r="G701" t="inlineStr">
        <is>
          <t>1</t>
        </is>
      </c>
      <c r="H701" t="inlineStr">
        <is>
          <t>No</t>
        </is>
      </c>
      <c r="I701" t="inlineStr">
        <is>
          <t>No</t>
        </is>
      </c>
      <c r="J701" t="inlineStr">
        <is>
          <t>0</t>
        </is>
      </c>
      <c r="K701" t="inlineStr">
        <is>
          <t>Steinhoff, Uwe.</t>
        </is>
      </c>
      <c r="L701" t="inlineStr">
        <is>
          <t>Oxford ; New York : Oxford University Press, 2009.</t>
        </is>
      </c>
      <c r="M701" t="inlineStr">
        <is>
          <t>2009</t>
        </is>
      </c>
      <c r="O701" t="inlineStr">
        <is>
          <t>eng</t>
        </is>
      </c>
      <c r="P701" t="inlineStr">
        <is>
          <t>enk</t>
        </is>
      </c>
      <c r="R701" t="inlineStr">
        <is>
          <t xml:space="preserve">HM </t>
        </is>
      </c>
      <c r="S701" t="n">
        <v>1</v>
      </c>
      <c r="T701" t="n">
        <v>1</v>
      </c>
      <c r="U701" t="inlineStr">
        <is>
          <t>2010-01-13</t>
        </is>
      </c>
      <c r="V701" t="inlineStr">
        <is>
          <t>2010-01-13</t>
        </is>
      </c>
      <c r="W701" t="inlineStr">
        <is>
          <t>2010-01-13</t>
        </is>
      </c>
      <c r="X701" t="inlineStr">
        <is>
          <t>2010-01-13</t>
        </is>
      </c>
      <c r="Y701" t="n">
        <v>263</v>
      </c>
      <c r="Z701" t="n">
        <v>197</v>
      </c>
      <c r="AA701" t="n">
        <v>259</v>
      </c>
      <c r="AB701" t="n">
        <v>2</v>
      </c>
      <c r="AC701" t="n">
        <v>2</v>
      </c>
      <c r="AD701" t="n">
        <v>14</v>
      </c>
      <c r="AE701" t="n">
        <v>17</v>
      </c>
      <c r="AF701" t="n">
        <v>8</v>
      </c>
      <c r="AG701" t="n">
        <v>8</v>
      </c>
      <c r="AH701" t="n">
        <v>3</v>
      </c>
      <c r="AI701" t="n">
        <v>6</v>
      </c>
      <c r="AJ701" t="n">
        <v>8</v>
      </c>
      <c r="AK701" t="n">
        <v>9</v>
      </c>
      <c r="AL701" t="n">
        <v>1</v>
      </c>
      <c r="AM701" t="n">
        <v>1</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HYPERLINK("https://creighton-primo.hosted.exlibrisgroup.com/primo-explore/search?tab=default_tab&amp;search_scope=EVERYTHING&amp;vid=01CRU&amp;lang=en_US&amp;offset=0&amp;query=any,contains,991005343489702656","Catalog Record")</f>
        <v/>
      </c>
      <c r="AT701">
        <f>HYPERLINK("http://www.worldcat.org/oclc/294886676","WorldCat Record")</f>
        <v/>
      </c>
      <c r="AU701" t="inlineStr">
        <is>
          <t>793223345:eng</t>
        </is>
      </c>
      <c r="AV701" t="inlineStr">
        <is>
          <t>294886676</t>
        </is>
      </c>
      <c r="AW701" t="inlineStr">
        <is>
          <t>991005343489702656</t>
        </is>
      </c>
      <c r="AX701" t="inlineStr">
        <is>
          <t>991005343489702656</t>
        </is>
      </c>
      <c r="AY701" t="inlineStr">
        <is>
          <t>2259006110002656</t>
        </is>
      </c>
      <c r="AZ701" t="inlineStr">
        <is>
          <t>BOOK</t>
        </is>
      </c>
      <c r="BB701" t="inlineStr">
        <is>
          <t>9780199547807</t>
        </is>
      </c>
      <c r="BC701" t="inlineStr">
        <is>
          <t>32285005556583</t>
        </is>
      </c>
      <c r="BD701" t="inlineStr">
        <is>
          <t>893613544</t>
        </is>
      </c>
    </row>
    <row r="702">
      <c r="A702" t="inlineStr">
        <is>
          <t>No</t>
        </is>
      </c>
      <c r="B702" t="inlineStr">
        <is>
          <t>HM495 .P56 2006</t>
        </is>
      </c>
      <c r="C702" t="inlineStr">
        <is>
          <t>0                      HM 0495000P  56          2006</t>
        </is>
      </c>
      <c r="D702" t="inlineStr">
        <is>
          <t>Rational choice and democratic deliberation : a theory of discourse failure / Guido Pincione, Fernando R. Tesón.</t>
        </is>
      </c>
      <c r="F702" t="inlineStr">
        <is>
          <t>No</t>
        </is>
      </c>
      <c r="G702" t="inlineStr">
        <is>
          <t>1</t>
        </is>
      </c>
      <c r="H702" t="inlineStr">
        <is>
          <t>No</t>
        </is>
      </c>
      <c r="I702" t="inlineStr">
        <is>
          <t>No</t>
        </is>
      </c>
      <c r="J702" t="inlineStr">
        <is>
          <t>0</t>
        </is>
      </c>
      <c r="K702" t="inlineStr">
        <is>
          <t>Pincione, Guido.</t>
        </is>
      </c>
      <c r="L702" t="inlineStr">
        <is>
          <t>Cambridge ; New York : Cambridge University Press, 2006.</t>
        </is>
      </c>
      <c r="M702" t="inlineStr">
        <is>
          <t>2006</t>
        </is>
      </c>
      <c r="O702" t="inlineStr">
        <is>
          <t>eng</t>
        </is>
      </c>
      <c r="P702" t="inlineStr">
        <is>
          <t>enk</t>
        </is>
      </c>
      <c r="R702" t="inlineStr">
        <is>
          <t xml:space="preserve">HM </t>
        </is>
      </c>
      <c r="S702" t="n">
        <v>4</v>
      </c>
      <c r="T702" t="n">
        <v>4</v>
      </c>
      <c r="U702" t="inlineStr">
        <is>
          <t>2010-04-27</t>
        </is>
      </c>
      <c r="V702" t="inlineStr">
        <is>
          <t>2010-04-27</t>
        </is>
      </c>
      <c r="W702" t="inlineStr">
        <is>
          <t>2007-10-24</t>
        </is>
      </c>
      <c r="X702" t="inlineStr">
        <is>
          <t>2007-10-24</t>
        </is>
      </c>
      <c r="Y702" t="n">
        <v>243</v>
      </c>
      <c r="Z702" t="n">
        <v>173</v>
      </c>
      <c r="AA702" t="n">
        <v>184</v>
      </c>
      <c r="AB702" t="n">
        <v>1</v>
      </c>
      <c r="AC702" t="n">
        <v>1</v>
      </c>
      <c r="AD702" t="n">
        <v>9</v>
      </c>
      <c r="AE702" t="n">
        <v>9</v>
      </c>
      <c r="AF702" t="n">
        <v>2</v>
      </c>
      <c r="AG702" t="n">
        <v>2</v>
      </c>
      <c r="AH702" t="n">
        <v>4</v>
      </c>
      <c r="AI702" t="n">
        <v>4</v>
      </c>
      <c r="AJ702" t="n">
        <v>6</v>
      </c>
      <c r="AK702" t="n">
        <v>6</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HYPERLINK("https://creighton-primo.hosted.exlibrisgroup.com/primo-explore/search?tab=default_tab&amp;search_scope=EVERYTHING&amp;vid=01CRU&amp;lang=en_US&amp;offset=0&amp;query=any,contains,991005112019702656","Catalog Record")</f>
        <v/>
      </c>
      <c r="AT702">
        <f>HYPERLINK("http://www.worldcat.org/oclc/62330591","WorldCat Record")</f>
        <v/>
      </c>
      <c r="AU702" t="inlineStr">
        <is>
          <t>795527217:eng</t>
        </is>
      </c>
      <c r="AV702" t="inlineStr">
        <is>
          <t>62330591</t>
        </is>
      </c>
      <c r="AW702" t="inlineStr">
        <is>
          <t>991005112019702656</t>
        </is>
      </c>
      <c r="AX702" t="inlineStr">
        <is>
          <t>991005112019702656</t>
        </is>
      </c>
      <c r="AY702" t="inlineStr">
        <is>
          <t>2260248080002656</t>
        </is>
      </c>
      <c r="AZ702" t="inlineStr">
        <is>
          <t>BOOK</t>
        </is>
      </c>
      <c r="BB702" t="inlineStr">
        <is>
          <t>9780521862691</t>
        </is>
      </c>
      <c r="BC702" t="inlineStr">
        <is>
          <t>32285005360499</t>
        </is>
      </c>
      <c r="BD702" t="inlineStr">
        <is>
          <t>893260565</t>
        </is>
      </c>
    </row>
    <row r="703">
      <c r="A703" t="inlineStr">
        <is>
          <t>No</t>
        </is>
      </c>
      <c r="B703" t="inlineStr">
        <is>
          <t>HM51 .B364 2001</t>
        </is>
      </c>
      <c r="C703" t="inlineStr">
        <is>
          <t>0                      HM 0051000B  364         2001</t>
        </is>
      </c>
      <c r="D703" t="inlineStr">
        <is>
          <t>Thinking sociologically / Zygmunt Bauman and Tim May.</t>
        </is>
      </c>
      <c r="F703" t="inlineStr">
        <is>
          <t>No</t>
        </is>
      </c>
      <c r="G703" t="inlineStr">
        <is>
          <t>1</t>
        </is>
      </c>
      <c r="H703" t="inlineStr">
        <is>
          <t>No</t>
        </is>
      </c>
      <c r="I703" t="inlineStr">
        <is>
          <t>No</t>
        </is>
      </c>
      <c r="J703" t="inlineStr">
        <is>
          <t>0</t>
        </is>
      </c>
      <c r="K703" t="inlineStr">
        <is>
          <t>Bauman, Zygmunt, 1925-2017.</t>
        </is>
      </c>
      <c r="L703" t="inlineStr">
        <is>
          <t>Oxford ; Malden, Mass. : Blackwell Publishers, 2001.</t>
        </is>
      </c>
      <c r="M703" t="inlineStr">
        <is>
          <t>2001</t>
        </is>
      </c>
      <c r="N703" t="inlineStr">
        <is>
          <t>2nd ed.</t>
        </is>
      </c>
      <c r="O703" t="inlineStr">
        <is>
          <t>eng</t>
        </is>
      </c>
      <c r="P703" t="inlineStr">
        <is>
          <t>enk</t>
        </is>
      </c>
      <c r="R703" t="inlineStr">
        <is>
          <t xml:space="preserve">HM </t>
        </is>
      </c>
      <c r="S703" t="n">
        <v>1</v>
      </c>
      <c r="T703" t="n">
        <v>1</v>
      </c>
      <c r="U703" t="inlineStr">
        <is>
          <t>2002-07-15</t>
        </is>
      </c>
      <c r="V703" t="inlineStr">
        <is>
          <t>2002-07-15</t>
        </is>
      </c>
      <c r="W703" t="inlineStr">
        <is>
          <t>2002-07-10</t>
        </is>
      </c>
      <c r="X703" t="inlineStr">
        <is>
          <t>2002-07-10</t>
        </is>
      </c>
      <c r="Y703" t="n">
        <v>562</v>
      </c>
      <c r="Z703" t="n">
        <v>361</v>
      </c>
      <c r="AA703" t="n">
        <v>688</v>
      </c>
      <c r="AB703" t="n">
        <v>4</v>
      </c>
      <c r="AC703" t="n">
        <v>6</v>
      </c>
      <c r="AD703" t="n">
        <v>19</v>
      </c>
      <c r="AE703" t="n">
        <v>31</v>
      </c>
      <c r="AF703" t="n">
        <v>8</v>
      </c>
      <c r="AG703" t="n">
        <v>10</v>
      </c>
      <c r="AH703" t="n">
        <v>5</v>
      </c>
      <c r="AI703" t="n">
        <v>8</v>
      </c>
      <c r="AJ703" t="n">
        <v>8</v>
      </c>
      <c r="AK703" t="n">
        <v>13</v>
      </c>
      <c r="AL703" t="n">
        <v>3</v>
      </c>
      <c r="AM703" t="n">
        <v>5</v>
      </c>
      <c r="AN703" t="n">
        <v>0</v>
      </c>
      <c r="AO703" t="n">
        <v>1</v>
      </c>
      <c r="AP703" t="inlineStr">
        <is>
          <t>No</t>
        </is>
      </c>
      <c r="AQ703" t="inlineStr">
        <is>
          <t>No</t>
        </is>
      </c>
      <c r="AS703">
        <f>HYPERLINK("https://creighton-primo.hosted.exlibrisgroup.com/primo-explore/search?tab=default_tab&amp;search_scope=EVERYTHING&amp;vid=01CRU&amp;lang=en_US&amp;offset=0&amp;query=any,contains,991003819249702656","Catalog Record")</f>
        <v/>
      </c>
      <c r="AT703">
        <f>HYPERLINK("http://www.worldcat.org/oclc/45610145","WorldCat Record")</f>
        <v/>
      </c>
      <c r="AU703" t="inlineStr">
        <is>
          <t>9381533170:eng</t>
        </is>
      </c>
      <c r="AV703" t="inlineStr">
        <is>
          <t>45610145</t>
        </is>
      </c>
      <c r="AW703" t="inlineStr">
        <is>
          <t>991003819249702656</t>
        </is>
      </c>
      <c r="AX703" t="inlineStr">
        <is>
          <t>991003819249702656</t>
        </is>
      </c>
      <c r="AY703" t="inlineStr">
        <is>
          <t>2260333860002656</t>
        </is>
      </c>
      <c r="AZ703" t="inlineStr">
        <is>
          <t>BOOK</t>
        </is>
      </c>
      <c r="BB703" t="inlineStr">
        <is>
          <t>9780631219286</t>
        </is>
      </c>
      <c r="BC703" t="inlineStr">
        <is>
          <t>32285004496914</t>
        </is>
      </c>
      <c r="BD703" t="inlineStr">
        <is>
          <t>893599010</t>
        </is>
      </c>
    </row>
    <row r="704">
      <c r="A704" t="inlineStr">
        <is>
          <t>No</t>
        </is>
      </c>
      <c r="B704" t="inlineStr">
        <is>
          <t>HM51 .B45 1963</t>
        </is>
      </c>
      <c r="C704" t="inlineStr">
        <is>
          <t>0                      HM 0051000B  45          1963</t>
        </is>
      </c>
      <c r="D704" t="inlineStr">
        <is>
          <t>Invitation to sociology : a humanistic perspective / Peter L. Berger.</t>
        </is>
      </c>
      <c r="F704" t="inlineStr">
        <is>
          <t>No</t>
        </is>
      </c>
      <c r="G704" t="inlineStr">
        <is>
          <t>1</t>
        </is>
      </c>
      <c r="H704" t="inlineStr">
        <is>
          <t>No</t>
        </is>
      </c>
      <c r="I704" t="inlineStr">
        <is>
          <t>No</t>
        </is>
      </c>
      <c r="J704" t="inlineStr">
        <is>
          <t>0</t>
        </is>
      </c>
      <c r="K704" t="inlineStr">
        <is>
          <t>Berger, Peter L., 1929-2017.</t>
        </is>
      </c>
      <c r="L704" t="inlineStr">
        <is>
          <t>New York : Doubleday, 1963.</t>
        </is>
      </c>
      <c r="M704" t="inlineStr">
        <is>
          <t>1963</t>
        </is>
      </c>
      <c r="N704" t="inlineStr">
        <is>
          <t>[1st ed.]</t>
        </is>
      </c>
      <c r="O704" t="inlineStr">
        <is>
          <t>eng</t>
        </is>
      </c>
      <c r="P704" t="inlineStr">
        <is>
          <t>nyu</t>
        </is>
      </c>
      <c r="Q704" t="inlineStr">
        <is>
          <t>Anchor Books</t>
        </is>
      </c>
      <c r="R704" t="inlineStr">
        <is>
          <t xml:space="preserve">HM </t>
        </is>
      </c>
      <c r="S704" t="n">
        <v>3</v>
      </c>
      <c r="T704" t="n">
        <v>3</v>
      </c>
      <c r="U704" t="inlineStr">
        <is>
          <t>2003-06-27</t>
        </is>
      </c>
      <c r="V704" t="inlineStr">
        <is>
          <t>2003-06-27</t>
        </is>
      </c>
      <c r="W704" t="inlineStr">
        <is>
          <t>1998-04-07</t>
        </is>
      </c>
      <c r="X704" t="inlineStr">
        <is>
          <t>1998-04-07</t>
        </is>
      </c>
      <c r="Y704" t="n">
        <v>1323</v>
      </c>
      <c r="Z704" t="n">
        <v>1156</v>
      </c>
      <c r="AA704" t="n">
        <v>1313</v>
      </c>
      <c r="AB704" t="n">
        <v>11</v>
      </c>
      <c r="AC704" t="n">
        <v>12</v>
      </c>
      <c r="AD704" t="n">
        <v>45</v>
      </c>
      <c r="AE704" t="n">
        <v>47</v>
      </c>
      <c r="AF704" t="n">
        <v>17</v>
      </c>
      <c r="AG704" t="n">
        <v>17</v>
      </c>
      <c r="AH704" t="n">
        <v>9</v>
      </c>
      <c r="AI704" t="n">
        <v>10</v>
      </c>
      <c r="AJ704" t="n">
        <v>19</v>
      </c>
      <c r="AK704" t="n">
        <v>19</v>
      </c>
      <c r="AL704" t="n">
        <v>10</v>
      </c>
      <c r="AM704" t="n">
        <v>11</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HYPERLINK("https://creighton-primo.hosted.exlibrisgroup.com/primo-explore/search?tab=default_tab&amp;search_scope=EVERYTHING&amp;vid=01CRU&amp;lang=en_US&amp;offset=0&amp;query=any,contains,991001970139702656","Catalog Record")</f>
        <v/>
      </c>
      <c r="AT704">
        <f>HYPERLINK("http://www.worldcat.org/oclc/253935","WorldCat Record")</f>
        <v/>
      </c>
      <c r="AU704" t="inlineStr">
        <is>
          <t>197859361:eng</t>
        </is>
      </c>
      <c r="AV704" t="inlineStr">
        <is>
          <t>253935</t>
        </is>
      </c>
      <c r="AW704" t="inlineStr">
        <is>
          <t>991001970139702656</t>
        </is>
      </c>
      <c r="AX704" t="inlineStr">
        <is>
          <t>991001970139702656</t>
        </is>
      </c>
      <c r="AY704" t="inlineStr">
        <is>
          <t>2267158350002656</t>
        </is>
      </c>
      <c r="AZ704" t="inlineStr">
        <is>
          <t>BOOK</t>
        </is>
      </c>
      <c r="BC704" t="inlineStr">
        <is>
          <t>32285003383584</t>
        </is>
      </c>
      <c r="BD704" t="inlineStr">
        <is>
          <t>893709716</t>
        </is>
      </c>
    </row>
    <row r="705">
      <c r="A705" t="inlineStr">
        <is>
          <t>No</t>
        </is>
      </c>
      <c r="B705" t="inlineStr">
        <is>
          <t>HM51 .B452 1975</t>
        </is>
      </c>
      <c r="C705" t="inlineStr">
        <is>
          <t>0                      HM 0051000B  452         1975</t>
        </is>
      </c>
      <c r="D705" t="inlineStr">
        <is>
          <t>Sociology : a biographical approach / Peter L. Berger &amp; Brigitte Berger ; drawings by Robert Binks.</t>
        </is>
      </c>
      <c r="F705" t="inlineStr">
        <is>
          <t>No</t>
        </is>
      </c>
      <c r="G705" t="inlineStr">
        <is>
          <t>1</t>
        </is>
      </c>
      <c r="H705" t="inlineStr">
        <is>
          <t>No</t>
        </is>
      </c>
      <c r="I705" t="inlineStr">
        <is>
          <t>No</t>
        </is>
      </c>
      <c r="J705" t="inlineStr">
        <is>
          <t>0</t>
        </is>
      </c>
      <c r="K705" t="inlineStr">
        <is>
          <t>Berger, Peter L., 1929-2017.</t>
        </is>
      </c>
      <c r="L705" t="inlineStr">
        <is>
          <t>New York : Basic Books, [1975]</t>
        </is>
      </c>
      <c r="M705" t="inlineStr">
        <is>
          <t>1975</t>
        </is>
      </c>
      <c r="N705" t="inlineStr">
        <is>
          <t>2d expanded ed.</t>
        </is>
      </c>
      <c r="O705" t="inlineStr">
        <is>
          <t>eng</t>
        </is>
      </c>
      <c r="P705" t="inlineStr">
        <is>
          <t>nyu</t>
        </is>
      </c>
      <c r="R705" t="inlineStr">
        <is>
          <t xml:space="preserve">HM </t>
        </is>
      </c>
      <c r="S705" t="n">
        <v>4</v>
      </c>
      <c r="T705" t="n">
        <v>4</v>
      </c>
      <c r="U705" t="inlineStr">
        <is>
          <t>2003-06-27</t>
        </is>
      </c>
      <c r="V705" t="inlineStr">
        <is>
          <t>2003-06-27</t>
        </is>
      </c>
      <c r="W705" t="inlineStr">
        <is>
          <t>1992-08-13</t>
        </is>
      </c>
      <c r="X705" t="inlineStr">
        <is>
          <t>1992-08-13</t>
        </is>
      </c>
      <c r="Y705" t="n">
        <v>360</v>
      </c>
      <c r="Z705" t="n">
        <v>202</v>
      </c>
      <c r="AA705" t="n">
        <v>503</v>
      </c>
      <c r="AB705" t="n">
        <v>3</v>
      </c>
      <c r="AC705" t="n">
        <v>6</v>
      </c>
      <c r="AD705" t="n">
        <v>8</v>
      </c>
      <c r="AE705" t="n">
        <v>22</v>
      </c>
      <c r="AF705" t="n">
        <v>1</v>
      </c>
      <c r="AG705" t="n">
        <v>9</v>
      </c>
      <c r="AH705" t="n">
        <v>1</v>
      </c>
      <c r="AI705" t="n">
        <v>4</v>
      </c>
      <c r="AJ705" t="n">
        <v>5</v>
      </c>
      <c r="AK705" t="n">
        <v>8</v>
      </c>
      <c r="AL705" t="n">
        <v>2</v>
      </c>
      <c r="AM705" t="n">
        <v>5</v>
      </c>
      <c r="AN705" t="n">
        <v>0</v>
      </c>
      <c r="AO705" t="n">
        <v>0</v>
      </c>
      <c r="AP705" t="inlineStr">
        <is>
          <t>No</t>
        </is>
      </c>
      <c r="AQ705" t="inlineStr">
        <is>
          <t>Yes</t>
        </is>
      </c>
      <c r="AR705">
        <f>HYPERLINK("http://catalog.hathitrust.org/Record/000031238","HathiTrust Record")</f>
        <v/>
      </c>
      <c r="AS705">
        <f>HYPERLINK("https://creighton-primo.hosted.exlibrisgroup.com/primo-explore/search?tab=default_tab&amp;search_scope=EVERYTHING&amp;vid=01CRU&amp;lang=en_US&amp;offset=0&amp;query=any,contains,991003532759702656","Catalog Record")</f>
        <v/>
      </c>
      <c r="AT705">
        <f>HYPERLINK("http://www.worldcat.org/oclc/1095013","WorldCat Record")</f>
        <v/>
      </c>
      <c r="AU705" t="inlineStr">
        <is>
          <t>231040036:eng</t>
        </is>
      </c>
      <c r="AV705" t="inlineStr">
        <is>
          <t>1095013</t>
        </is>
      </c>
      <c r="AW705" t="inlineStr">
        <is>
          <t>991003532759702656</t>
        </is>
      </c>
      <c r="AX705" t="inlineStr">
        <is>
          <t>991003532759702656</t>
        </is>
      </c>
      <c r="AY705" t="inlineStr">
        <is>
          <t>2268070090002656</t>
        </is>
      </c>
      <c r="AZ705" t="inlineStr">
        <is>
          <t>BOOK</t>
        </is>
      </c>
      <c r="BB705" t="inlineStr">
        <is>
          <t>9780465079858</t>
        </is>
      </c>
      <c r="BC705" t="inlineStr">
        <is>
          <t>32285001194710</t>
        </is>
      </c>
      <c r="BD705" t="inlineStr">
        <is>
          <t>893505669</t>
        </is>
      </c>
    </row>
    <row r="706">
      <c r="A706" t="inlineStr">
        <is>
          <t>No</t>
        </is>
      </c>
      <c r="B706" t="inlineStr">
        <is>
          <t>HM51 .B678 1990</t>
        </is>
      </c>
      <c r="C706" t="inlineStr">
        <is>
          <t>0                      HM 0051000B  678         1990</t>
        </is>
      </c>
      <c r="D706" t="inlineStr">
        <is>
          <t>In other words : essays towards a reflexive sociology / Pierre Bourdieu ; translated by Matthew Adamson.</t>
        </is>
      </c>
      <c r="F706" t="inlineStr">
        <is>
          <t>No</t>
        </is>
      </c>
      <c r="G706" t="inlineStr">
        <is>
          <t>1</t>
        </is>
      </c>
      <c r="H706" t="inlineStr">
        <is>
          <t>No</t>
        </is>
      </c>
      <c r="I706" t="inlineStr">
        <is>
          <t>No</t>
        </is>
      </c>
      <c r="J706" t="inlineStr">
        <is>
          <t>0</t>
        </is>
      </c>
      <c r="K706" t="inlineStr">
        <is>
          <t>Bourdieu, Pierre, 1930-2002.</t>
        </is>
      </c>
      <c r="L706" t="inlineStr">
        <is>
          <t>Stanford, CA : Stanford University Press, 1990.</t>
        </is>
      </c>
      <c r="M706" t="inlineStr">
        <is>
          <t>1990</t>
        </is>
      </c>
      <c r="O706" t="inlineStr">
        <is>
          <t>eng</t>
        </is>
      </c>
      <c r="P706" t="inlineStr">
        <is>
          <t>cau</t>
        </is>
      </c>
      <c r="R706" t="inlineStr">
        <is>
          <t xml:space="preserve">HM </t>
        </is>
      </c>
      <c r="S706" t="n">
        <v>8</v>
      </c>
      <c r="T706" t="n">
        <v>8</v>
      </c>
      <c r="U706" t="inlineStr">
        <is>
          <t>2006-02-22</t>
        </is>
      </c>
      <c r="V706" t="inlineStr">
        <is>
          <t>2006-02-22</t>
        </is>
      </c>
      <c r="W706" t="inlineStr">
        <is>
          <t>1991-02-22</t>
        </is>
      </c>
      <c r="X706" t="inlineStr">
        <is>
          <t>1991-02-22</t>
        </is>
      </c>
      <c r="Y706" t="n">
        <v>411</v>
      </c>
      <c r="Z706" t="n">
        <v>295</v>
      </c>
      <c r="AA706" t="n">
        <v>328</v>
      </c>
      <c r="AB706" t="n">
        <v>1</v>
      </c>
      <c r="AC706" t="n">
        <v>2</v>
      </c>
      <c r="AD706" t="n">
        <v>19</v>
      </c>
      <c r="AE706" t="n">
        <v>21</v>
      </c>
      <c r="AF706" t="n">
        <v>5</v>
      </c>
      <c r="AG706" t="n">
        <v>6</v>
      </c>
      <c r="AH706" t="n">
        <v>6</v>
      </c>
      <c r="AI706" t="n">
        <v>7</v>
      </c>
      <c r="AJ706" t="n">
        <v>12</v>
      </c>
      <c r="AK706" t="n">
        <v>12</v>
      </c>
      <c r="AL706" t="n">
        <v>0</v>
      </c>
      <c r="AM706" t="n">
        <v>1</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HYPERLINK("https://creighton-primo.hosted.exlibrisgroup.com/primo-explore/search?tab=default_tab&amp;search_scope=EVERYTHING&amp;vid=01CRU&amp;lang=en_US&amp;offset=0&amp;query=any,contains,991001777849702656","Catalog Record")</f>
        <v/>
      </c>
      <c r="AT706">
        <f>HYPERLINK("http://www.worldcat.org/oclc/22432801","WorldCat Record")</f>
        <v/>
      </c>
      <c r="AU706" t="inlineStr">
        <is>
          <t>57740584:eng</t>
        </is>
      </c>
      <c r="AV706" t="inlineStr">
        <is>
          <t>22432801</t>
        </is>
      </c>
      <c r="AW706" t="inlineStr">
        <is>
          <t>991001777849702656</t>
        </is>
      </c>
      <c r="AX706" t="inlineStr">
        <is>
          <t>991001777849702656</t>
        </is>
      </c>
      <c r="AY706" t="inlineStr">
        <is>
          <t>2262804250002656</t>
        </is>
      </c>
      <c r="AZ706" t="inlineStr">
        <is>
          <t>BOOK</t>
        </is>
      </c>
      <c r="BB706" t="inlineStr">
        <is>
          <t>9780804717250</t>
        </is>
      </c>
      <c r="BC706" t="inlineStr">
        <is>
          <t>32285000491018</t>
        </is>
      </c>
      <c r="BD706" t="inlineStr">
        <is>
          <t>893346768</t>
        </is>
      </c>
    </row>
    <row r="707">
      <c r="A707" t="inlineStr">
        <is>
          <t>No</t>
        </is>
      </c>
      <c r="B707" t="inlineStr">
        <is>
          <t>HM51 .B96 1982</t>
        </is>
      </c>
      <c r="C707" t="inlineStr">
        <is>
          <t>0                      HM 0051000B  96          1982</t>
        </is>
      </c>
      <c r="D707" t="inlineStr">
        <is>
          <t>Toward a structural theory of action : network models of social structure, perception, and action / Ronald S. Burt.</t>
        </is>
      </c>
      <c r="F707" t="inlineStr">
        <is>
          <t>No</t>
        </is>
      </c>
      <c r="G707" t="inlineStr">
        <is>
          <t>1</t>
        </is>
      </c>
      <c r="H707" t="inlineStr">
        <is>
          <t>No</t>
        </is>
      </c>
      <c r="I707" t="inlineStr">
        <is>
          <t>No</t>
        </is>
      </c>
      <c r="J707" t="inlineStr">
        <is>
          <t>0</t>
        </is>
      </c>
      <c r="K707" t="inlineStr">
        <is>
          <t>Burt, Ronald S.</t>
        </is>
      </c>
      <c r="L707" t="inlineStr">
        <is>
          <t>New York : Academic Press, 1982.</t>
        </is>
      </c>
      <c r="M707" t="inlineStr">
        <is>
          <t>1982</t>
        </is>
      </c>
      <c r="O707" t="inlineStr">
        <is>
          <t>eng</t>
        </is>
      </c>
      <c r="P707" t="inlineStr">
        <is>
          <t>nyu</t>
        </is>
      </c>
      <c r="Q707" t="inlineStr">
        <is>
          <t>Quantitative studies in social relations</t>
        </is>
      </c>
      <c r="R707" t="inlineStr">
        <is>
          <t xml:space="preserve">HM </t>
        </is>
      </c>
      <c r="S707" t="n">
        <v>5</v>
      </c>
      <c r="T707" t="n">
        <v>5</v>
      </c>
      <c r="U707" t="inlineStr">
        <is>
          <t>1999-01-11</t>
        </is>
      </c>
      <c r="V707" t="inlineStr">
        <is>
          <t>1999-01-11</t>
        </is>
      </c>
      <c r="W707" t="inlineStr">
        <is>
          <t>1992-08-13</t>
        </is>
      </c>
      <c r="X707" t="inlineStr">
        <is>
          <t>1992-08-13</t>
        </is>
      </c>
      <c r="Y707" t="n">
        <v>375</v>
      </c>
      <c r="Z707" t="n">
        <v>253</v>
      </c>
      <c r="AA707" t="n">
        <v>281</v>
      </c>
      <c r="AB707" t="n">
        <v>3</v>
      </c>
      <c r="AC707" t="n">
        <v>3</v>
      </c>
      <c r="AD707" t="n">
        <v>9</v>
      </c>
      <c r="AE707" t="n">
        <v>12</v>
      </c>
      <c r="AF707" t="n">
        <v>1</v>
      </c>
      <c r="AG707" t="n">
        <v>3</v>
      </c>
      <c r="AH707" t="n">
        <v>2</v>
      </c>
      <c r="AI707" t="n">
        <v>4</v>
      </c>
      <c r="AJ707" t="n">
        <v>5</v>
      </c>
      <c r="AK707" t="n">
        <v>5</v>
      </c>
      <c r="AL707" t="n">
        <v>2</v>
      </c>
      <c r="AM707" t="n">
        <v>2</v>
      </c>
      <c r="AN707" t="n">
        <v>0</v>
      </c>
      <c r="AO707" t="n">
        <v>0</v>
      </c>
      <c r="AP707" t="inlineStr">
        <is>
          <t>No</t>
        </is>
      </c>
      <c r="AQ707" t="inlineStr">
        <is>
          <t>Yes</t>
        </is>
      </c>
      <c r="AR707">
        <f>HYPERLINK("http://catalog.hathitrust.org/Record/000189655","HathiTrust Record")</f>
        <v/>
      </c>
      <c r="AS707">
        <f>HYPERLINK("https://creighton-primo.hosted.exlibrisgroup.com/primo-explore/search?tab=default_tab&amp;search_scope=EVERYTHING&amp;vid=01CRU&amp;lang=en_US&amp;offset=0&amp;query=any,contains,991005239929702656","Catalog Record")</f>
        <v/>
      </c>
      <c r="AT707">
        <f>HYPERLINK("http://www.worldcat.org/oclc/8410166","WorldCat Record")</f>
        <v/>
      </c>
      <c r="AU707" t="inlineStr">
        <is>
          <t>807312530:eng</t>
        </is>
      </c>
      <c r="AV707" t="inlineStr">
        <is>
          <t>8410166</t>
        </is>
      </c>
      <c r="AW707" t="inlineStr">
        <is>
          <t>991005239929702656</t>
        </is>
      </c>
      <c r="AX707" t="inlineStr">
        <is>
          <t>991005239929702656</t>
        </is>
      </c>
      <c r="AY707" t="inlineStr">
        <is>
          <t>2259162360002656</t>
        </is>
      </c>
      <c r="AZ707" t="inlineStr">
        <is>
          <t>BOOK</t>
        </is>
      </c>
      <c r="BB707" t="inlineStr">
        <is>
          <t>9780121471507</t>
        </is>
      </c>
      <c r="BC707" t="inlineStr">
        <is>
          <t>32285001194744</t>
        </is>
      </c>
      <c r="BD707" t="inlineStr">
        <is>
          <t>893320302</t>
        </is>
      </c>
    </row>
    <row r="708">
      <c r="A708" t="inlineStr">
        <is>
          <t>No</t>
        </is>
      </c>
      <c r="B708" t="inlineStr">
        <is>
          <t>HM51 .C25</t>
        </is>
      </c>
      <c r="C708" t="inlineStr">
        <is>
          <t>0                      HM 0051000C  25</t>
        </is>
      </c>
      <c r="D708" t="inlineStr">
        <is>
          <t>Sociology and history: theory and research. Werner J. Cahnman [and] Alvin Boskoff, editors.</t>
        </is>
      </c>
      <c r="F708" t="inlineStr">
        <is>
          <t>No</t>
        </is>
      </c>
      <c r="G708" t="inlineStr">
        <is>
          <t>1</t>
        </is>
      </c>
      <c r="H708" t="inlineStr">
        <is>
          <t>No</t>
        </is>
      </c>
      <c r="I708" t="inlineStr">
        <is>
          <t>No</t>
        </is>
      </c>
      <c r="J708" t="inlineStr">
        <is>
          <t>0</t>
        </is>
      </c>
      <c r="K708" t="inlineStr">
        <is>
          <t>Cahnman, Werner J. (Werner Jacob), 1902-1980, editor.</t>
        </is>
      </c>
      <c r="L708" t="inlineStr">
        <is>
          <t>[New York] Free Press of Glencoe [1964]</t>
        </is>
      </c>
      <c r="M708" t="inlineStr">
        <is>
          <t>1964</t>
        </is>
      </c>
      <c r="O708" t="inlineStr">
        <is>
          <t>eng</t>
        </is>
      </c>
      <c r="P708" t="inlineStr">
        <is>
          <t>nyu</t>
        </is>
      </c>
      <c r="R708" t="inlineStr">
        <is>
          <t xml:space="preserve">HM </t>
        </is>
      </c>
      <c r="S708" t="n">
        <v>3</v>
      </c>
      <c r="T708" t="n">
        <v>3</v>
      </c>
      <c r="U708" t="inlineStr">
        <is>
          <t>2003-04-11</t>
        </is>
      </c>
      <c r="V708" t="inlineStr">
        <is>
          <t>2003-04-11</t>
        </is>
      </c>
      <c r="W708" t="inlineStr">
        <is>
          <t>1997-07-28</t>
        </is>
      </c>
      <c r="X708" t="inlineStr">
        <is>
          <t>1997-07-28</t>
        </is>
      </c>
      <c r="Y708" t="n">
        <v>830</v>
      </c>
      <c r="Z708" t="n">
        <v>657</v>
      </c>
      <c r="AA708" t="n">
        <v>665</v>
      </c>
      <c r="AB708" t="n">
        <v>7</v>
      </c>
      <c r="AC708" t="n">
        <v>7</v>
      </c>
      <c r="AD708" t="n">
        <v>31</v>
      </c>
      <c r="AE708" t="n">
        <v>31</v>
      </c>
      <c r="AF708" t="n">
        <v>7</v>
      </c>
      <c r="AG708" t="n">
        <v>7</v>
      </c>
      <c r="AH708" t="n">
        <v>9</v>
      </c>
      <c r="AI708" t="n">
        <v>9</v>
      </c>
      <c r="AJ708" t="n">
        <v>18</v>
      </c>
      <c r="AK708" t="n">
        <v>18</v>
      </c>
      <c r="AL708" t="n">
        <v>5</v>
      </c>
      <c r="AM708" t="n">
        <v>5</v>
      </c>
      <c r="AN708" t="n">
        <v>0</v>
      </c>
      <c r="AO708" t="n">
        <v>0</v>
      </c>
      <c r="AP708" t="inlineStr">
        <is>
          <t>No</t>
        </is>
      </c>
      <c r="AQ708" t="inlineStr">
        <is>
          <t>Yes</t>
        </is>
      </c>
      <c r="AR708">
        <f>HYPERLINK("http://catalog.hathitrust.org/Record/001109149","HathiTrust Record")</f>
        <v/>
      </c>
      <c r="AS708">
        <f>HYPERLINK("https://creighton-primo.hosted.exlibrisgroup.com/primo-explore/search?tab=default_tab&amp;search_scope=EVERYTHING&amp;vid=01CRU&amp;lang=en_US&amp;offset=0&amp;query=any,contains,991003429799702656","Catalog Record")</f>
        <v/>
      </c>
      <c r="AT708">
        <f>HYPERLINK("http://www.worldcat.org/oclc/965308","WorldCat Record")</f>
        <v/>
      </c>
      <c r="AU708" t="inlineStr">
        <is>
          <t>370111407:eng</t>
        </is>
      </c>
      <c r="AV708" t="inlineStr">
        <is>
          <t>965308</t>
        </is>
      </c>
      <c r="AW708" t="inlineStr">
        <is>
          <t>991003429799702656</t>
        </is>
      </c>
      <c r="AX708" t="inlineStr">
        <is>
          <t>991003429799702656</t>
        </is>
      </c>
      <c r="AY708" t="inlineStr">
        <is>
          <t>2258310200002656</t>
        </is>
      </c>
      <c r="AZ708" t="inlineStr">
        <is>
          <t>BOOK</t>
        </is>
      </c>
      <c r="BC708" t="inlineStr">
        <is>
          <t>32285003008652</t>
        </is>
      </c>
      <c r="BD708" t="inlineStr">
        <is>
          <t>893428780</t>
        </is>
      </c>
    </row>
    <row r="709">
      <c r="A709" t="inlineStr">
        <is>
          <t>No</t>
        </is>
      </c>
      <c r="B709" t="inlineStr">
        <is>
          <t>HM51 .C278 1999</t>
        </is>
      </c>
      <c r="C709" t="inlineStr">
        <is>
          <t>0                      HM 0051000C  278         1999</t>
        </is>
      </c>
      <c r="D709" t="inlineStr">
        <is>
          <t>Social theory : a historical introduction / Alex Callinicos.</t>
        </is>
      </c>
      <c r="F709" t="inlineStr">
        <is>
          <t>No</t>
        </is>
      </c>
      <c r="G709" t="inlineStr">
        <is>
          <t>1</t>
        </is>
      </c>
      <c r="H709" t="inlineStr">
        <is>
          <t>No</t>
        </is>
      </c>
      <c r="I709" t="inlineStr">
        <is>
          <t>No</t>
        </is>
      </c>
      <c r="J709" t="inlineStr">
        <is>
          <t>0</t>
        </is>
      </c>
      <c r="K709" t="inlineStr">
        <is>
          <t>Callinicos, Alex.</t>
        </is>
      </c>
      <c r="L709" t="inlineStr">
        <is>
          <t>New York : New York University Press, 1999.</t>
        </is>
      </c>
      <c r="M709" t="inlineStr">
        <is>
          <t>1999</t>
        </is>
      </c>
      <c r="O709" t="inlineStr">
        <is>
          <t>eng</t>
        </is>
      </c>
      <c r="P709" t="inlineStr">
        <is>
          <t>nyu</t>
        </is>
      </c>
      <c r="R709" t="inlineStr">
        <is>
          <t xml:space="preserve">HM </t>
        </is>
      </c>
      <c r="S709" t="n">
        <v>3</v>
      </c>
      <c r="T709" t="n">
        <v>3</v>
      </c>
      <c r="U709" t="inlineStr">
        <is>
          <t>2004-04-13</t>
        </is>
      </c>
      <c r="V709" t="inlineStr">
        <is>
          <t>2004-04-13</t>
        </is>
      </c>
      <c r="W709" t="inlineStr">
        <is>
          <t>2000-01-18</t>
        </is>
      </c>
      <c r="X709" t="inlineStr">
        <is>
          <t>2000-01-18</t>
        </is>
      </c>
      <c r="Y709" t="n">
        <v>307</v>
      </c>
      <c r="Z709" t="n">
        <v>250</v>
      </c>
      <c r="AA709" t="n">
        <v>296</v>
      </c>
      <c r="AB709" t="n">
        <v>2</v>
      </c>
      <c r="AC709" t="n">
        <v>3</v>
      </c>
      <c r="AD709" t="n">
        <v>12</v>
      </c>
      <c r="AE709" t="n">
        <v>17</v>
      </c>
      <c r="AF709" t="n">
        <v>3</v>
      </c>
      <c r="AG709" t="n">
        <v>4</v>
      </c>
      <c r="AH709" t="n">
        <v>2</v>
      </c>
      <c r="AI709" t="n">
        <v>4</v>
      </c>
      <c r="AJ709" t="n">
        <v>8</v>
      </c>
      <c r="AK709" t="n">
        <v>10</v>
      </c>
      <c r="AL709" t="n">
        <v>1</v>
      </c>
      <c r="AM709" t="n">
        <v>2</v>
      </c>
      <c r="AN709" t="n">
        <v>1</v>
      </c>
      <c r="AO709" t="n">
        <v>1</v>
      </c>
      <c r="AP709" t="inlineStr">
        <is>
          <t>No</t>
        </is>
      </c>
      <c r="AQ709" t="inlineStr">
        <is>
          <t>No</t>
        </is>
      </c>
      <c r="AS709">
        <f>HYPERLINK("https://creighton-primo.hosted.exlibrisgroup.com/primo-explore/search?tab=default_tab&amp;search_scope=EVERYTHING&amp;vid=01CRU&amp;lang=en_US&amp;offset=0&amp;query=any,contains,991003007479702656","Catalog Record")</f>
        <v/>
      </c>
      <c r="AT709">
        <f>HYPERLINK("http://www.worldcat.org/oclc/40776712","WorldCat Record")</f>
        <v/>
      </c>
      <c r="AU709" t="inlineStr">
        <is>
          <t>25671299:eng</t>
        </is>
      </c>
      <c r="AV709" t="inlineStr">
        <is>
          <t>40776712</t>
        </is>
      </c>
      <c r="AW709" t="inlineStr">
        <is>
          <t>991003007479702656</t>
        </is>
      </c>
      <c r="AX709" t="inlineStr">
        <is>
          <t>991003007479702656</t>
        </is>
      </c>
      <c r="AY709" t="inlineStr">
        <is>
          <t>2259382800002656</t>
        </is>
      </c>
      <c r="AZ709" t="inlineStr">
        <is>
          <t>BOOK</t>
        </is>
      </c>
      <c r="BB709" t="inlineStr">
        <is>
          <t>9780814715932</t>
        </is>
      </c>
      <c r="BC709" t="inlineStr">
        <is>
          <t>32285003642773</t>
        </is>
      </c>
      <c r="BD709" t="inlineStr">
        <is>
          <t>893598158</t>
        </is>
      </c>
    </row>
    <row r="710">
      <c r="A710" t="inlineStr">
        <is>
          <t>No</t>
        </is>
      </c>
      <c r="B710" t="inlineStr">
        <is>
          <t>HM51 .C415 1988</t>
        </is>
      </c>
      <c r="C710" t="inlineStr">
        <is>
          <t>0                      HM 0051000C  415         1988</t>
        </is>
      </c>
      <c r="D710" t="inlineStr">
        <is>
          <t>Understanding people and social life : introduction to sociology / H. Paul Chalfant, Emily LaBeff.</t>
        </is>
      </c>
      <c r="F710" t="inlineStr">
        <is>
          <t>No</t>
        </is>
      </c>
      <c r="G710" t="inlineStr">
        <is>
          <t>1</t>
        </is>
      </c>
      <c r="H710" t="inlineStr">
        <is>
          <t>No</t>
        </is>
      </c>
      <c r="I710" t="inlineStr">
        <is>
          <t>No</t>
        </is>
      </c>
      <c r="J710" t="inlineStr">
        <is>
          <t>0</t>
        </is>
      </c>
      <c r="K710" t="inlineStr">
        <is>
          <t>Chalfant, H. Paul, 1929-</t>
        </is>
      </c>
      <c r="L710" t="inlineStr">
        <is>
          <t>St. Paul : West Pub. Co., c1988.</t>
        </is>
      </c>
      <c r="M710" t="inlineStr">
        <is>
          <t>1988</t>
        </is>
      </c>
      <c r="O710" t="inlineStr">
        <is>
          <t>eng</t>
        </is>
      </c>
      <c r="P710" t="inlineStr">
        <is>
          <t>mnu</t>
        </is>
      </c>
      <c r="R710" t="inlineStr">
        <is>
          <t xml:space="preserve">HM </t>
        </is>
      </c>
      <c r="S710" t="n">
        <v>7</v>
      </c>
      <c r="T710" t="n">
        <v>7</v>
      </c>
      <c r="U710" t="inlineStr">
        <is>
          <t>1996-11-10</t>
        </is>
      </c>
      <c r="V710" t="inlineStr">
        <is>
          <t>1996-11-10</t>
        </is>
      </c>
      <c r="W710" t="inlineStr">
        <is>
          <t>1993-08-09</t>
        </is>
      </c>
      <c r="X710" t="inlineStr">
        <is>
          <t>1993-08-09</t>
        </is>
      </c>
      <c r="Y710" t="n">
        <v>50</v>
      </c>
      <c r="Z710" t="n">
        <v>29</v>
      </c>
      <c r="AA710" t="n">
        <v>60</v>
      </c>
      <c r="AB710" t="n">
        <v>1</v>
      </c>
      <c r="AC710" t="n">
        <v>1</v>
      </c>
      <c r="AD710" t="n">
        <v>0</v>
      </c>
      <c r="AE710" t="n">
        <v>0</v>
      </c>
      <c r="AF710" t="n">
        <v>0</v>
      </c>
      <c r="AG710" t="n">
        <v>0</v>
      </c>
      <c r="AH710" t="n">
        <v>0</v>
      </c>
      <c r="AI710" t="n">
        <v>0</v>
      </c>
      <c r="AJ710" t="n">
        <v>0</v>
      </c>
      <c r="AK710" t="n">
        <v>0</v>
      </c>
      <c r="AL710" t="n">
        <v>0</v>
      </c>
      <c r="AM710" t="n">
        <v>0</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HYPERLINK("https://creighton-primo.hosted.exlibrisgroup.com/primo-explore/search?tab=default_tab&amp;search_scope=EVERYTHING&amp;vid=01CRU&amp;lang=en_US&amp;offset=0&amp;query=any,contains,991001173389702656","Catalog Record")</f>
        <v/>
      </c>
      <c r="AT710">
        <f>HYPERLINK("http://www.worldcat.org/oclc/16983986","WorldCat Record")</f>
        <v/>
      </c>
      <c r="AU710" t="inlineStr">
        <is>
          <t>13863408:eng</t>
        </is>
      </c>
      <c r="AV710" t="inlineStr">
        <is>
          <t>16983986</t>
        </is>
      </c>
      <c r="AW710" t="inlineStr">
        <is>
          <t>991001173389702656</t>
        </is>
      </c>
      <c r="AX710" t="inlineStr">
        <is>
          <t>991001173389702656</t>
        </is>
      </c>
      <c r="AY710" t="inlineStr">
        <is>
          <t>2255592090002656</t>
        </is>
      </c>
      <c r="AZ710" t="inlineStr">
        <is>
          <t>BOOK</t>
        </is>
      </c>
      <c r="BB710" t="inlineStr">
        <is>
          <t>9780314286031</t>
        </is>
      </c>
      <c r="BC710" t="inlineStr">
        <is>
          <t>32285001756005</t>
        </is>
      </c>
      <c r="BD710" t="inlineStr">
        <is>
          <t>893772375</t>
        </is>
      </c>
    </row>
    <row r="711">
      <c r="A711" t="inlineStr">
        <is>
          <t>No</t>
        </is>
      </c>
      <c r="B711" t="inlineStr">
        <is>
          <t>HM51 .D39 1973</t>
        </is>
      </c>
      <c r="C711" t="inlineStr">
        <is>
          <t>0                      HM 0051000D  39          1973</t>
        </is>
      </c>
      <c r="D711" t="inlineStr">
        <is>
          <t>Sociology : human society / [by] Melvin L. DeFleur, William V. D'Antonio [and] Lois B. DeFleur.</t>
        </is>
      </c>
      <c r="F711" t="inlineStr">
        <is>
          <t>No</t>
        </is>
      </c>
      <c r="G711" t="inlineStr">
        <is>
          <t>1</t>
        </is>
      </c>
      <c r="H711" t="inlineStr">
        <is>
          <t>No</t>
        </is>
      </c>
      <c r="I711" t="inlineStr">
        <is>
          <t>No</t>
        </is>
      </c>
      <c r="J711" t="inlineStr">
        <is>
          <t>0</t>
        </is>
      </c>
      <c r="K711" t="inlineStr">
        <is>
          <t>DeFleur, Melvin L. (Melvin Lawrence), 1923-2017.</t>
        </is>
      </c>
      <c r="L711" t="inlineStr">
        <is>
          <t>Glenview, Ill. : Scott, Foresman, [1973]</t>
        </is>
      </c>
      <c r="M711" t="inlineStr">
        <is>
          <t>1973</t>
        </is>
      </c>
      <c r="O711" t="inlineStr">
        <is>
          <t>eng</t>
        </is>
      </c>
      <c r="P711" t="inlineStr">
        <is>
          <t>ilu</t>
        </is>
      </c>
      <c r="R711" t="inlineStr">
        <is>
          <t xml:space="preserve">HM </t>
        </is>
      </c>
      <c r="S711" t="n">
        <v>6</v>
      </c>
      <c r="T711" t="n">
        <v>6</v>
      </c>
      <c r="U711" t="inlineStr">
        <is>
          <t>2003-06-27</t>
        </is>
      </c>
      <c r="V711" t="inlineStr">
        <is>
          <t>2003-06-27</t>
        </is>
      </c>
      <c r="W711" t="inlineStr">
        <is>
          <t>1990-02-23</t>
        </is>
      </c>
      <c r="X711" t="inlineStr">
        <is>
          <t>1990-02-23</t>
        </is>
      </c>
      <c r="Y711" t="n">
        <v>136</v>
      </c>
      <c r="Z711" t="n">
        <v>97</v>
      </c>
      <c r="AA711" t="n">
        <v>310</v>
      </c>
      <c r="AB711" t="n">
        <v>2</v>
      </c>
      <c r="AC711" t="n">
        <v>4</v>
      </c>
      <c r="AD711" t="n">
        <v>5</v>
      </c>
      <c r="AE711" t="n">
        <v>11</v>
      </c>
      <c r="AF711" t="n">
        <v>1</v>
      </c>
      <c r="AG711" t="n">
        <v>4</v>
      </c>
      <c r="AH711" t="n">
        <v>1</v>
      </c>
      <c r="AI711" t="n">
        <v>2</v>
      </c>
      <c r="AJ711" t="n">
        <v>3</v>
      </c>
      <c r="AK711" t="n">
        <v>4</v>
      </c>
      <c r="AL711" t="n">
        <v>1</v>
      </c>
      <c r="AM711" t="n">
        <v>2</v>
      </c>
      <c r="AN711" t="n">
        <v>0</v>
      </c>
      <c r="AO711" t="n">
        <v>0</v>
      </c>
      <c r="AP711" t="inlineStr">
        <is>
          <t>No</t>
        </is>
      </c>
      <c r="AQ711" t="inlineStr">
        <is>
          <t>Yes</t>
        </is>
      </c>
      <c r="AR711">
        <f>HYPERLINK("http://catalog.hathitrust.org/Record/000972643","HathiTrust Record")</f>
        <v/>
      </c>
      <c r="AS711">
        <f>HYPERLINK("https://creighton-primo.hosted.exlibrisgroup.com/primo-explore/search?tab=default_tab&amp;search_scope=EVERYTHING&amp;vid=01CRU&amp;lang=en_US&amp;offset=0&amp;query=any,contains,991003206319702656","Catalog Record")</f>
        <v/>
      </c>
      <c r="AT711">
        <f>HYPERLINK("http://www.worldcat.org/oclc/730923","WorldCat Record")</f>
        <v/>
      </c>
      <c r="AU711" t="inlineStr">
        <is>
          <t>1755918:eng</t>
        </is>
      </c>
      <c r="AV711" t="inlineStr">
        <is>
          <t>730923</t>
        </is>
      </c>
      <c r="AW711" t="inlineStr">
        <is>
          <t>991003206319702656</t>
        </is>
      </c>
      <c r="AX711" t="inlineStr">
        <is>
          <t>991003206319702656</t>
        </is>
      </c>
      <c r="AY711" t="inlineStr">
        <is>
          <t>2267117630002656</t>
        </is>
      </c>
      <c r="AZ711" t="inlineStr">
        <is>
          <t>BOOK</t>
        </is>
      </c>
      <c r="BB711" t="inlineStr">
        <is>
          <t>9780673079060</t>
        </is>
      </c>
      <c r="BC711" t="inlineStr">
        <is>
          <t>32285000061100</t>
        </is>
      </c>
      <c r="BD711" t="inlineStr">
        <is>
          <t>893868186</t>
        </is>
      </c>
    </row>
    <row r="712">
      <c r="A712" t="inlineStr">
        <is>
          <t>No</t>
        </is>
      </c>
      <c r="B712" t="inlineStr">
        <is>
          <t>HM51 .D65 1973</t>
        </is>
      </c>
      <c r="C712" t="inlineStr">
        <is>
          <t>0                      HM 0051000D  65          1973</t>
        </is>
      </c>
      <c r="D712" t="inlineStr">
        <is>
          <t>Introduction to sociology : situations and structures / by Jack D. Douglas ... [et al.]</t>
        </is>
      </c>
      <c r="F712" t="inlineStr">
        <is>
          <t>No</t>
        </is>
      </c>
      <c r="G712" t="inlineStr">
        <is>
          <t>1</t>
        </is>
      </c>
      <c r="H712" t="inlineStr">
        <is>
          <t>No</t>
        </is>
      </c>
      <c r="I712" t="inlineStr">
        <is>
          <t>No</t>
        </is>
      </c>
      <c r="J712" t="inlineStr">
        <is>
          <t>0</t>
        </is>
      </c>
      <c r="K712" t="inlineStr">
        <is>
          <t>Douglas, Jack D.</t>
        </is>
      </c>
      <c r="L712" t="inlineStr">
        <is>
          <t>New York : Free Press, [1973]</t>
        </is>
      </c>
      <c r="M712" t="inlineStr">
        <is>
          <t>1973</t>
        </is>
      </c>
      <c r="O712" t="inlineStr">
        <is>
          <t>eng</t>
        </is>
      </c>
      <c r="P712" t="inlineStr">
        <is>
          <t>nyu</t>
        </is>
      </c>
      <c r="R712" t="inlineStr">
        <is>
          <t xml:space="preserve">HM </t>
        </is>
      </c>
      <c r="S712" t="n">
        <v>2</v>
      </c>
      <c r="T712" t="n">
        <v>2</v>
      </c>
      <c r="U712" t="inlineStr">
        <is>
          <t>2003-06-27</t>
        </is>
      </c>
      <c r="V712" t="inlineStr">
        <is>
          <t>2003-06-27</t>
        </is>
      </c>
      <c r="W712" t="inlineStr">
        <is>
          <t>1992-08-13</t>
        </is>
      </c>
      <c r="X712" t="inlineStr">
        <is>
          <t>1992-08-13</t>
        </is>
      </c>
      <c r="Y712" t="n">
        <v>335</v>
      </c>
      <c r="Z712" t="n">
        <v>234</v>
      </c>
      <c r="AA712" t="n">
        <v>234</v>
      </c>
      <c r="AB712" t="n">
        <v>2</v>
      </c>
      <c r="AC712" t="n">
        <v>2</v>
      </c>
      <c r="AD712" t="n">
        <v>8</v>
      </c>
      <c r="AE712" t="n">
        <v>8</v>
      </c>
      <c r="AF712" t="n">
        <v>2</v>
      </c>
      <c r="AG712" t="n">
        <v>2</v>
      </c>
      <c r="AH712" t="n">
        <v>3</v>
      </c>
      <c r="AI712" t="n">
        <v>3</v>
      </c>
      <c r="AJ712" t="n">
        <v>3</v>
      </c>
      <c r="AK712" t="n">
        <v>3</v>
      </c>
      <c r="AL712" t="n">
        <v>1</v>
      </c>
      <c r="AM712" t="n">
        <v>1</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HYPERLINK("https://creighton-primo.hosted.exlibrisgroup.com/primo-explore/search?tab=default_tab&amp;search_scope=EVERYTHING&amp;vid=01CRU&amp;lang=en_US&amp;offset=0&amp;query=any,contains,991003056369702656","Catalog Record")</f>
        <v/>
      </c>
      <c r="AT712">
        <f>HYPERLINK("http://www.worldcat.org/oclc/614557","WorldCat Record")</f>
        <v/>
      </c>
      <c r="AU712" t="inlineStr">
        <is>
          <t>197492636:eng</t>
        </is>
      </c>
      <c r="AV712" t="inlineStr">
        <is>
          <t>614557</t>
        </is>
      </c>
      <c r="AW712" t="inlineStr">
        <is>
          <t>991003056369702656</t>
        </is>
      </c>
      <c r="AX712" t="inlineStr">
        <is>
          <t>991003056369702656</t>
        </is>
      </c>
      <c r="AY712" t="inlineStr">
        <is>
          <t>2270127920002656</t>
        </is>
      </c>
      <c r="AZ712" t="inlineStr">
        <is>
          <t>BOOK</t>
        </is>
      </c>
      <c r="BC712" t="inlineStr">
        <is>
          <t>32285001194793</t>
        </is>
      </c>
      <c r="BD712" t="inlineStr">
        <is>
          <t>893698637</t>
        </is>
      </c>
    </row>
    <row r="713">
      <c r="A713" t="inlineStr">
        <is>
          <t>No</t>
        </is>
      </c>
      <c r="B713" t="inlineStr">
        <is>
          <t>HM51 .D66</t>
        </is>
      </c>
      <c r="C713" t="inlineStr">
        <is>
          <t>0                      HM 0051000D  66</t>
        </is>
      </c>
      <c r="D713" t="inlineStr">
        <is>
          <t>Introduction to the sociologies of everyday life / Jack D. Douglas, with Patricia A. Adler ... [et al.].</t>
        </is>
      </c>
      <c r="F713" t="inlineStr">
        <is>
          <t>No</t>
        </is>
      </c>
      <c r="G713" t="inlineStr">
        <is>
          <t>1</t>
        </is>
      </c>
      <c r="H713" t="inlineStr">
        <is>
          <t>No</t>
        </is>
      </c>
      <c r="I713" t="inlineStr">
        <is>
          <t>No</t>
        </is>
      </c>
      <c r="J713" t="inlineStr">
        <is>
          <t>0</t>
        </is>
      </c>
      <c r="K713" t="inlineStr">
        <is>
          <t>Douglas, Jack D.</t>
        </is>
      </c>
      <c r="L713" t="inlineStr">
        <is>
          <t>Boston : Allyn and Bacon, c1980.</t>
        </is>
      </c>
      <c r="M713" t="inlineStr">
        <is>
          <t>1980</t>
        </is>
      </c>
      <c r="O713" t="inlineStr">
        <is>
          <t>eng</t>
        </is>
      </c>
      <c r="P713" t="inlineStr">
        <is>
          <t>mau</t>
        </is>
      </c>
      <c r="R713" t="inlineStr">
        <is>
          <t xml:space="preserve">HM </t>
        </is>
      </c>
      <c r="S713" t="n">
        <v>2</v>
      </c>
      <c r="T713" t="n">
        <v>2</v>
      </c>
      <c r="U713" t="inlineStr">
        <is>
          <t>2001-01-04</t>
        </is>
      </c>
      <c r="V713" t="inlineStr">
        <is>
          <t>2001-01-04</t>
        </is>
      </c>
      <c r="W713" t="inlineStr">
        <is>
          <t>1992-08-13</t>
        </is>
      </c>
      <c r="X713" t="inlineStr">
        <is>
          <t>1992-08-13</t>
        </is>
      </c>
      <c r="Y713" t="n">
        <v>278</v>
      </c>
      <c r="Z713" t="n">
        <v>216</v>
      </c>
      <c r="AA713" t="n">
        <v>221</v>
      </c>
      <c r="AB713" t="n">
        <v>3</v>
      </c>
      <c r="AC713" t="n">
        <v>3</v>
      </c>
      <c r="AD713" t="n">
        <v>8</v>
      </c>
      <c r="AE713" t="n">
        <v>8</v>
      </c>
      <c r="AF713" t="n">
        <v>2</v>
      </c>
      <c r="AG713" t="n">
        <v>2</v>
      </c>
      <c r="AH713" t="n">
        <v>1</v>
      </c>
      <c r="AI713" t="n">
        <v>1</v>
      </c>
      <c r="AJ713" t="n">
        <v>5</v>
      </c>
      <c r="AK713" t="n">
        <v>5</v>
      </c>
      <c r="AL713" t="n">
        <v>2</v>
      </c>
      <c r="AM713" t="n">
        <v>2</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HYPERLINK("https://creighton-primo.hosted.exlibrisgroup.com/primo-explore/search?tab=default_tab&amp;search_scope=EVERYTHING&amp;vid=01CRU&amp;lang=en_US&amp;offset=0&amp;query=any,contains,991004783039702656","Catalog Record")</f>
        <v/>
      </c>
      <c r="AT713">
        <f>HYPERLINK("http://www.worldcat.org/oclc/5126172","WorldCat Record")</f>
        <v/>
      </c>
      <c r="AU713" t="inlineStr">
        <is>
          <t>16531453:eng</t>
        </is>
      </c>
      <c r="AV713" t="inlineStr">
        <is>
          <t>5126172</t>
        </is>
      </c>
      <c r="AW713" t="inlineStr">
        <is>
          <t>991004783039702656</t>
        </is>
      </c>
      <c r="AX713" t="inlineStr">
        <is>
          <t>991004783039702656</t>
        </is>
      </c>
      <c r="AY713" t="inlineStr">
        <is>
          <t>2267885280002656</t>
        </is>
      </c>
      <c r="AZ713" t="inlineStr">
        <is>
          <t>BOOK</t>
        </is>
      </c>
      <c r="BB713" t="inlineStr">
        <is>
          <t>9780205068135</t>
        </is>
      </c>
      <c r="BC713" t="inlineStr">
        <is>
          <t>32285001194801</t>
        </is>
      </c>
      <c r="BD713" t="inlineStr">
        <is>
          <t>893594101</t>
        </is>
      </c>
    </row>
    <row r="714">
      <c r="A714" t="inlineStr">
        <is>
          <t>No</t>
        </is>
      </c>
      <c r="B714" t="inlineStr">
        <is>
          <t>HM51 .F27</t>
        </is>
      </c>
      <c r="C714" t="inlineStr">
        <is>
          <t>0                      HM 0051000F  27</t>
        </is>
      </c>
      <c r="D714" t="inlineStr">
        <is>
          <t>Social reality / edited by Harvey A. Farberman and Erich Goode. --</t>
        </is>
      </c>
      <c r="F714" t="inlineStr">
        <is>
          <t>No</t>
        </is>
      </c>
      <c r="G714" t="inlineStr">
        <is>
          <t>1</t>
        </is>
      </c>
      <c r="H714" t="inlineStr">
        <is>
          <t>No</t>
        </is>
      </c>
      <c r="I714" t="inlineStr">
        <is>
          <t>No</t>
        </is>
      </c>
      <c r="J714" t="inlineStr">
        <is>
          <t>0</t>
        </is>
      </c>
      <c r="K714" t="inlineStr">
        <is>
          <t>Farberman, Harvey A. compiler.</t>
        </is>
      </c>
      <c r="L714" t="inlineStr">
        <is>
          <t>Englewood Cliffs, N.J. : Prentice-Hall, [1973]</t>
        </is>
      </c>
      <c r="M714" t="inlineStr">
        <is>
          <t>1973</t>
        </is>
      </c>
      <c r="O714" t="inlineStr">
        <is>
          <t>eng</t>
        </is>
      </c>
      <c r="P714" t="inlineStr">
        <is>
          <t>nju</t>
        </is>
      </c>
      <c r="Q714" t="inlineStr">
        <is>
          <t>Prentice-Hall sociology series</t>
        </is>
      </c>
      <c r="R714" t="inlineStr">
        <is>
          <t xml:space="preserve">HM </t>
        </is>
      </c>
      <c r="S714" t="n">
        <v>3</v>
      </c>
      <c r="T714" t="n">
        <v>3</v>
      </c>
      <c r="U714" t="inlineStr">
        <is>
          <t>1994-09-16</t>
        </is>
      </c>
      <c r="V714" t="inlineStr">
        <is>
          <t>1994-09-16</t>
        </is>
      </c>
      <c r="W714" t="inlineStr">
        <is>
          <t>1990-03-28</t>
        </is>
      </c>
      <c r="X714" t="inlineStr">
        <is>
          <t>1990-03-28</t>
        </is>
      </c>
      <c r="Y714" t="n">
        <v>260</v>
      </c>
      <c r="Z714" t="n">
        <v>197</v>
      </c>
      <c r="AA714" t="n">
        <v>199</v>
      </c>
      <c r="AB714" t="n">
        <v>2</v>
      </c>
      <c r="AC714" t="n">
        <v>2</v>
      </c>
      <c r="AD714" t="n">
        <v>9</v>
      </c>
      <c r="AE714" t="n">
        <v>9</v>
      </c>
      <c r="AF714" t="n">
        <v>3</v>
      </c>
      <c r="AG714" t="n">
        <v>3</v>
      </c>
      <c r="AH714" t="n">
        <v>2</v>
      </c>
      <c r="AI714" t="n">
        <v>2</v>
      </c>
      <c r="AJ714" t="n">
        <v>6</v>
      </c>
      <c r="AK714" t="n">
        <v>6</v>
      </c>
      <c r="AL714" t="n">
        <v>1</v>
      </c>
      <c r="AM714" t="n">
        <v>1</v>
      </c>
      <c r="AN714" t="n">
        <v>0</v>
      </c>
      <c r="AO714" t="n">
        <v>0</v>
      </c>
      <c r="AP714" t="inlineStr">
        <is>
          <t>No</t>
        </is>
      </c>
      <c r="AQ714" t="inlineStr">
        <is>
          <t>Yes</t>
        </is>
      </c>
      <c r="AR714">
        <f>HYPERLINK("http://catalog.hathitrust.org/Record/000972652","HathiTrust Record")</f>
        <v/>
      </c>
      <c r="AS714">
        <f>HYPERLINK("https://creighton-primo.hosted.exlibrisgroup.com/primo-explore/search?tab=default_tab&amp;search_scope=EVERYTHING&amp;vid=01CRU&amp;lang=en_US&amp;offset=0&amp;query=any,contains,991002896479702656","Catalog Record")</f>
        <v/>
      </c>
      <c r="AT714">
        <f>HYPERLINK("http://www.worldcat.org/oclc/514543","WorldCat Record")</f>
        <v/>
      </c>
      <c r="AU714" t="inlineStr">
        <is>
          <t>1487311:eng</t>
        </is>
      </c>
      <c r="AV714" t="inlineStr">
        <is>
          <t>514543</t>
        </is>
      </c>
      <c r="AW714" t="inlineStr">
        <is>
          <t>991002896479702656</t>
        </is>
      </c>
      <c r="AX714" t="inlineStr">
        <is>
          <t>991002896479702656</t>
        </is>
      </c>
      <c r="AY714" t="inlineStr">
        <is>
          <t>2262118060002656</t>
        </is>
      </c>
      <c r="AZ714" t="inlineStr">
        <is>
          <t>BOOK</t>
        </is>
      </c>
      <c r="BB714" t="inlineStr">
        <is>
          <t>9780138182458</t>
        </is>
      </c>
      <c r="BC714" t="inlineStr">
        <is>
          <t>32285000099878</t>
        </is>
      </c>
      <c r="BD714" t="inlineStr">
        <is>
          <t>893524171</t>
        </is>
      </c>
    </row>
    <row r="715">
      <c r="A715" t="inlineStr">
        <is>
          <t>No</t>
        </is>
      </c>
      <c r="B715" t="inlineStr">
        <is>
          <t>HM51 .F559 1981, v...</t>
        </is>
      </c>
      <c r="C715" t="inlineStr">
        <is>
          <t>0                      HM 0051000F  559         1981                                        v...</t>
        </is>
      </c>
      <c r="D715" t="inlineStr">
        <is>
          <t>Sociology / Ronald Fletcher.</t>
        </is>
      </c>
      <c r="E715" t="inlineStr">
        <is>
          <t>V.2</t>
        </is>
      </c>
      <c r="F715" t="inlineStr">
        <is>
          <t>No</t>
        </is>
      </c>
      <c r="G715" t="inlineStr">
        <is>
          <t>1</t>
        </is>
      </c>
      <c r="H715" t="inlineStr">
        <is>
          <t>No</t>
        </is>
      </c>
      <c r="I715" t="inlineStr">
        <is>
          <t>No</t>
        </is>
      </c>
      <c r="J715" t="inlineStr">
        <is>
          <t>0</t>
        </is>
      </c>
      <c r="K715" t="inlineStr">
        <is>
          <t>Fletcher, Ronald, 1921-</t>
        </is>
      </c>
      <c r="L715" t="inlineStr">
        <is>
          <t>New York : Scribner, 1981-</t>
        </is>
      </c>
      <c r="M715" t="inlineStr">
        <is>
          <t>1981</t>
        </is>
      </c>
      <c r="N715" t="inlineStr">
        <is>
          <t>1st U.S. ed.</t>
        </is>
      </c>
      <c r="O715" t="inlineStr">
        <is>
          <t>eng</t>
        </is>
      </c>
      <c r="P715" t="inlineStr">
        <is>
          <t>nyu</t>
        </is>
      </c>
      <c r="R715" t="inlineStr">
        <is>
          <t xml:space="preserve">HM </t>
        </is>
      </c>
      <c r="S715" t="n">
        <v>3</v>
      </c>
      <c r="T715" t="n">
        <v>3</v>
      </c>
      <c r="U715" t="inlineStr">
        <is>
          <t>1998-09-10</t>
        </is>
      </c>
      <c r="V715" t="inlineStr">
        <is>
          <t>1998-09-10</t>
        </is>
      </c>
      <c r="W715" t="inlineStr">
        <is>
          <t>1992-08-13</t>
        </is>
      </c>
      <c r="X715" t="inlineStr">
        <is>
          <t>1992-08-13</t>
        </is>
      </c>
      <c r="Y715" t="n">
        <v>163</v>
      </c>
      <c r="Z715" t="n">
        <v>138</v>
      </c>
      <c r="AA715" t="n">
        <v>141</v>
      </c>
      <c r="AB715" t="n">
        <v>4</v>
      </c>
      <c r="AC715" t="n">
        <v>4</v>
      </c>
      <c r="AD715" t="n">
        <v>5</v>
      </c>
      <c r="AE715" t="n">
        <v>5</v>
      </c>
      <c r="AF715" t="n">
        <v>0</v>
      </c>
      <c r="AG715" t="n">
        <v>0</v>
      </c>
      <c r="AH715" t="n">
        <v>3</v>
      </c>
      <c r="AI715" t="n">
        <v>3</v>
      </c>
      <c r="AJ715" t="n">
        <v>1</v>
      </c>
      <c r="AK715" t="n">
        <v>1</v>
      </c>
      <c r="AL715" t="n">
        <v>2</v>
      </c>
      <c r="AM715" t="n">
        <v>2</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HYPERLINK("https://creighton-primo.hosted.exlibrisgroup.com/primo-explore/search?tab=default_tab&amp;search_scope=EVERYTHING&amp;vid=01CRU&amp;lang=en_US&amp;offset=0&amp;query=any,contains,991005111149702656","Catalog Record")</f>
        <v/>
      </c>
      <c r="AT715">
        <f>HYPERLINK("http://www.worldcat.org/oclc/7431281","WorldCat Record")</f>
        <v/>
      </c>
      <c r="AU715" t="inlineStr">
        <is>
          <t>504969176:eng</t>
        </is>
      </c>
      <c r="AV715" t="inlineStr">
        <is>
          <t>7431281</t>
        </is>
      </c>
      <c r="AW715" t="inlineStr">
        <is>
          <t>991005111149702656</t>
        </is>
      </c>
      <c r="AX715" t="inlineStr">
        <is>
          <t>991005111149702656</t>
        </is>
      </c>
      <c r="AY715" t="inlineStr">
        <is>
          <t>2268914390002656</t>
        </is>
      </c>
      <c r="AZ715" t="inlineStr">
        <is>
          <t>BOOK</t>
        </is>
      </c>
      <c r="BB715" t="inlineStr">
        <is>
          <t>9780684167534</t>
        </is>
      </c>
      <c r="BC715" t="inlineStr">
        <is>
          <t>32285001194819</t>
        </is>
      </c>
      <c r="BD715" t="inlineStr">
        <is>
          <t>893606849</t>
        </is>
      </c>
    </row>
    <row r="716">
      <c r="A716" t="inlineStr">
        <is>
          <t>No</t>
        </is>
      </c>
      <c r="B716" t="inlineStr">
        <is>
          <t>HM51 .G445 1987</t>
        </is>
      </c>
      <c r="C716" t="inlineStr">
        <is>
          <t>0                      HM 0051000G  445         1987</t>
        </is>
      </c>
      <c r="D716" t="inlineStr">
        <is>
          <t>Sociology, a brief but critical introduction / Anthony Giddens ; under the general editorship of Robert K. Merton.</t>
        </is>
      </c>
      <c r="F716" t="inlineStr">
        <is>
          <t>No</t>
        </is>
      </c>
      <c r="G716" t="inlineStr">
        <is>
          <t>1</t>
        </is>
      </c>
      <c r="H716" t="inlineStr">
        <is>
          <t>No</t>
        </is>
      </c>
      <c r="I716" t="inlineStr">
        <is>
          <t>No</t>
        </is>
      </c>
      <c r="J716" t="inlineStr">
        <is>
          <t>0</t>
        </is>
      </c>
      <c r="K716" t="inlineStr">
        <is>
          <t>Giddens, Anthony.</t>
        </is>
      </c>
      <c r="L716" t="inlineStr">
        <is>
          <t>San Diego : Harcourt Brace Jovanovich, c1987.</t>
        </is>
      </c>
      <c r="M716" t="inlineStr">
        <is>
          <t>1987</t>
        </is>
      </c>
      <c r="N716" t="inlineStr">
        <is>
          <t>2nd ed.</t>
        </is>
      </c>
      <c r="O716" t="inlineStr">
        <is>
          <t>eng</t>
        </is>
      </c>
      <c r="P716" t="inlineStr">
        <is>
          <t>cau</t>
        </is>
      </c>
      <c r="R716" t="inlineStr">
        <is>
          <t xml:space="preserve">HM </t>
        </is>
      </c>
      <c r="S716" t="n">
        <v>12</v>
      </c>
      <c r="T716" t="n">
        <v>12</v>
      </c>
      <c r="U716" t="inlineStr">
        <is>
          <t>2003-06-30</t>
        </is>
      </c>
      <c r="V716" t="inlineStr">
        <is>
          <t>2003-06-30</t>
        </is>
      </c>
      <c r="W716" t="inlineStr">
        <is>
          <t>1992-08-13</t>
        </is>
      </c>
      <c r="X716" t="inlineStr">
        <is>
          <t>1992-08-13</t>
        </is>
      </c>
      <c r="Y716" t="n">
        <v>259</v>
      </c>
      <c r="Z716" t="n">
        <v>178</v>
      </c>
      <c r="AA716" t="n">
        <v>331</v>
      </c>
      <c r="AB716" t="n">
        <v>1</v>
      </c>
      <c r="AC716" t="n">
        <v>3</v>
      </c>
      <c r="AD716" t="n">
        <v>4</v>
      </c>
      <c r="AE716" t="n">
        <v>12</v>
      </c>
      <c r="AF716" t="n">
        <v>1</v>
      </c>
      <c r="AG716" t="n">
        <v>2</v>
      </c>
      <c r="AH716" t="n">
        <v>2</v>
      </c>
      <c r="AI716" t="n">
        <v>4</v>
      </c>
      <c r="AJ716" t="n">
        <v>1</v>
      </c>
      <c r="AK716" t="n">
        <v>6</v>
      </c>
      <c r="AL716" t="n">
        <v>0</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HYPERLINK("https://creighton-primo.hosted.exlibrisgroup.com/primo-explore/search?tab=default_tab&amp;search_scope=EVERYTHING&amp;vid=01CRU&amp;lang=en_US&amp;offset=0&amp;query=any,contains,991001085379702656","Catalog Record")</f>
        <v/>
      </c>
      <c r="AT716">
        <f>HYPERLINK("http://www.worldcat.org/oclc/16116644","WorldCat Record")</f>
        <v/>
      </c>
      <c r="AU716" t="inlineStr">
        <is>
          <t>3900993264:eng</t>
        </is>
      </c>
      <c r="AV716" t="inlineStr">
        <is>
          <t>16116644</t>
        </is>
      </c>
      <c r="AW716" t="inlineStr">
        <is>
          <t>991001085379702656</t>
        </is>
      </c>
      <c r="AX716" t="inlineStr">
        <is>
          <t>991001085379702656</t>
        </is>
      </c>
      <c r="AY716" t="inlineStr">
        <is>
          <t>2268391980002656</t>
        </is>
      </c>
      <c r="AZ716" t="inlineStr">
        <is>
          <t>BOOK</t>
        </is>
      </c>
      <c r="BB716" t="inlineStr">
        <is>
          <t>9780155820012</t>
        </is>
      </c>
      <c r="BC716" t="inlineStr">
        <is>
          <t>32285001194843</t>
        </is>
      </c>
      <c r="BD716" t="inlineStr">
        <is>
          <t>893608534</t>
        </is>
      </c>
    </row>
    <row r="717">
      <c r="A717" t="inlineStr">
        <is>
          <t>No</t>
        </is>
      </c>
      <c r="B717" t="inlineStr">
        <is>
          <t>HM51 .G63 1971</t>
        </is>
      </c>
      <c r="C717" t="inlineStr">
        <is>
          <t>0                      HM 0051000G  63          1971</t>
        </is>
      </c>
      <c r="D717" t="inlineStr">
        <is>
          <t>An introduction to sociology / [by] J. E. Goldthorpe.</t>
        </is>
      </c>
      <c r="F717" t="inlineStr">
        <is>
          <t>No</t>
        </is>
      </c>
      <c r="G717" t="inlineStr">
        <is>
          <t>1</t>
        </is>
      </c>
      <c r="H717" t="inlineStr">
        <is>
          <t>No</t>
        </is>
      </c>
      <c r="I717" t="inlineStr">
        <is>
          <t>No</t>
        </is>
      </c>
      <c r="J717" t="inlineStr">
        <is>
          <t>0</t>
        </is>
      </c>
      <c r="K717" t="inlineStr">
        <is>
          <t>Goldthorpe, J. E. (John Ernest)</t>
        </is>
      </c>
      <c r="L717" t="inlineStr">
        <is>
          <t>London : Cambridge U.P., c1968, 1971 printing.</t>
        </is>
      </c>
      <c r="M717" t="inlineStr">
        <is>
          <t>1968</t>
        </is>
      </c>
      <c r="O717" t="inlineStr">
        <is>
          <t>eng</t>
        </is>
      </c>
      <c r="P717" t="inlineStr">
        <is>
          <t>enk</t>
        </is>
      </c>
      <c r="R717" t="inlineStr">
        <is>
          <t xml:space="preserve">HM </t>
        </is>
      </c>
      <c r="S717" t="n">
        <v>3</v>
      </c>
      <c r="T717" t="n">
        <v>3</v>
      </c>
      <c r="U717" t="inlineStr">
        <is>
          <t>2003-06-27</t>
        </is>
      </c>
      <c r="V717" t="inlineStr">
        <is>
          <t>2003-06-27</t>
        </is>
      </c>
      <c r="W717" t="inlineStr">
        <is>
          <t>1992-11-05</t>
        </is>
      </c>
      <c r="X717" t="inlineStr">
        <is>
          <t>1992-11-05</t>
        </is>
      </c>
      <c r="Y717" t="n">
        <v>249</v>
      </c>
      <c r="Z717" t="n">
        <v>158</v>
      </c>
      <c r="AA717" t="n">
        <v>330</v>
      </c>
      <c r="AB717" t="n">
        <v>1</v>
      </c>
      <c r="AC717" t="n">
        <v>2</v>
      </c>
      <c r="AD717" t="n">
        <v>4</v>
      </c>
      <c r="AE717" t="n">
        <v>14</v>
      </c>
      <c r="AF717" t="n">
        <v>0</v>
      </c>
      <c r="AG717" t="n">
        <v>4</v>
      </c>
      <c r="AH717" t="n">
        <v>1</v>
      </c>
      <c r="AI717" t="n">
        <v>3</v>
      </c>
      <c r="AJ717" t="n">
        <v>3</v>
      </c>
      <c r="AK717" t="n">
        <v>9</v>
      </c>
      <c r="AL717" t="n">
        <v>0</v>
      </c>
      <c r="AM717" t="n">
        <v>1</v>
      </c>
      <c r="AN717" t="n">
        <v>0</v>
      </c>
      <c r="AO717" t="n">
        <v>0</v>
      </c>
      <c r="AP717" t="inlineStr">
        <is>
          <t>No</t>
        </is>
      </c>
      <c r="AQ717" t="inlineStr">
        <is>
          <t>Yes</t>
        </is>
      </c>
      <c r="AR717">
        <f>HYPERLINK("http://catalog.hathitrust.org/Record/006152488","HathiTrust Record")</f>
        <v/>
      </c>
      <c r="AS717">
        <f>HYPERLINK("https://creighton-primo.hosted.exlibrisgroup.com/primo-explore/search?tab=default_tab&amp;search_scope=EVERYTHING&amp;vid=01CRU&amp;lang=en_US&amp;offset=0&amp;query=any,contains,991002788589702656","Catalog Record")</f>
        <v/>
      </c>
      <c r="AT717">
        <f>HYPERLINK("http://www.worldcat.org/oclc/442578","WorldCat Record")</f>
        <v/>
      </c>
      <c r="AU717" t="inlineStr">
        <is>
          <t>1572202:eng</t>
        </is>
      </c>
      <c r="AV717" t="inlineStr">
        <is>
          <t>442578</t>
        </is>
      </c>
      <c r="AW717" t="inlineStr">
        <is>
          <t>991002788589702656</t>
        </is>
      </c>
      <c r="AX717" t="inlineStr">
        <is>
          <t>991002788589702656</t>
        </is>
      </c>
      <c r="AY717" t="inlineStr">
        <is>
          <t>2255960600002656</t>
        </is>
      </c>
      <c r="AZ717" t="inlineStr">
        <is>
          <t>BOOK</t>
        </is>
      </c>
      <c r="BB717" t="inlineStr">
        <is>
          <t>9780521071109</t>
        </is>
      </c>
      <c r="BC717" t="inlineStr">
        <is>
          <t>32285001382273</t>
        </is>
      </c>
      <c r="BD717" t="inlineStr">
        <is>
          <t>893591781</t>
        </is>
      </c>
    </row>
    <row r="718">
      <c r="A718" t="inlineStr">
        <is>
          <t>No</t>
        </is>
      </c>
      <c r="B718" t="inlineStr">
        <is>
          <t>HM51 .G639 1988</t>
        </is>
      </c>
      <c r="C718" t="inlineStr">
        <is>
          <t>0                      HM 0051000G  639         1988</t>
        </is>
      </c>
      <c r="D718" t="inlineStr">
        <is>
          <t>The scope of sociology / Milton M. Gordon.</t>
        </is>
      </c>
      <c r="F718" t="inlineStr">
        <is>
          <t>No</t>
        </is>
      </c>
      <c r="G718" t="inlineStr">
        <is>
          <t>1</t>
        </is>
      </c>
      <c r="H718" t="inlineStr">
        <is>
          <t>No</t>
        </is>
      </c>
      <c r="I718" t="inlineStr">
        <is>
          <t>No</t>
        </is>
      </c>
      <c r="J718" t="inlineStr">
        <is>
          <t>0</t>
        </is>
      </c>
      <c r="K718" t="inlineStr">
        <is>
          <t>Gordon, Milton M., 1918-</t>
        </is>
      </c>
      <c r="L718" t="inlineStr">
        <is>
          <t>New York : Oxford University Press, 1988.</t>
        </is>
      </c>
      <c r="M718" t="inlineStr">
        <is>
          <t>1988</t>
        </is>
      </c>
      <c r="O718" t="inlineStr">
        <is>
          <t>eng</t>
        </is>
      </c>
      <c r="P718" t="inlineStr">
        <is>
          <t>nyu</t>
        </is>
      </c>
      <c r="R718" t="inlineStr">
        <is>
          <t xml:space="preserve">HM </t>
        </is>
      </c>
      <c r="S718" t="n">
        <v>1</v>
      </c>
      <c r="T718" t="n">
        <v>1</v>
      </c>
      <c r="U718" t="inlineStr">
        <is>
          <t>1992-10-12</t>
        </is>
      </c>
      <c r="V718" t="inlineStr">
        <is>
          <t>1992-10-12</t>
        </is>
      </c>
      <c r="W718" t="inlineStr">
        <is>
          <t>1992-05-22</t>
        </is>
      </c>
      <c r="X718" t="inlineStr">
        <is>
          <t>1992-05-22</t>
        </is>
      </c>
      <c r="Y718" t="n">
        <v>333</v>
      </c>
      <c r="Z718" t="n">
        <v>245</v>
      </c>
      <c r="AA718" t="n">
        <v>257</v>
      </c>
      <c r="AB718" t="n">
        <v>3</v>
      </c>
      <c r="AC718" t="n">
        <v>3</v>
      </c>
      <c r="AD718" t="n">
        <v>12</v>
      </c>
      <c r="AE718" t="n">
        <v>12</v>
      </c>
      <c r="AF718" t="n">
        <v>3</v>
      </c>
      <c r="AG718" t="n">
        <v>3</v>
      </c>
      <c r="AH718" t="n">
        <v>5</v>
      </c>
      <c r="AI718" t="n">
        <v>5</v>
      </c>
      <c r="AJ718" t="n">
        <v>7</v>
      </c>
      <c r="AK718" t="n">
        <v>7</v>
      </c>
      <c r="AL718" t="n">
        <v>2</v>
      </c>
      <c r="AM718" t="n">
        <v>2</v>
      </c>
      <c r="AN718" t="n">
        <v>0</v>
      </c>
      <c r="AO718" t="n">
        <v>0</v>
      </c>
      <c r="AP718" t="inlineStr">
        <is>
          <t>No</t>
        </is>
      </c>
      <c r="AQ718" t="inlineStr">
        <is>
          <t>Yes</t>
        </is>
      </c>
      <c r="AR718">
        <f>HYPERLINK("http://catalog.hathitrust.org/Record/000875091","HathiTrust Record")</f>
        <v/>
      </c>
      <c r="AS718">
        <f>HYPERLINK("https://creighton-primo.hosted.exlibrisgroup.com/primo-explore/search?tab=default_tab&amp;search_scope=EVERYTHING&amp;vid=01CRU&amp;lang=en_US&amp;offset=0&amp;query=any,contains,991001110039702656","Catalog Record")</f>
        <v/>
      </c>
      <c r="AT718">
        <f>HYPERLINK("http://www.worldcat.org/oclc/16465520","WorldCat Record")</f>
        <v/>
      </c>
      <c r="AU718" t="inlineStr">
        <is>
          <t>12176674:eng</t>
        </is>
      </c>
      <c r="AV718" t="inlineStr">
        <is>
          <t>16465520</t>
        </is>
      </c>
      <c r="AW718" t="inlineStr">
        <is>
          <t>991001110039702656</t>
        </is>
      </c>
      <c r="AX718" t="inlineStr">
        <is>
          <t>991001110039702656</t>
        </is>
      </c>
      <c r="AY718" t="inlineStr">
        <is>
          <t>2269253420002656</t>
        </is>
      </c>
      <c r="AZ718" t="inlineStr">
        <is>
          <t>BOOK</t>
        </is>
      </c>
      <c r="BB718" t="inlineStr">
        <is>
          <t>9780195053036</t>
        </is>
      </c>
      <c r="BC718" t="inlineStr">
        <is>
          <t>32285001118594</t>
        </is>
      </c>
      <c r="BD718" t="inlineStr">
        <is>
          <t>893225614</t>
        </is>
      </c>
    </row>
    <row r="719">
      <c r="A719" t="inlineStr">
        <is>
          <t>No</t>
        </is>
      </c>
      <c r="B719" t="inlineStr">
        <is>
          <t>HM51 .G72</t>
        </is>
      </c>
      <c r="C719" t="inlineStr">
        <is>
          <t>0                      HM 0051000G  72</t>
        </is>
      </c>
      <c r="D719" t="inlineStr">
        <is>
          <t>Understanding sociology [by] Ann Lennarson Greer [and] Scott Greer.</t>
        </is>
      </c>
      <c r="F719" t="inlineStr">
        <is>
          <t>No</t>
        </is>
      </c>
      <c r="G719" t="inlineStr">
        <is>
          <t>1</t>
        </is>
      </c>
      <c r="H719" t="inlineStr">
        <is>
          <t>No</t>
        </is>
      </c>
      <c r="I719" t="inlineStr">
        <is>
          <t>No</t>
        </is>
      </c>
      <c r="J719" t="inlineStr">
        <is>
          <t>0</t>
        </is>
      </c>
      <c r="K719" t="inlineStr">
        <is>
          <t>Greer, Ann Lennarson, 1944-</t>
        </is>
      </c>
      <c r="L719" t="inlineStr">
        <is>
          <t>Dubuque, Iowa, W. C. Brown Co. [1974]</t>
        </is>
      </c>
      <c r="M719" t="inlineStr">
        <is>
          <t>1974</t>
        </is>
      </c>
      <c r="O719" t="inlineStr">
        <is>
          <t>eng</t>
        </is>
      </c>
      <c r="P719" t="inlineStr">
        <is>
          <t>iau</t>
        </is>
      </c>
      <c r="Q719" t="inlineStr">
        <is>
          <t>Elements of sociology</t>
        </is>
      </c>
      <c r="R719" t="inlineStr">
        <is>
          <t xml:space="preserve">HM </t>
        </is>
      </c>
      <c r="S719" t="n">
        <v>1</v>
      </c>
      <c r="T719" t="n">
        <v>1</v>
      </c>
      <c r="U719" t="inlineStr">
        <is>
          <t>2007-10-27</t>
        </is>
      </c>
      <c r="V719" t="inlineStr">
        <is>
          <t>2007-10-27</t>
        </is>
      </c>
      <c r="W719" t="inlineStr">
        <is>
          <t>1997-07-28</t>
        </is>
      </c>
      <c r="X719" t="inlineStr">
        <is>
          <t>1997-07-28</t>
        </is>
      </c>
      <c r="Y719" t="n">
        <v>156</v>
      </c>
      <c r="Z719" t="n">
        <v>120</v>
      </c>
      <c r="AA719" t="n">
        <v>120</v>
      </c>
      <c r="AB719" t="n">
        <v>1</v>
      </c>
      <c r="AC719" t="n">
        <v>1</v>
      </c>
      <c r="AD719" t="n">
        <v>5</v>
      </c>
      <c r="AE719" t="n">
        <v>5</v>
      </c>
      <c r="AF719" t="n">
        <v>2</v>
      </c>
      <c r="AG719" t="n">
        <v>2</v>
      </c>
      <c r="AH719" t="n">
        <v>2</v>
      </c>
      <c r="AI719" t="n">
        <v>2</v>
      </c>
      <c r="AJ719" t="n">
        <v>4</v>
      </c>
      <c r="AK719" t="n">
        <v>4</v>
      </c>
      <c r="AL719" t="n">
        <v>0</v>
      </c>
      <c r="AM719" t="n">
        <v>0</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HYPERLINK("https://creighton-primo.hosted.exlibrisgroup.com/primo-explore/search?tab=default_tab&amp;search_scope=EVERYTHING&amp;vid=01CRU&amp;lang=en_US&amp;offset=0&amp;query=any,contains,991003400869702656","Catalog Record")</f>
        <v/>
      </c>
      <c r="AT719">
        <f>HYPERLINK("http://www.worldcat.org/oclc/940471","WorldCat Record")</f>
        <v/>
      </c>
      <c r="AU719" t="inlineStr">
        <is>
          <t>3944263256:eng</t>
        </is>
      </c>
      <c r="AV719" t="inlineStr">
        <is>
          <t>940471</t>
        </is>
      </c>
      <c r="AW719" t="inlineStr">
        <is>
          <t>991003400869702656</t>
        </is>
      </c>
      <c r="AX719" t="inlineStr">
        <is>
          <t>991003400869702656</t>
        </is>
      </c>
      <c r="AY719" t="inlineStr">
        <is>
          <t>2261336500002656</t>
        </is>
      </c>
      <c r="AZ719" t="inlineStr">
        <is>
          <t>BOOK</t>
        </is>
      </c>
      <c r="BB719" t="inlineStr">
        <is>
          <t>9780697075277</t>
        </is>
      </c>
      <c r="BC719" t="inlineStr">
        <is>
          <t>32285003008777</t>
        </is>
      </c>
      <c r="BD719" t="inlineStr">
        <is>
          <t>893805748</t>
        </is>
      </c>
    </row>
    <row r="720">
      <c r="A720" t="inlineStr">
        <is>
          <t>No</t>
        </is>
      </c>
      <c r="B720" t="inlineStr">
        <is>
          <t>HM51 .H249 1988</t>
        </is>
      </c>
      <c r="C720" t="inlineStr">
        <is>
          <t>0                      HM 0051000H  249         1988</t>
        </is>
      </c>
      <c r="D720" t="inlineStr">
        <is>
          <t>Handbook of sociology / Neil J. Smelser, editor.</t>
        </is>
      </c>
      <c r="F720" t="inlineStr">
        <is>
          <t>No</t>
        </is>
      </c>
      <c r="G720" t="inlineStr">
        <is>
          <t>1</t>
        </is>
      </c>
      <c r="H720" t="inlineStr">
        <is>
          <t>No</t>
        </is>
      </c>
      <c r="I720" t="inlineStr">
        <is>
          <t>No</t>
        </is>
      </c>
      <c r="J720" t="inlineStr">
        <is>
          <t>0</t>
        </is>
      </c>
      <c r="L720" t="inlineStr">
        <is>
          <t>Newbury Park, Calif. : Sage Publications, c1988.</t>
        </is>
      </c>
      <c r="M720" t="inlineStr">
        <is>
          <t>1988</t>
        </is>
      </c>
      <c r="O720" t="inlineStr">
        <is>
          <t>eng</t>
        </is>
      </c>
      <c r="P720" t="inlineStr">
        <is>
          <t>cau</t>
        </is>
      </c>
      <c r="R720" t="inlineStr">
        <is>
          <t xml:space="preserve">HM </t>
        </is>
      </c>
      <c r="S720" t="n">
        <v>4</v>
      </c>
      <c r="T720" t="n">
        <v>4</v>
      </c>
      <c r="U720" t="inlineStr">
        <is>
          <t>1994-03-22</t>
        </is>
      </c>
      <c r="V720" t="inlineStr">
        <is>
          <t>1994-03-22</t>
        </is>
      </c>
      <c r="W720" t="inlineStr">
        <is>
          <t>1990-02-12</t>
        </is>
      </c>
      <c r="X720" t="inlineStr">
        <is>
          <t>1990-02-12</t>
        </is>
      </c>
      <c r="Y720" t="n">
        <v>1156</v>
      </c>
      <c r="Z720" t="n">
        <v>905</v>
      </c>
      <c r="AA720" t="n">
        <v>912</v>
      </c>
      <c r="AB720" t="n">
        <v>12</v>
      </c>
      <c r="AC720" t="n">
        <v>12</v>
      </c>
      <c r="AD720" t="n">
        <v>45</v>
      </c>
      <c r="AE720" t="n">
        <v>45</v>
      </c>
      <c r="AF720" t="n">
        <v>16</v>
      </c>
      <c r="AG720" t="n">
        <v>16</v>
      </c>
      <c r="AH720" t="n">
        <v>7</v>
      </c>
      <c r="AI720" t="n">
        <v>7</v>
      </c>
      <c r="AJ720" t="n">
        <v>20</v>
      </c>
      <c r="AK720" t="n">
        <v>20</v>
      </c>
      <c r="AL720" t="n">
        <v>10</v>
      </c>
      <c r="AM720" t="n">
        <v>10</v>
      </c>
      <c r="AN720" t="n">
        <v>0</v>
      </c>
      <c r="AO720" t="n">
        <v>0</v>
      </c>
      <c r="AP720" t="inlineStr">
        <is>
          <t>No</t>
        </is>
      </c>
      <c r="AQ720" t="inlineStr">
        <is>
          <t>Yes</t>
        </is>
      </c>
      <c r="AR720">
        <f>HYPERLINK("http://catalog.hathitrust.org/Record/000951681","HathiTrust Record")</f>
        <v/>
      </c>
      <c r="AS720">
        <f>HYPERLINK("https://creighton-primo.hosted.exlibrisgroup.com/primo-explore/search?tab=default_tab&amp;search_scope=EVERYTHING&amp;vid=01CRU&amp;lang=en_US&amp;offset=0&amp;query=any,contains,991001198379702656","Catalog Record")</f>
        <v/>
      </c>
      <c r="AT720">
        <f>HYPERLINK("http://www.worldcat.org/oclc/17298769","WorldCat Record")</f>
        <v/>
      </c>
      <c r="AU720" t="inlineStr">
        <is>
          <t>3945662826:eng</t>
        </is>
      </c>
      <c r="AV720" t="inlineStr">
        <is>
          <t>17298769</t>
        </is>
      </c>
      <c r="AW720" t="inlineStr">
        <is>
          <t>991001198379702656</t>
        </is>
      </c>
      <c r="AX720" t="inlineStr">
        <is>
          <t>991001198379702656</t>
        </is>
      </c>
      <c r="AY720" t="inlineStr">
        <is>
          <t>2269511240002656</t>
        </is>
      </c>
      <c r="AZ720" t="inlineStr">
        <is>
          <t>BOOK</t>
        </is>
      </c>
      <c r="BB720" t="inlineStr">
        <is>
          <t>9780803926653</t>
        </is>
      </c>
      <c r="BC720" t="inlineStr">
        <is>
          <t>32285000045384</t>
        </is>
      </c>
      <c r="BD720" t="inlineStr">
        <is>
          <t>893621145</t>
        </is>
      </c>
    </row>
    <row r="721">
      <c r="A721" t="inlineStr">
        <is>
          <t>No</t>
        </is>
      </c>
      <c r="B721" t="inlineStr">
        <is>
          <t>HM51 .H67</t>
        </is>
      </c>
      <c r="C721" t="inlineStr">
        <is>
          <t>0                      HM 0051000H  67</t>
        </is>
      </c>
      <c r="D721" t="inlineStr">
        <is>
          <t>Sociology for a new day / Thomas Ford Hoult. --</t>
        </is>
      </c>
      <c r="F721" t="inlineStr">
        <is>
          <t>No</t>
        </is>
      </c>
      <c r="G721" t="inlineStr">
        <is>
          <t>1</t>
        </is>
      </c>
      <c r="H721" t="inlineStr">
        <is>
          <t>No</t>
        </is>
      </c>
      <c r="I721" t="inlineStr">
        <is>
          <t>No</t>
        </is>
      </c>
      <c r="J721" t="inlineStr">
        <is>
          <t>0</t>
        </is>
      </c>
      <c r="K721" t="inlineStr">
        <is>
          <t>Hoult, Thomas Ford.</t>
        </is>
      </c>
      <c r="L721" t="inlineStr">
        <is>
          <t>New York : Random House, [1974]</t>
        </is>
      </c>
      <c r="M721" t="inlineStr">
        <is>
          <t>1974</t>
        </is>
      </c>
      <c r="N721" t="inlineStr">
        <is>
          <t>[1st ed.]</t>
        </is>
      </c>
      <c r="O721" t="inlineStr">
        <is>
          <t>eng</t>
        </is>
      </c>
      <c r="P721" t="inlineStr">
        <is>
          <t>nyu</t>
        </is>
      </c>
      <c r="R721" t="inlineStr">
        <is>
          <t xml:space="preserve">HM </t>
        </is>
      </c>
      <c r="S721" t="n">
        <v>1</v>
      </c>
      <c r="T721" t="n">
        <v>1</v>
      </c>
      <c r="U721" t="inlineStr">
        <is>
          <t>1992-11-17</t>
        </is>
      </c>
      <c r="V721" t="inlineStr">
        <is>
          <t>1992-11-17</t>
        </is>
      </c>
      <c r="W721" t="inlineStr">
        <is>
          <t>1992-08-13</t>
        </is>
      </c>
      <c r="X721" t="inlineStr">
        <is>
          <t>1992-08-13</t>
        </is>
      </c>
      <c r="Y721" t="n">
        <v>204</v>
      </c>
      <c r="Z721" t="n">
        <v>159</v>
      </c>
      <c r="AA721" t="n">
        <v>193</v>
      </c>
      <c r="AB721" t="n">
        <v>1</v>
      </c>
      <c r="AC721" t="n">
        <v>1</v>
      </c>
      <c r="AD721" t="n">
        <v>3</v>
      </c>
      <c r="AE721" t="n">
        <v>4</v>
      </c>
      <c r="AF721" t="n">
        <v>1</v>
      </c>
      <c r="AG721" t="n">
        <v>1</v>
      </c>
      <c r="AH721" t="n">
        <v>1</v>
      </c>
      <c r="AI721" t="n">
        <v>1</v>
      </c>
      <c r="AJ721" t="n">
        <v>3</v>
      </c>
      <c r="AK721" t="n">
        <v>4</v>
      </c>
      <c r="AL721" t="n">
        <v>0</v>
      </c>
      <c r="AM721" t="n">
        <v>0</v>
      </c>
      <c r="AN721" t="n">
        <v>0</v>
      </c>
      <c r="AO721" t="n">
        <v>0</v>
      </c>
      <c r="AP721" t="inlineStr">
        <is>
          <t>No</t>
        </is>
      </c>
      <c r="AQ721" t="inlineStr">
        <is>
          <t>Yes</t>
        </is>
      </c>
      <c r="AR721">
        <f>HYPERLINK("http://catalog.hathitrust.org/Record/000965092","HathiTrust Record")</f>
        <v/>
      </c>
      <c r="AS721">
        <f>HYPERLINK("https://creighton-primo.hosted.exlibrisgroup.com/primo-explore/search?tab=default_tab&amp;search_scope=EVERYTHING&amp;vid=01CRU&amp;lang=en_US&amp;offset=0&amp;query=any,contains,991003205899702656","Catalog Record")</f>
        <v/>
      </c>
      <c r="AT721">
        <f>HYPERLINK("http://www.worldcat.org/oclc/730758","WorldCat Record")</f>
        <v/>
      </c>
      <c r="AU721" t="inlineStr">
        <is>
          <t>1754775:eng</t>
        </is>
      </c>
      <c r="AV721" t="inlineStr">
        <is>
          <t>730758</t>
        </is>
      </c>
      <c r="AW721" t="inlineStr">
        <is>
          <t>991003205899702656</t>
        </is>
      </c>
      <c r="AX721" t="inlineStr">
        <is>
          <t>991003205899702656</t>
        </is>
      </c>
      <c r="AY721" t="inlineStr">
        <is>
          <t>2267174420002656</t>
        </is>
      </c>
      <c r="AZ721" t="inlineStr">
        <is>
          <t>BOOK</t>
        </is>
      </c>
      <c r="BB721" t="inlineStr">
        <is>
          <t>9780394317366</t>
        </is>
      </c>
      <c r="BC721" t="inlineStr">
        <is>
          <t>32285001194876</t>
        </is>
      </c>
      <c r="BD721" t="inlineStr">
        <is>
          <t>893692485</t>
        </is>
      </c>
    </row>
    <row r="722">
      <c r="A722" t="inlineStr">
        <is>
          <t>No</t>
        </is>
      </c>
      <c r="B722" t="inlineStr">
        <is>
          <t>HM51 .L357 1991 SUPP.</t>
        </is>
      </c>
      <c r="C722" t="inlineStr">
        <is>
          <t>0                      HM 0051000L  357         1991                                        SUPP.</t>
        </is>
      </c>
      <c r="D722" t="inlineStr">
        <is>
          <t>Human societies : an introduction to macrosociology / Gerhard Lenski, Jean Lenski, Patrick Nolan.</t>
        </is>
      </c>
      <c r="F722" t="inlineStr">
        <is>
          <t>No</t>
        </is>
      </c>
      <c r="G722" t="inlineStr">
        <is>
          <t>1</t>
        </is>
      </c>
      <c r="H722" t="inlineStr">
        <is>
          <t>Yes</t>
        </is>
      </c>
      <c r="I722" t="inlineStr">
        <is>
          <t>No</t>
        </is>
      </c>
      <c r="J722" t="inlineStr">
        <is>
          <t>0</t>
        </is>
      </c>
      <c r="K722" t="inlineStr">
        <is>
          <t>Lenski, Gerhard, 1924-2015.</t>
        </is>
      </c>
      <c r="L722" t="inlineStr">
        <is>
          <t>New York : McGraw-Hill, c1991.</t>
        </is>
      </c>
      <c r="M722" t="inlineStr">
        <is>
          <t>1991</t>
        </is>
      </c>
      <c r="N722" t="inlineStr">
        <is>
          <t>6th ed.</t>
        </is>
      </c>
      <c r="O722" t="inlineStr">
        <is>
          <t>eng</t>
        </is>
      </c>
      <c r="P722" t="inlineStr">
        <is>
          <t>nyu</t>
        </is>
      </c>
      <c r="R722" t="inlineStr">
        <is>
          <t xml:space="preserve">HM </t>
        </is>
      </c>
      <c r="S722" t="n">
        <v>2</v>
      </c>
      <c r="T722" t="n">
        <v>9</v>
      </c>
      <c r="U722" t="inlineStr">
        <is>
          <t>1996-06-26</t>
        </is>
      </c>
      <c r="V722" t="inlineStr">
        <is>
          <t>1998-09-26</t>
        </is>
      </c>
      <c r="W722" t="inlineStr">
        <is>
          <t>1992-09-14</t>
        </is>
      </c>
      <c r="X722" t="inlineStr">
        <is>
          <t>1992-09-14</t>
        </is>
      </c>
      <c r="Y722" t="n">
        <v>122</v>
      </c>
      <c r="Z722" t="n">
        <v>60</v>
      </c>
      <c r="AA722" t="n">
        <v>763</v>
      </c>
      <c r="AB722" t="n">
        <v>1</v>
      </c>
      <c r="AC722" t="n">
        <v>5</v>
      </c>
      <c r="AD722" t="n">
        <v>0</v>
      </c>
      <c r="AE722" t="n">
        <v>29</v>
      </c>
      <c r="AF722" t="n">
        <v>0</v>
      </c>
      <c r="AG722" t="n">
        <v>13</v>
      </c>
      <c r="AH722" t="n">
        <v>0</v>
      </c>
      <c r="AI722" t="n">
        <v>6</v>
      </c>
      <c r="AJ722" t="n">
        <v>0</v>
      </c>
      <c r="AK722" t="n">
        <v>15</v>
      </c>
      <c r="AL722" t="n">
        <v>0</v>
      </c>
      <c r="AM722" t="n">
        <v>4</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HYPERLINK("https://creighton-primo.hosted.exlibrisgroup.com/primo-explore/search?tab=default_tab&amp;search_scope=EVERYTHING&amp;vid=01CRU&amp;lang=en_US&amp;offset=0&amp;query=any,contains,991001711499702656","Catalog Record")</f>
        <v/>
      </c>
      <c r="AT722">
        <f>HYPERLINK("http://www.worldcat.org/oclc/21600322","WorldCat Record")</f>
        <v/>
      </c>
      <c r="AU722" t="inlineStr">
        <is>
          <t>4926818187:eng</t>
        </is>
      </c>
      <c r="AV722" t="inlineStr">
        <is>
          <t>21600322</t>
        </is>
      </c>
      <c r="AW722" t="inlineStr">
        <is>
          <t>991001711499702656</t>
        </is>
      </c>
      <c r="AX722" t="inlineStr">
        <is>
          <t>991001711499702656</t>
        </is>
      </c>
      <c r="AY722" t="inlineStr">
        <is>
          <t>2260059490002656</t>
        </is>
      </c>
      <c r="AZ722" t="inlineStr">
        <is>
          <t>BOOK</t>
        </is>
      </c>
      <c r="BB722" t="inlineStr">
        <is>
          <t>9780070372436</t>
        </is>
      </c>
      <c r="BC722" t="inlineStr">
        <is>
          <t>32285001287498</t>
        </is>
      </c>
      <c r="BD722" t="inlineStr">
        <is>
          <t>893602828</t>
        </is>
      </c>
    </row>
    <row r="723">
      <c r="A723" t="inlineStr">
        <is>
          <t>No</t>
        </is>
      </c>
      <c r="B723" t="inlineStr">
        <is>
          <t>HM51 .L3587 1999</t>
        </is>
      </c>
      <c r="C723" t="inlineStr">
        <is>
          <t>0                      HM 0051000L  3587        1999</t>
        </is>
      </c>
      <c r="D723" t="inlineStr">
        <is>
          <t>Sociological snapshots 3 : seeing social structure and change in everyday life / Jack Levin.</t>
        </is>
      </c>
      <c r="F723" t="inlineStr">
        <is>
          <t>No</t>
        </is>
      </c>
      <c r="G723" t="inlineStr">
        <is>
          <t>1</t>
        </is>
      </c>
      <c r="H723" t="inlineStr">
        <is>
          <t>No</t>
        </is>
      </c>
      <c r="I723" t="inlineStr">
        <is>
          <t>No</t>
        </is>
      </c>
      <c r="J723" t="inlineStr">
        <is>
          <t>0</t>
        </is>
      </c>
      <c r="K723" t="inlineStr">
        <is>
          <t>Levin, Jack, 1941-</t>
        </is>
      </c>
      <c r="L723" t="inlineStr">
        <is>
          <t>Thousand Oaks, Calif. : Pine Forge Press, c1999.</t>
        </is>
      </c>
      <c r="M723" t="inlineStr">
        <is>
          <t>1999</t>
        </is>
      </c>
      <c r="O723" t="inlineStr">
        <is>
          <t>eng</t>
        </is>
      </c>
      <c r="P723" t="inlineStr">
        <is>
          <t>cau</t>
        </is>
      </c>
      <c r="R723" t="inlineStr">
        <is>
          <t xml:space="preserve">HM </t>
        </is>
      </c>
      <c r="S723" t="n">
        <v>0</v>
      </c>
      <c r="T723" t="n">
        <v>0</v>
      </c>
      <c r="U723" t="inlineStr">
        <is>
          <t>2004-03-24</t>
        </is>
      </c>
      <c r="V723" t="inlineStr">
        <is>
          <t>2004-03-24</t>
        </is>
      </c>
      <c r="W723" t="inlineStr">
        <is>
          <t>1999-01-25</t>
        </is>
      </c>
      <c r="X723" t="inlineStr">
        <is>
          <t>1999-01-25</t>
        </is>
      </c>
      <c r="Y723" t="n">
        <v>60</v>
      </c>
      <c r="Z723" t="n">
        <v>45</v>
      </c>
      <c r="AA723" t="n">
        <v>46</v>
      </c>
      <c r="AB723" t="n">
        <v>1</v>
      </c>
      <c r="AC723" t="n">
        <v>1</v>
      </c>
      <c r="AD723" t="n">
        <v>1</v>
      </c>
      <c r="AE723" t="n">
        <v>1</v>
      </c>
      <c r="AF723" t="n">
        <v>1</v>
      </c>
      <c r="AG723" t="n">
        <v>1</v>
      </c>
      <c r="AH723" t="n">
        <v>0</v>
      </c>
      <c r="AI723" t="n">
        <v>0</v>
      </c>
      <c r="AJ723" t="n">
        <v>0</v>
      </c>
      <c r="AK723" t="n">
        <v>0</v>
      </c>
      <c r="AL723" t="n">
        <v>0</v>
      </c>
      <c r="AM723" t="n">
        <v>0</v>
      </c>
      <c r="AN723" t="n">
        <v>0</v>
      </c>
      <c r="AO723" t="n">
        <v>0</v>
      </c>
      <c r="AP723" t="inlineStr">
        <is>
          <t>No</t>
        </is>
      </c>
      <c r="AQ723" t="inlineStr">
        <is>
          <t>Yes</t>
        </is>
      </c>
      <c r="AR723">
        <f>HYPERLINK("http://catalog.hathitrust.org/Record/007570936","HathiTrust Record")</f>
        <v/>
      </c>
      <c r="AS723">
        <f>HYPERLINK("https://creighton-primo.hosted.exlibrisgroup.com/primo-explore/search?tab=default_tab&amp;search_scope=EVERYTHING&amp;vid=01CRU&amp;lang=en_US&amp;offset=0&amp;query=any,contains,991002924409702656","Catalog Record")</f>
        <v/>
      </c>
      <c r="AT723">
        <f>HYPERLINK("http://www.worldcat.org/oclc/38870641","WorldCat Record")</f>
        <v/>
      </c>
      <c r="AU723" t="inlineStr">
        <is>
          <t>3373002557:eng</t>
        </is>
      </c>
      <c r="AV723" t="inlineStr">
        <is>
          <t>38870641</t>
        </is>
      </c>
      <c r="AW723" t="inlineStr">
        <is>
          <t>991002924409702656</t>
        </is>
      </c>
      <c r="AX723" t="inlineStr">
        <is>
          <t>991002924409702656</t>
        </is>
      </c>
      <c r="AY723" t="inlineStr">
        <is>
          <t>2260666550002656</t>
        </is>
      </c>
      <c r="AZ723" t="inlineStr">
        <is>
          <t>BOOK</t>
        </is>
      </c>
      <c r="BB723" t="inlineStr">
        <is>
          <t>9780761985921</t>
        </is>
      </c>
      <c r="BC723" t="inlineStr">
        <is>
          <t>32285003515839</t>
        </is>
      </c>
      <c r="BD723" t="inlineStr">
        <is>
          <t>893692175</t>
        </is>
      </c>
    </row>
    <row r="724">
      <c r="A724" t="inlineStr">
        <is>
          <t>No</t>
        </is>
      </c>
      <c r="B724" t="inlineStr">
        <is>
          <t>HM51 .L78 1977</t>
        </is>
      </c>
      <c r="C724" t="inlineStr">
        <is>
          <t>0                      HM 0051000L  78          1977</t>
        </is>
      </c>
      <c r="D724" t="inlineStr">
        <is>
          <t>Essays in social theory / Steven Lukes.</t>
        </is>
      </c>
      <c r="F724" t="inlineStr">
        <is>
          <t>No</t>
        </is>
      </c>
      <c r="G724" t="inlineStr">
        <is>
          <t>1</t>
        </is>
      </c>
      <c r="H724" t="inlineStr">
        <is>
          <t>No</t>
        </is>
      </c>
      <c r="I724" t="inlineStr">
        <is>
          <t>No</t>
        </is>
      </c>
      <c r="J724" t="inlineStr">
        <is>
          <t>0</t>
        </is>
      </c>
      <c r="K724" t="inlineStr">
        <is>
          <t>Lukes, Steven.</t>
        </is>
      </c>
      <c r="L724" t="inlineStr">
        <is>
          <t>New York : Columbia University Press, 1977.</t>
        </is>
      </c>
      <c r="M724" t="inlineStr">
        <is>
          <t>1977</t>
        </is>
      </c>
      <c r="O724" t="inlineStr">
        <is>
          <t>eng</t>
        </is>
      </c>
      <c r="P724" t="inlineStr">
        <is>
          <t>nyu</t>
        </is>
      </c>
      <c r="R724" t="inlineStr">
        <is>
          <t xml:space="preserve">HM </t>
        </is>
      </c>
      <c r="S724" t="n">
        <v>5</v>
      </c>
      <c r="T724" t="n">
        <v>5</v>
      </c>
      <c r="U724" t="inlineStr">
        <is>
          <t>1999-11-29</t>
        </is>
      </c>
      <c r="V724" t="inlineStr">
        <is>
          <t>1999-11-29</t>
        </is>
      </c>
      <c r="W724" t="inlineStr">
        <is>
          <t>1992-08-13</t>
        </is>
      </c>
      <c r="X724" t="inlineStr">
        <is>
          <t>1992-08-13</t>
        </is>
      </c>
      <c r="Y724" t="n">
        <v>434</v>
      </c>
      <c r="Z724" t="n">
        <v>375</v>
      </c>
      <c r="AA724" t="n">
        <v>422</v>
      </c>
      <c r="AB724" t="n">
        <v>4</v>
      </c>
      <c r="AC724" t="n">
        <v>5</v>
      </c>
      <c r="AD724" t="n">
        <v>22</v>
      </c>
      <c r="AE724" t="n">
        <v>27</v>
      </c>
      <c r="AF724" t="n">
        <v>8</v>
      </c>
      <c r="AG724" t="n">
        <v>9</v>
      </c>
      <c r="AH724" t="n">
        <v>7</v>
      </c>
      <c r="AI724" t="n">
        <v>9</v>
      </c>
      <c r="AJ724" t="n">
        <v>11</v>
      </c>
      <c r="AK724" t="n">
        <v>14</v>
      </c>
      <c r="AL724" t="n">
        <v>3</v>
      </c>
      <c r="AM724" t="n">
        <v>4</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HYPERLINK("https://creighton-primo.hosted.exlibrisgroup.com/primo-explore/search?tab=default_tab&amp;search_scope=EVERYTHING&amp;vid=01CRU&amp;lang=en_US&amp;offset=0&amp;query=any,contains,991004314269702656","Catalog Record")</f>
        <v/>
      </c>
      <c r="AT724">
        <f>HYPERLINK("http://www.worldcat.org/oclc/3002946","WorldCat Record")</f>
        <v/>
      </c>
      <c r="AU724" t="inlineStr">
        <is>
          <t>420111:eng</t>
        </is>
      </c>
      <c r="AV724" t="inlineStr">
        <is>
          <t>3002946</t>
        </is>
      </c>
      <c r="AW724" t="inlineStr">
        <is>
          <t>991004314269702656</t>
        </is>
      </c>
      <c r="AX724" t="inlineStr">
        <is>
          <t>991004314269702656</t>
        </is>
      </c>
      <c r="AY724" t="inlineStr">
        <is>
          <t>2272177830002656</t>
        </is>
      </c>
      <c r="AZ724" t="inlineStr">
        <is>
          <t>BOOK</t>
        </is>
      </c>
      <c r="BB724" t="inlineStr">
        <is>
          <t>9780231044509</t>
        </is>
      </c>
      <c r="BC724" t="inlineStr">
        <is>
          <t>32285001194918</t>
        </is>
      </c>
      <c r="BD724" t="inlineStr">
        <is>
          <t>893519485</t>
        </is>
      </c>
    </row>
    <row r="725">
      <c r="A725" t="inlineStr">
        <is>
          <t>No</t>
        </is>
      </c>
      <c r="B725" t="inlineStr">
        <is>
          <t>HM51 .O59 1995</t>
        </is>
      </c>
      <c r="C725" t="inlineStr">
        <is>
          <t>0                      HM 0051000O  59          1995</t>
        </is>
      </c>
      <c r="D725" t="inlineStr">
        <is>
          <t>Alien concepts and South Asian reality : responses and reformulations / T.K. Oommen.</t>
        </is>
      </c>
      <c r="F725" t="inlineStr">
        <is>
          <t>No</t>
        </is>
      </c>
      <c r="G725" t="inlineStr">
        <is>
          <t>1</t>
        </is>
      </c>
      <c r="H725" t="inlineStr">
        <is>
          <t>No</t>
        </is>
      </c>
      <c r="I725" t="inlineStr">
        <is>
          <t>No</t>
        </is>
      </c>
      <c r="J725" t="inlineStr">
        <is>
          <t>0</t>
        </is>
      </c>
      <c r="K725" t="inlineStr">
        <is>
          <t>Oommen, T. K., 1937-</t>
        </is>
      </c>
      <c r="L725" t="inlineStr">
        <is>
          <t>New Delhi ; Thousand Oaks, Calif. : Sage Publications, 1995.</t>
        </is>
      </c>
      <c r="M725" t="inlineStr">
        <is>
          <t>1995</t>
        </is>
      </c>
      <c r="O725" t="inlineStr">
        <is>
          <t>eng</t>
        </is>
      </c>
      <c r="P725" t="inlineStr">
        <is>
          <t xml:space="preserve">ii </t>
        </is>
      </c>
      <c r="R725" t="inlineStr">
        <is>
          <t xml:space="preserve">HM </t>
        </is>
      </c>
      <c r="S725" t="n">
        <v>2</v>
      </c>
      <c r="T725" t="n">
        <v>2</v>
      </c>
      <c r="U725" t="inlineStr">
        <is>
          <t>2005-10-06</t>
        </is>
      </c>
      <c r="V725" t="inlineStr">
        <is>
          <t>2005-10-06</t>
        </is>
      </c>
      <c r="W725" t="inlineStr">
        <is>
          <t>2005-10-06</t>
        </is>
      </c>
      <c r="X725" t="inlineStr">
        <is>
          <t>2005-10-06</t>
        </is>
      </c>
      <c r="Y725" t="n">
        <v>186</v>
      </c>
      <c r="Z725" t="n">
        <v>126</v>
      </c>
      <c r="AA725" t="n">
        <v>133</v>
      </c>
      <c r="AB725" t="n">
        <v>2</v>
      </c>
      <c r="AC725" t="n">
        <v>2</v>
      </c>
      <c r="AD725" t="n">
        <v>8</v>
      </c>
      <c r="AE725" t="n">
        <v>8</v>
      </c>
      <c r="AF725" t="n">
        <v>1</v>
      </c>
      <c r="AG725" t="n">
        <v>1</v>
      </c>
      <c r="AH725" t="n">
        <v>4</v>
      </c>
      <c r="AI725" t="n">
        <v>4</v>
      </c>
      <c r="AJ725" t="n">
        <v>5</v>
      </c>
      <c r="AK725" t="n">
        <v>5</v>
      </c>
      <c r="AL725" t="n">
        <v>1</v>
      </c>
      <c r="AM725" t="n">
        <v>1</v>
      </c>
      <c r="AN725" t="n">
        <v>0</v>
      </c>
      <c r="AO725" t="n">
        <v>0</v>
      </c>
      <c r="AP725" t="inlineStr">
        <is>
          <t>No</t>
        </is>
      </c>
      <c r="AQ725" t="inlineStr">
        <is>
          <t>Yes</t>
        </is>
      </c>
      <c r="AR725">
        <f>HYPERLINK("http://catalog.hathitrust.org/Record/003021202","HathiTrust Record")</f>
        <v/>
      </c>
      <c r="AS725">
        <f>HYPERLINK("https://creighton-primo.hosted.exlibrisgroup.com/primo-explore/search?tab=default_tab&amp;search_scope=EVERYTHING&amp;vid=01CRU&amp;lang=en_US&amp;offset=0&amp;query=any,contains,991004650859702656","Catalog Record")</f>
        <v/>
      </c>
      <c r="AT725">
        <f>HYPERLINK("http://www.worldcat.org/oclc/32590200","WorldCat Record")</f>
        <v/>
      </c>
      <c r="AU725" t="inlineStr">
        <is>
          <t>836935437:eng</t>
        </is>
      </c>
      <c r="AV725" t="inlineStr">
        <is>
          <t>32590200</t>
        </is>
      </c>
      <c r="AW725" t="inlineStr">
        <is>
          <t>991004650859702656</t>
        </is>
      </c>
      <c r="AX725" t="inlineStr">
        <is>
          <t>991004650859702656</t>
        </is>
      </c>
      <c r="AY725" t="inlineStr">
        <is>
          <t>2272283430002656</t>
        </is>
      </c>
      <c r="AZ725" t="inlineStr">
        <is>
          <t>BOOK</t>
        </is>
      </c>
      <c r="BB725" t="inlineStr">
        <is>
          <t>9780803992047</t>
        </is>
      </c>
      <c r="BC725" t="inlineStr">
        <is>
          <t>32285005088645</t>
        </is>
      </c>
      <c r="BD725" t="inlineStr">
        <is>
          <t>893687980</t>
        </is>
      </c>
    </row>
    <row r="726">
      <c r="A726" t="inlineStr">
        <is>
          <t>No</t>
        </is>
      </c>
      <c r="B726" t="inlineStr">
        <is>
          <t>HM51 .P312</t>
        </is>
      </c>
      <c r="C726" t="inlineStr">
        <is>
          <t>0                      HM 0051000P  312</t>
        </is>
      </c>
      <c r="D726" t="inlineStr">
        <is>
          <t>On social control and collective behavior. Selected papers, edited and with an introd. by Ralph H. Turner.</t>
        </is>
      </c>
      <c r="F726" t="inlineStr">
        <is>
          <t>No</t>
        </is>
      </c>
      <c r="G726" t="inlineStr">
        <is>
          <t>1</t>
        </is>
      </c>
      <c r="H726" t="inlineStr">
        <is>
          <t>No</t>
        </is>
      </c>
      <c r="I726" t="inlineStr">
        <is>
          <t>No</t>
        </is>
      </c>
      <c r="J726" t="inlineStr">
        <is>
          <t>0</t>
        </is>
      </c>
      <c r="K726" t="inlineStr">
        <is>
          <t>Park, Robert Ezra, 1864-1944.</t>
        </is>
      </c>
      <c r="L726" t="inlineStr">
        <is>
          <t>Chicago, University of Chicago Press [1967]</t>
        </is>
      </c>
      <c r="M726" t="inlineStr">
        <is>
          <t>1967</t>
        </is>
      </c>
      <c r="N726" t="inlineStr">
        <is>
          <t>[1st Phoenix ed.]</t>
        </is>
      </c>
      <c r="O726" t="inlineStr">
        <is>
          <t>eng</t>
        </is>
      </c>
      <c r="P726" t="inlineStr">
        <is>
          <t>ilu</t>
        </is>
      </c>
      <c r="Q726" t="inlineStr">
        <is>
          <t>The Heritage of sociology</t>
        </is>
      </c>
      <c r="R726" t="inlineStr">
        <is>
          <t xml:space="preserve">HM </t>
        </is>
      </c>
      <c r="S726" t="n">
        <v>3</v>
      </c>
      <c r="T726" t="n">
        <v>3</v>
      </c>
      <c r="U726" t="inlineStr">
        <is>
          <t>2002-11-06</t>
        </is>
      </c>
      <c r="V726" t="inlineStr">
        <is>
          <t>2002-11-06</t>
        </is>
      </c>
      <c r="W726" t="inlineStr">
        <is>
          <t>1997-07-28</t>
        </is>
      </c>
      <c r="X726" t="inlineStr">
        <is>
          <t>1997-07-28</t>
        </is>
      </c>
      <c r="Y726" t="n">
        <v>1049</v>
      </c>
      <c r="Z726" t="n">
        <v>907</v>
      </c>
      <c r="AA726" t="n">
        <v>919</v>
      </c>
      <c r="AB726" t="n">
        <v>7</v>
      </c>
      <c r="AC726" t="n">
        <v>7</v>
      </c>
      <c r="AD726" t="n">
        <v>41</v>
      </c>
      <c r="AE726" t="n">
        <v>41</v>
      </c>
      <c r="AF726" t="n">
        <v>16</v>
      </c>
      <c r="AG726" t="n">
        <v>16</v>
      </c>
      <c r="AH726" t="n">
        <v>10</v>
      </c>
      <c r="AI726" t="n">
        <v>10</v>
      </c>
      <c r="AJ726" t="n">
        <v>19</v>
      </c>
      <c r="AK726" t="n">
        <v>19</v>
      </c>
      <c r="AL726" t="n">
        <v>6</v>
      </c>
      <c r="AM726" t="n">
        <v>6</v>
      </c>
      <c r="AN726" t="n">
        <v>1</v>
      </c>
      <c r="AO726" t="n">
        <v>1</v>
      </c>
      <c r="AP726" t="inlineStr">
        <is>
          <t>No</t>
        </is>
      </c>
      <c r="AQ726" t="inlineStr">
        <is>
          <t>Yes</t>
        </is>
      </c>
      <c r="AR726">
        <f>HYPERLINK("http://catalog.hathitrust.org/Record/001109160","HathiTrust Record")</f>
        <v/>
      </c>
      <c r="AS726">
        <f>HYPERLINK("https://creighton-primo.hosted.exlibrisgroup.com/primo-explore/search?tab=default_tab&amp;search_scope=EVERYTHING&amp;vid=01CRU&amp;lang=en_US&amp;offset=0&amp;query=any,contains,991001970069702656","Catalog Record")</f>
        <v/>
      </c>
      <c r="AT726">
        <f>HYPERLINK("http://www.worldcat.org/oclc/253917","WorldCat Record")</f>
        <v/>
      </c>
      <c r="AU726" t="inlineStr">
        <is>
          <t>500479645:eng</t>
        </is>
      </c>
      <c r="AV726" t="inlineStr">
        <is>
          <t>253917</t>
        </is>
      </c>
      <c r="AW726" t="inlineStr">
        <is>
          <t>991001970069702656</t>
        </is>
      </c>
      <c r="AX726" t="inlineStr">
        <is>
          <t>991001970069702656</t>
        </is>
      </c>
      <c r="AY726" t="inlineStr">
        <is>
          <t>2267154410002656</t>
        </is>
      </c>
      <c r="AZ726" t="inlineStr">
        <is>
          <t>BOOK</t>
        </is>
      </c>
      <c r="BC726" t="inlineStr">
        <is>
          <t>32285003009023</t>
        </is>
      </c>
      <c r="BD726" t="inlineStr">
        <is>
          <t>893226285</t>
        </is>
      </c>
    </row>
    <row r="727">
      <c r="A727" t="inlineStr">
        <is>
          <t>No</t>
        </is>
      </c>
      <c r="B727" t="inlineStr">
        <is>
          <t>HM51 .R42 1991</t>
        </is>
      </c>
      <c r="C727" t="inlineStr">
        <is>
          <t>0                      HM 0051000R  42          1991</t>
        </is>
      </c>
      <c r="D727" t="inlineStr">
        <is>
          <t>The sociological worldview / Sal Restivo.</t>
        </is>
      </c>
      <c r="F727" t="inlineStr">
        <is>
          <t>No</t>
        </is>
      </c>
      <c r="G727" t="inlineStr">
        <is>
          <t>1</t>
        </is>
      </c>
      <c r="H727" t="inlineStr">
        <is>
          <t>No</t>
        </is>
      </c>
      <c r="I727" t="inlineStr">
        <is>
          <t>No</t>
        </is>
      </c>
      <c r="J727" t="inlineStr">
        <is>
          <t>0</t>
        </is>
      </c>
      <c r="K727" t="inlineStr">
        <is>
          <t>Restivo, Sal P.</t>
        </is>
      </c>
      <c r="L727" t="inlineStr">
        <is>
          <t>Oxford, UK ; Cambridge, Mass., USA : B. Blackwell, 1991.</t>
        </is>
      </c>
      <c r="M727" t="inlineStr">
        <is>
          <t>1991</t>
        </is>
      </c>
      <c r="O727" t="inlineStr">
        <is>
          <t>eng</t>
        </is>
      </c>
      <c r="P727" t="inlineStr">
        <is>
          <t>enk</t>
        </is>
      </c>
      <c r="R727" t="inlineStr">
        <is>
          <t xml:space="preserve">HM </t>
        </is>
      </c>
      <c r="S727" t="n">
        <v>8</v>
      </c>
      <c r="T727" t="n">
        <v>8</v>
      </c>
      <c r="U727" t="inlineStr">
        <is>
          <t>2003-06-27</t>
        </is>
      </c>
      <c r="V727" t="inlineStr">
        <is>
          <t>2003-06-27</t>
        </is>
      </c>
      <c r="W727" t="inlineStr">
        <is>
          <t>1991-08-08</t>
        </is>
      </c>
      <c r="X727" t="inlineStr">
        <is>
          <t>1991-08-08</t>
        </is>
      </c>
      <c r="Y727" t="n">
        <v>433</v>
      </c>
      <c r="Z727" t="n">
        <v>322</v>
      </c>
      <c r="AA727" t="n">
        <v>328</v>
      </c>
      <c r="AB727" t="n">
        <v>3</v>
      </c>
      <c r="AC727" t="n">
        <v>3</v>
      </c>
      <c r="AD727" t="n">
        <v>16</v>
      </c>
      <c r="AE727" t="n">
        <v>16</v>
      </c>
      <c r="AF727" t="n">
        <v>6</v>
      </c>
      <c r="AG727" t="n">
        <v>6</v>
      </c>
      <c r="AH727" t="n">
        <v>3</v>
      </c>
      <c r="AI727" t="n">
        <v>3</v>
      </c>
      <c r="AJ727" t="n">
        <v>10</v>
      </c>
      <c r="AK727" t="n">
        <v>10</v>
      </c>
      <c r="AL727" t="n">
        <v>2</v>
      </c>
      <c r="AM727" t="n">
        <v>2</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HYPERLINK("https://creighton-primo.hosted.exlibrisgroup.com/primo-explore/search?tab=default_tab&amp;search_scope=EVERYTHING&amp;vid=01CRU&amp;lang=en_US&amp;offset=0&amp;query=any,contains,991001678419702656","Catalog Record")</f>
        <v/>
      </c>
      <c r="AT727">
        <f>HYPERLINK("http://www.worldcat.org/oclc/21335279","WorldCat Record")</f>
        <v/>
      </c>
      <c r="AU727" t="inlineStr">
        <is>
          <t>19855645:eng</t>
        </is>
      </c>
      <c r="AV727" t="inlineStr">
        <is>
          <t>21335279</t>
        </is>
      </c>
      <c r="AW727" t="inlineStr">
        <is>
          <t>991001678419702656</t>
        </is>
      </c>
      <c r="AX727" t="inlineStr">
        <is>
          <t>991001678419702656</t>
        </is>
      </c>
      <c r="AY727" t="inlineStr">
        <is>
          <t>2264041000002656</t>
        </is>
      </c>
      <c r="AZ727" t="inlineStr">
        <is>
          <t>BOOK</t>
        </is>
      </c>
      <c r="BB727" t="inlineStr">
        <is>
          <t>9780631177814</t>
        </is>
      </c>
      <c r="BC727" t="inlineStr">
        <is>
          <t>32285000700152</t>
        </is>
      </c>
      <c r="BD727" t="inlineStr">
        <is>
          <t>893315958</t>
        </is>
      </c>
    </row>
    <row r="728">
      <c r="A728" t="inlineStr">
        <is>
          <t>No</t>
        </is>
      </c>
      <c r="B728" t="inlineStr">
        <is>
          <t>HM51 .R67</t>
        </is>
      </c>
      <c r="C728" t="inlineStr">
        <is>
          <t>0                      HM 0051000R  67</t>
        </is>
      </c>
      <c r="D728" t="inlineStr">
        <is>
          <t>Introduction to sociology / by Jerry D. Rose. --</t>
        </is>
      </c>
      <c r="F728" t="inlineStr">
        <is>
          <t>No</t>
        </is>
      </c>
      <c r="G728" t="inlineStr">
        <is>
          <t>1</t>
        </is>
      </c>
      <c r="H728" t="inlineStr">
        <is>
          <t>No</t>
        </is>
      </c>
      <c r="I728" t="inlineStr">
        <is>
          <t>No</t>
        </is>
      </c>
      <c r="J728" t="inlineStr">
        <is>
          <t>0</t>
        </is>
      </c>
      <c r="K728" t="inlineStr">
        <is>
          <t>Rose, Jerry D., 1933-</t>
        </is>
      </c>
      <c r="L728" t="inlineStr">
        <is>
          <t>Chicago : Rand McNally, [c1974]</t>
        </is>
      </c>
      <c r="M728" t="inlineStr">
        <is>
          <t>1974</t>
        </is>
      </c>
      <c r="N728" t="inlineStr">
        <is>
          <t>2d ed.</t>
        </is>
      </c>
      <c r="O728" t="inlineStr">
        <is>
          <t>eng</t>
        </is>
      </c>
      <c r="P728" t="inlineStr">
        <is>
          <t>ilu</t>
        </is>
      </c>
      <c r="Q728" t="inlineStr">
        <is>
          <t>Rand McNally sociology series</t>
        </is>
      </c>
      <c r="R728" t="inlineStr">
        <is>
          <t xml:space="preserve">HM </t>
        </is>
      </c>
      <c r="S728" t="n">
        <v>5</v>
      </c>
      <c r="T728" t="n">
        <v>5</v>
      </c>
      <c r="U728" t="inlineStr">
        <is>
          <t>2003-06-27</t>
        </is>
      </c>
      <c r="V728" t="inlineStr">
        <is>
          <t>2003-06-27</t>
        </is>
      </c>
      <c r="W728" t="inlineStr">
        <is>
          <t>1990-04-26</t>
        </is>
      </c>
      <c r="X728" t="inlineStr">
        <is>
          <t>1990-04-26</t>
        </is>
      </c>
      <c r="Y728" t="n">
        <v>125</v>
      </c>
      <c r="Z728" t="n">
        <v>101</v>
      </c>
      <c r="AA728" t="n">
        <v>297</v>
      </c>
      <c r="AB728" t="n">
        <v>2</v>
      </c>
      <c r="AC728" t="n">
        <v>2</v>
      </c>
      <c r="AD728" t="n">
        <v>4</v>
      </c>
      <c r="AE728" t="n">
        <v>14</v>
      </c>
      <c r="AF728" t="n">
        <v>2</v>
      </c>
      <c r="AG728" t="n">
        <v>6</v>
      </c>
      <c r="AH728" t="n">
        <v>0</v>
      </c>
      <c r="AI728" t="n">
        <v>5</v>
      </c>
      <c r="AJ728" t="n">
        <v>2</v>
      </c>
      <c r="AK728" t="n">
        <v>6</v>
      </c>
      <c r="AL728" t="n">
        <v>1</v>
      </c>
      <c r="AM728" t="n">
        <v>1</v>
      </c>
      <c r="AN728" t="n">
        <v>0</v>
      </c>
      <c r="AO728" t="n">
        <v>0</v>
      </c>
      <c r="AP728" t="inlineStr">
        <is>
          <t>No</t>
        </is>
      </c>
      <c r="AQ728" t="inlineStr">
        <is>
          <t>Yes</t>
        </is>
      </c>
      <c r="AR728">
        <f>HYPERLINK("http://catalog.hathitrust.org/Record/007570931","HathiTrust Record")</f>
        <v/>
      </c>
      <c r="AS728">
        <f>HYPERLINK("https://creighton-primo.hosted.exlibrisgroup.com/primo-explore/search?tab=default_tab&amp;search_scope=EVERYTHING&amp;vid=01CRU&amp;lang=en_US&amp;offset=0&amp;query=any,contains,991003350719702656","Catalog Record")</f>
        <v/>
      </c>
      <c r="AT728">
        <f>HYPERLINK("http://www.worldcat.org/oclc/884183","WorldCat Record")</f>
        <v/>
      </c>
      <c r="AU728" t="inlineStr">
        <is>
          <t>1291165:eng</t>
        </is>
      </c>
      <c r="AV728" t="inlineStr">
        <is>
          <t>884183</t>
        </is>
      </c>
      <c r="AW728" t="inlineStr">
        <is>
          <t>991003350719702656</t>
        </is>
      </c>
      <c r="AX728" t="inlineStr">
        <is>
          <t>991003350719702656</t>
        </is>
      </c>
      <c r="AY728" t="inlineStr">
        <is>
          <t>2259245510002656</t>
        </is>
      </c>
      <c r="AZ728" t="inlineStr">
        <is>
          <t>BOOK</t>
        </is>
      </c>
      <c r="BC728" t="inlineStr">
        <is>
          <t>32285000134451</t>
        </is>
      </c>
      <c r="BD728" t="inlineStr">
        <is>
          <t>893234086</t>
        </is>
      </c>
    </row>
    <row r="729">
      <c r="A729" t="inlineStr">
        <is>
          <t>No</t>
        </is>
      </c>
      <c r="B729" t="inlineStr">
        <is>
          <t>HM51 .S26 1991</t>
        </is>
      </c>
      <c r="C729" t="inlineStr">
        <is>
          <t>0                      HM 0051000S  26          1991</t>
        </is>
      </c>
      <c r="D729" t="inlineStr">
        <is>
          <t>Macrosociology : an introduction to human societies / Stephen K. Sanderson.</t>
        </is>
      </c>
      <c r="F729" t="inlineStr">
        <is>
          <t>No</t>
        </is>
      </c>
      <c r="G729" t="inlineStr">
        <is>
          <t>1</t>
        </is>
      </c>
      <c r="H729" t="inlineStr">
        <is>
          <t>No</t>
        </is>
      </c>
      <c r="I729" t="inlineStr">
        <is>
          <t>No</t>
        </is>
      </c>
      <c r="J729" t="inlineStr">
        <is>
          <t>0</t>
        </is>
      </c>
      <c r="K729" t="inlineStr">
        <is>
          <t>Sanderson, Stephen K.</t>
        </is>
      </c>
      <c r="L729" t="inlineStr">
        <is>
          <t>New York : HarperCollins, c1991.</t>
        </is>
      </c>
      <c r="M729" t="inlineStr">
        <is>
          <t>1991</t>
        </is>
      </c>
      <c r="N729" t="inlineStr">
        <is>
          <t>2nd ed.</t>
        </is>
      </c>
      <c r="O729" t="inlineStr">
        <is>
          <t>eng</t>
        </is>
      </c>
      <c r="P729" t="inlineStr">
        <is>
          <t>nyu</t>
        </is>
      </c>
      <c r="R729" t="inlineStr">
        <is>
          <t xml:space="preserve">HM </t>
        </is>
      </c>
      <c r="S729" t="n">
        <v>2</v>
      </c>
      <c r="T729" t="n">
        <v>2</v>
      </c>
      <c r="U729" t="inlineStr">
        <is>
          <t>1995-09-10</t>
        </is>
      </c>
      <c r="V729" t="inlineStr">
        <is>
          <t>1995-09-10</t>
        </is>
      </c>
      <c r="W729" t="inlineStr">
        <is>
          <t>1994-06-28</t>
        </is>
      </c>
      <c r="X729" t="inlineStr">
        <is>
          <t>1994-06-28</t>
        </is>
      </c>
      <c r="Y729" t="n">
        <v>71</v>
      </c>
      <c r="Z729" t="n">
        <v>39</v>
      </c>
      <c r="AA729" t="n">
        <v>162</v>
      </c>
      <c r="AB729" t="n">
        <v>1</v>
      </c>
      <c r="AC729" t="n">
        <v>2</v>
      </c>
      <c r="AD729" t="n">
        <v>1</v>
      </c>
      <c r="AE729" t="n">
        <v>8</v>
      </c>
      <c r="AF729" t="n">
        <v>0</v>
      </c>
      <c r="AG729" t="n">
        <v>2</v>
      </c>
      <c r="AH729" t="n">
        <v>1</v>
      </c>
      <c r="AI729" t="n">
        <v>3</v>
      </c>
      <c r="AJ729" t="n">
        <v>0</v>
      </c>
      <c r="AK729" t="n">
        <v>4</v>
      </c>
      <c r="AL729" t="n">
        <v>0</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HYPERLINK("https://creighton-primo.hosted.exlibrisgroup.com/primo-explore/search?tab=default_tab&amp;search_scope=EVERYTHING&amp;vid=01CRU&amp;lang=en_US&amp;offset=0&amp;query=any,contains,991001687369702656","Catalog Record")</f>
        <v/>
      </c>
      <c r="AT729">
        <f>HYPERLINK("http://www.worldcat.org/oclc/21408728","WorldCat Record")</f>
        <v/>
      </c>
      <c r="AU729" t="inlineStr">
        <is>
          <t>836716993:eng</t>
        </is>
      </c>
      <c r="AV729" t="inlineStr">
        <is>
          <t>21408728</t>
        </is>
      </c>
      <c r="AW729" t="inlineStr">
        <is>
          <t>991001687369702656</t>
        </is>
      </c>
      <c r="AX729" t="inlineStr">
        <is>
          <t>991001687369702656</t>
        </is>
      </c>
      <c r="AY729" t="inlineStr">
        <is>
          <t>2272747210002656</t>
        </is>
      </c>
      <c r="AZ729" t="inlineStr">
        <is>
          <t>BOOK</t>
        </is>
      </c>
      <c r="BB729" t="inlineStr">
        <is>
          <t>9780060457143</t>
        </is>
      </c>
      <c r="BC729" t="inlineStr">
        <is>
          <t>32285001924843</t>
        </is>
      </c>
      <c r="BD729" t="inlineStr">
        <is>
          <t>893522747</t>
        </is>
      </c>
    </row>
    <row r="730">
      <c r="A730" t="inlineStr">
        <is>
          <t>No</t>
        </is>
      </c>
      <c r="B730" t="inlineStr">
        <is>
          <t>HM51 .S346 1996</t>
        </is>
      </c>
      <c r="C730" t="inlineStr">
        <is>
          <t>0                      HM 0051000S  346         1996</t>
        </is>
      </c>
      <c r="D730" t="inlineStr">
        <is>
          <t>Social practices : a Wittgensteinian approach to human activity and the social / Theodore R. Schatzki.</t>
        </is>
      </c>
      <c r="F730" t="inlineStr">
        <is>
          <t>No</t>
        </is>
      </c>
      <c r="G730" t="inlineStr">
        <is>
          <t>1</t>
        </is>
      </c>
      <c r="H730" t="inlineStr">
        <is>
          <t>No</t>
        </is>
      </c>
      <c r="I730" t="inlineStr">
        <is>
          <t>No</t>
        </is>
      </c>
      <c r="J730" t="inlineStr">
        <is>
          <t>0</t>
        </is>
      </c>
      <c r="K730" t="inlineStr">
        <is>
          <t>Schatzki, Theodore R.</t>
        </is>
      </c>
      <c r="L730" t="inlineStr">
        <is>
          <t>Cambridge ; New York : Cambridge University Press, 1996.</t>
        </is>
      </c>
      <c r="M730" t="inlineStr">
        <is>
          <t>1996</t>
        </is>
      </c>
      <c r="O730" t="inlineStr">
        <is>
          <t>eng</t>
        </is>
      </c>
      <c r="P730" t="inlineStr">
        <is>
          <t>enk</t>
        </is>
      </c>
      <c r="R730" t="inlineStr">
        <is>
          <t xml:space="preserve">HM </t>
        </is>
      </c>
      <c r="S730" t="n">
        <v>0</v>
      </c>
      <c r="T730" t="n">
        <v>0</v>
      </c>
      <c r="U730" t="inlineStr">
        <is>
          <t>2008-02-06</t>
        </is>
      </c>
      <c r="V730" t="inlineStr">
        <is>
          <t>2008-02-06</t>
        </is>
      </c>
      <c r="W730" t="inlineStr">
        <is>
          <t>1996-10-24</t>
        </is>
      </c>
      <c r="X730" t="inlineStr">
        <is>
          <t>1996-10-24</t>
        </is>
      </c>
      <c r="Y730" t="n">
        <v>372</v>
      </c>
      <c r="Z730" t="n">
        <v>264</v>
      </c>
      <c r="AA730" t="n">
        <v>274</v>
      </c>
      <c r="AB730" t="n">
        <v>2</v>
      </c>
      <c r="AC730" t="n">
        <v>2</v>
      </c>
      <c r="AD730" t="n">
        <v>18</v>
      </c>
      <c r="AE730" t="n">
        <v>18</v>
      </c>
      <c r="AF730" t="n">
        <v>5</v>
      </c>
      <c r="AG730" t="n">
        <v>5</v>
      </c>
      <c r="AH730" t="n">
        <v>7</v>
      </c>
      <c r="AI730" t="n">
        <v>7</v>
      </c>
      <c r="AJ730" t="n">
        <v>11</v>
      </c>
      <c r="AK730" t="n">
        <v>11</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HYPERLINK("https://creighton-primo.hosted.exlibrisgroup.com/primo-explore/search?tab=default_tab&amp;search_scope=EVERYTHING&amp;vid=01CRU&amp;lang=en_US&amp;offset=0&amp;query=any,contains,991002563989702656","Catalog Record")</f>
        <v/>
      </c>
      <c r="AT730">
        <f>HYPERLINK("http://www.worldcat.org/oclc/33334500","WorldCat Record")</f>
        <v/>
      </c>
      <c r="AU730" t="inlineStr">
        <is>
          <t>865163466:eng</t>
        </is>
      </c>
      <c r="AV730" t="inlineStr">
        <is>
          <t>33334500</t>
        </is>
      </c>
      <c r="AW730" t="inlineStr">
        <is>
          <t>991002563989702656</t>
        </is>
      </c>
      <c r="AX730" t="inlineStr">
        <is>
          <t>991002563989702656</t>
        </is>
      </c>
      <c r="AY730" t="inlineStr">
        <is>
          <t>2259378880002656</t>
        </is>
      </c>
      <c r="AZ730" t="inlineStr">
        <is>
          <t>BOOK</t>
        </is>
      </c>
      <c r="BB730" t="inlineStr">
        <is>
          <t>9780521560221</t>
        </is>
      </c>
      <c r="BC730" t="inlineStr">
        <is>
          <t>32285002368529</t>
        </is>
      </c>
      <c r="BD730" t="inlineStr">
        <is>
          <t>893504536</t>
        </is>
      </c>
    </row>
    <row r="731">
      <c r="A731" t="inlineStr">
        <is>
          <t>No</t>
        </is>
      </c>
      <c r="B731" t="inlineStr">
        <is>
          <t>HM51 .S66235 1993</t>
        </is>
      </c>
      <c r="C731" t="inlineStr">
        <is>
          <t>0                      HM 0051000S  66235       1993</t>
        </is>
      </c>
      <c r="D731" t="inlineStr">
        <is>
          <t>Social theory : the multicultural and classic readings / edited by Charles Lemert.</t>
        </is>
      </c>
      <c r="F731" t="inlineStr">
        <is>
          <t>No</t>
        </is>
      </c>
      <c r="G731" t="inlineStr">
        <is>
          <t>1</t>
        </is>
      </c>
      <c r="H731" t="inlineStr">
        <is>
          <t>No</t>
        </is>
      </c>
      <c r="I731" t="inlineStr">
        <is>
          <t>No</t>
        </is>
      </c>
      <c r="J731" t="inlineStr">
        <is>
          <t>0</t>
        </is>
      </c>
      <c r="L731" t="inlineStr">
        <is>
          <t>Boulder, Colo. : Westview Press, 1993.</t>
        </is>
      </c>
      <c r="M731" t="inlineStr">
        <is>
          <t>1993</t>
        </is>
      </c>
      <c r="O731" t="inlineStr">
        <is>
          <t>eng</t>
        </is>
      </c>
      <c r="P731" t="inlineStr">
        <is>
          <t>cou</t>
        </is>
      </c>
      <c r="R731" t="inlineStr">
        <is>
          <t xml:space="preserve">HM </t>
        </is>
      </c>
      <c r="S731" t="n">
        <v>6</v>
      </c>
      <c r="T731" t="n">
        <v>6</v>
      </c>
      <c r="U731" t="inlineStr">
        <is>
          <t>2007-11-10</t>
        </is>
      </c>
      <c r="V731" t="inlineStr">
        <is>
          <t>2007-11-10</t>
        </is>
      </c>
      <c r="W731" t="inlineStr">
        <is>
          <t>1997-10-28</t>
        </is>
      </c>
      <c r="X731" t="inlineStr">
        <is>
          <t>1997-10-28</t>
        </is>
      </c>
      <c r="Y731" t="n">
        <v>435</v>
      </c>
      <c r="Z731" t="n">
        <v>316</v>
      </c>
      <c r="AA731" t="n">
        <v>776</v>
      </c>
      <c r="AB731" t="n">
        <v>1</v>
      </c>
      <c r="AC731" t="n">
        <v>4</v>
      </c>
      <c r="AD731" t="n">
        <v>13</v>
      </c>
      <c r="AE731" t="n">
        <v>30</v>
      </c>
      <c r="AF731" t="n">
        <v>3</v>
      </c>
      <c r="AG731" t="n">
        <v>12</v>
      </c>
      <c r="AH731" t="n">
        <v>6</v>
      </c>
      <c r="AI731" t="n">
        <v>9</v>
      </c>
      <c r="AJ731" t="n">
        <v>8</v>
      </c>
      <c r="AK731" t="n">
        <v>14</v>
      </c>
      <c r="AL731" t="n">
        <v>0</v>
      </c>
      <c r="AM731" t="n">
        <v>3</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HYPERLINK("https://creighton-primo.hosted.exlibrisgroup.com/primo-explore/search?tab=default_tab&amp;search_scope=EVERYTHING&amp;vid=01CRU&amp;lang=en_US&amp;offset=0&amp;query=any,contains,991002178209702656","Catalog Record")</f>
        <v/>
      </c>
      <c r="AT731">
        <f>HYPERLINK("http://www.worldcat.org/oclc/28028601","WorldCat Record")</f>
        <v/>
      </c>
      <c r="AU731" t="inlineStr">
        <is>
          <t>3805338458:eng</t>
        </is>
      </c>
      <c r="AV731" t="inlineStr">
        <is>
          <t>28028601</t>
        </is>
      </c>
      <c r="AW731" t="inlineStr">
        <is>
          <t>991002178209702656</t>
        </is>
      </c>
      <c r="AX731" t="inlineStr">
        <is>
          <t>991002178209702656</t>
        </is>
      </c>
      <c r="AY731" t="inlineStr">
        <is>
          <t>2264465700002656</t>
        </is>
      </c>
      <c r="AZ731" t="inlineStr">
        <is>
          <t>BOOK</t>
        </is>
      </c>
      <c r="BB731" t="inlineStr">
        <is>
          <t>9780813315836</t>
        </is>
      </c>
      <c r="BC731" t="inlineStr">
        <is>
          <t>32285003258018</t>
        </is>
      </c>
      <c r="BD731" t="inlineStr">
        <is>
          <t>893792111</t>
        </is>
      </c>
    </row>
    <row r="732">
      <c r="A732" t="inlineStr">
        <is>
          <t>No</t>
        </is>
      </c>
      <c r="B732" t="inlineStr">
        <is>
          <t>HM51 .S66337 1980</t>
        </is>
      </c>
      <c r="C732" t="inlineStr">
        <is>
          <t>0                      HM 0051000S  66337       1980</t>
        </is>
      </c>
      <c r="D732" t="inlineStr">
        <is>
          <t>Sociology : an introduction / Reece McGee [editor] and others ; contributing authors, Reece McGee ... [et al.].</t>
        </is>
      </c>
      <c r="F732" t="inlineStr">
        <is>
          <t>No</t>
        </is>
      </c>
      <c r="G732" t="inlineStr">
        <is>
          <t>1</t>
        </is>
      </c>
      <c r="H732" t="inlineStr">
        <is>
          <t>No</t>
        </is>
      </c>
      <c r="I732" t="inlineStr">
        <is>
          <t>No</t>
        </is>
      </c>
      <c r="J732" t="inlineStr">
        <is>
          <t>0</t>
        </is>
      </c>
      <c r="L732" t="inlineStr">
        <is>
          <t>New York : Holt, Rinehart and Winston, c1980.</t>
        </is>
      </c>
      <c r="M732" t="inlineStr">
        <is>
          <t>1980</t>
        </is>
      </c>
      <c r="N732" t="inlineStr">
        <is>
          <t>2d ed.</t>
        </is>
      </c>
      <c r="O732" t="inlineStr">
        <is>
          <t>eng</t>
        </is>
      </c>
      <c r="P732" t="inlineStr">
        <is>
          <t>nyu</t>
        </is>
      </c>
      <c r="R732" t="inlineStr">
        <is>
          <t xml:space="preserve">HM </t>
        </is>
      </c>
      <c r="S732" t="n">
        <v>14</v>
      </c>
      <c r="T732" t="n">
        <v>14</v>
      </c>
      <c r="U732" t="inlineStr">
        <is>
          <t>2003-04-11</t>
        </is>
      </c>
      <c r="V732" t="inlineStr">
        <is>
          <t>2003-04-11</t>
        </is>
      </c>
      <c r="W732" t="inlineStr">
        <is>
          <t>1992-08-13</t>
        </is>
      </c>
      <c r="X732" t="inlineStr">
        <is>
          <t>1992-08-13</t>
        </is>
      </c>
      <c r="Y732" t="n">
        <v>89</v>
      </c>
      <c r="Z732" t="n">
        <v>61</v>
      </c>
      <c r="AA732" t="n">
        <v>134</v>
      </c>
      <c r="AB732" t="n">
        <v>1</v>
      </c>
      <c r="AC732" t="n">
        <v>2</v>
      </c>
      <c r="AD732" t="n">
        <v>0</v>
      </c>
      <c r="AE732" t="n">
        <v>3</v>
      </c>
      <c r="AF732" t="n">
        <v>0</v>
      </c>
      <c r="AG732" t="n">
        <v>1</v>
      </c>
      <c r="AH732" t="n">
        <v>0</v>
      </c>
      <c r="AI732" t="n">
        <v>1</v>
      </c>
      <c r="AJ732" t="n">
        <v>0</v>
      </c>
      <c r="AK732" t="n">
        <v>1</v>
      </c>
      <c r="AL732" t="n">
        <v>0</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HYPERLINK("https://creighton-primo.hosted.exlibrisgroup.com/primo-explore/search?tab=default_tab&amp;search_scope=EVERYTHING&amp;vid=01CRU&amp;lang=en_US&amp;offset=0&amp;query=any,contains,991004805039702656","Catalog Record")</f>
        <v/>
      </c>
      <c r="AT732">
        <f>HYPERLINK("http://www.worldcat.org/oclc/5239810","WorldCat Record")</f>
        <v/>
      </c>
      <c r="AU732" t="inlineStr">
        <is>
          <t>180327395:eng</t>
        </is>
      </c>
      <c r="AV732" t="inlineStr">
        <is>
          <t>5239810</t>
        </is>
      </c>
      <c r="AW732" t="inlineStr">
        <is>
          <t>991004805039702656</t>
        </is>
      </c>
      <c r="AX732" t="inlineStr">
        <is>
          <t>991004805039702656</t>
        </is>
      </c>
      <c r="AY732" t="inlineStr">
        <is>
          <t>2264336230002656</t>
        </is>
      </c>
      <c r="AZ732" t="inlineStr">
        <is>
          <t>BOOK</t>
        </is>
      </c>
      <c r="BB732" t="inlineStr">
        <is>
          <t>9780030438912</t>
        </is>
      </c>
      <c r="BC732" t="inlineStr">
        <is>
          <t>32285001194983</t>
        </is>
      </c>
      <c r="BD732" t="inlineStr">
        <is>
          <t>893901785</t>
        </is>
      </c>
    </row>
    <row r="733">
      <c r="A733" t="inlineStr">
        <is>
          <t>No</t>
        </is>
      </c>
      <c r="B733" t="inlineStr">
        <is>
          <t>HM51 .S8112</t>
        </is>
      </c>
      <c r="C733" t="inlineStr">
        <is>
          <t>0                      HM 0051000S  8112</t>
        </is>
      </c>
      <c r="D733" t="inlineStr">
        <is>
          <t>The evolution of society; selections from Herbert Spencer's Principles of sociology. Edited and with an introd. by Robert L. Carneiro.</t>
        </is>
      </c>
      <c r="F733" t="inlineStr">
        <is>
          <t>No</t>
        </is>
      </c>
      <c r="G733" t="inlineStr">
        <is>
          <t>1</t>
        </is>
      </c>
      <c r="H733" t="inlineStr">
        <is>
          <t>No</t>
        </is>
      </c>
      <c r="I733" t="inlineStr">
        <is>
          <t>No</t>
        </is>
      </c>
      <c r="J733" t="inlineStr">
        <is>
          <t>0</t>
        </is>
      </c>
      <c r="K733" t="inlineStr">
        <is>
          <t>Spencer, Herbert, 1820-1903.</t>
        </is>
      </c>
      <c r="L733" t="inlineStr">
        <is>
          <t>Chicago, University of Chicago Press [1967]</t>
        </is>
      </c>
      <c r="M733" t="inlineStr">
        <is>
          <t>1967</t>
        </is>
      </c>
      <c r="O733" t="inlineStr">
        <is>
          <t>eng</t>
        </is>
      </c>
      <c r="P733" t="inlineStr">
        <is>
          <t>ilu</t>
        </is>
      </c>
      <c r="Q733" t="inlineStr">
        <is>
          <t>Classics in anthropology</t>
        </is>
      </c>
      <c r="R733" t="inlineStr">
        <is>
          <t xml:space="preserve">HM </t>
        </is>
      </c>
      <c r="S733" t="n">
        <v>1</v>
      </c>
      <c r="T733" t="n">
        <v>1</v>
      </c>
      <c r="U733" t="inlineStr">
        <is>
          <t>2006-11-09</t>
        </is>
      </c>
      <c r="V733" t="inlineStr">
        <is>
          <t>2006-11-09</t>
        </is>
      </c>
      <c r="W733" t="inlineStr">
        <is>
          <t>1997-07-28</t>
        </is>
      </c>
      <c r="X733" t="inlineStr">
        <is>
          <t>1997-07-28</t>
        </is>
      </c>
      <c r="Y733" t="n">
        <v>845</v>
      </c>
      <c r="Z733" t="n">
        <v>713</v>
      </c>
      <c r="AA733" t="n">
        <v>753</v>
      </c>
      <c r="AB733" t="n">
        <v>6</v>
      </c>
      <c r="AC733" t="n">
        <v>6</v>
      </c>
      <c r="AD733" t="n">
        <v>31</v>
      </c>
      <c r="AE733" t="n">
        <v>31</v>
      </c>
      <c r="AF733" t="n">
        <v>13</v>
      </c>
      <c r="AG733" t="n">
        <v>13</v>
      </c>
      <c r="AH733" t="n">
        <v>4</v>
      </c>
      <c r="AI733" t="n">
        <v>4</v>
      </c>
      <c r="AJ733" t="n">
        <v>14</v>
      </c>
      <c r="AK733" t="n">
        <v>14</v>
      </c>
      <c r="AL733" t="n">
        <v>5</v>
      </c>
      <c r="AM733" t="n">
        <v>5</v>
      </c>
      <c r="AN733" t="n">
        <v>0</v>
      </c>
      <c r="AO733" t="n">
        <v>0</v>
      </c>
      <c r="AP733" t="inlineStr">
        <is>
          <t>No</t>
        </is>
      </c>
      <c r="AQ733" t="inlineStr">
        <is>
          <t>Yes</t>
        </is>
      </c>
      <c r="AR733">
        <f>HYPERLINK("http://catalog.hathitrust.org/Record/001109168","HathiTrust Record")</f>
        <v/>
      </c>
      <c r="AS733">
        <f>HYPERLINK("https://creighton-primo.hosted.exlibrisgroup.com/primo-explore/search?tab=default_tab&amp;search_scope=EVERYTHING&amp;vid=01CRU&amp;lang=en_US&amp;offset=0&amp;query=any,contains,991002053099702656","Catalog Record")</f>
        <v/>
      </c>
      <c r="AT733">
        <f>HYPERLINK("http://www.worldcat.org/oclc/262112","WorldCat Record")</f>
        <v/>
      </c>
      <c r="AU733" t="inlineStr">
        <is>
          <t>1151001756:eng</t>
        </is>
      </c>
      <c r="AV733" t="inlineStr">
        <is>
          <t>262112</t>
        </is>
      </c>
      <c r="AW733" t="inlineStr">
        <is>
          <t>991002053099702656</t>
        </is>
      </c>
      <c r="AX733" t="inlineStr">
        <is>
          <t>991002053099702656</t>
        </is>
      </c>
      <c r="AY733" t="inlineStr">
        <is>
          <t>2266823590002656</t>
        </is>
      </c>
      <c r="AZ733" t="inlineStr">
        <is>
          <t>BOOK</t>
        </is>
      </c>
      <c r="BC733" t="inlineStr">
        <is>
          <t>32285003009148</t>
        </is>
      </c>
      <c r="BD733" t="inlineStr">
        <is>
          <t>893596983</t>
        </is>
      </c>
    </row>
    <row r="734">
      <c r="A734" t="inlineStr">
        <is>
          <t>No</t>
        </is>
      </c>
      <c r="B734" t="inlineStr">
        <is>
          <t>HM51 .S86 1982</t>
        </is>
      </c>
      <c r="C734" t="inlineStr">
        <is>
          <t>0                      HM 0051000S  86          1982</t>
        </is>
      </c>
      <c r="D734" t="inlineStr">
        <is>
          <t>Foundations of modern sociology / Metta Spencer ; with the editorial collaboration of Alex Inkeles.</t>
        </is>
      </c>
      <c r="F734" t="inlineStr">
        <is>
          <t>No</t>
        </is>
      </c>
      <c r="G734" t="inlineStr">
        <is>
          <t>1</t>
        </is>
      </c>
      <c r="H734" t="inlineStr">
        <is>
          <t>No</t>
        </is>
      </c>
      <c r="I734" t="inlineStr">
        <is>
          <t>No</t>
        </is>
      </c>
      <c r="J734" t="inlineStr">
        <is>
          <t>0</t>
        </is>
      </c>
      <c r="K734" t="inlineStr">
        <is>
          <t>Spencer, Metta, 1931-</t>
        </is>
      </c>
      <c r="L734" t="inlineStr">
        <is>
          <t>Englewood Cliffs, N.J. : Prentice-Hall, c1982.</t>
        </is>
      </c>
      <c r="M734" t="inlineStr">
        <is>
          <t>1982</t>
        </is>
      </c>
      <c r="N734" t="inlineStr">
        <is>
          <t>3rd ed.</t>
        </is>
      </c>
      <c r="O734" t="inlineStr">
        <is>
          <t>eng</t>
        </is>
      </c>
      <c r="P734" t="inlineStr">
        <is>
          <t>nju</t>
        </is>
      </c>
      <c r="Q734" t="inlineStr">
        <is>
          <t>Prentice-Hall foundations of modern sociology series</t>
        </is>
      </c>
      <c r="R734" t="inlineStr">
        <is>
          <t xml:space="preserve">HM </t>
        </is>
      </c>
      <c r="S734" t="n">
        <v>8</v>
      </c>
      <c r="T734" t="n">
        <v>8</v>
      </c>
      <c r="U734" t="inlineStr">
        <is>
          <t>2003-06-27</t>
        </is>
      </c>
      <c r="V734" t="inlineStr">
        <is>
          <t>2003-06-27</t>
        </is>
      </c>
      <c r="W734" t="inlineStr">
        <is>
          <t>1992-08-13</t>
        </is>
      </c>
      <c r="X734" t="inlineStr">
        <is>
          <t>1992-08-13</t>
        </is>
      </c>
      <c r="Y734" t="n">
        <v>114</v>
      </c>
      <c r="Z734" t="n">
        <v>63</v>
      </c>
      <c r="AA734" t="n">
        <v>306</v>
      </c>
      <c r="AB734" t="n">
        <v>1</v>
      </c>
      <c r="AC734" t="n">
        <v>2</v>
      </c>
      <c r="AD734" t="n">
        <v>0</v>
      </c>
      <c r="AE734" t="n">
        <v>7</v>
      </c>
      <c r="AF734" t="n">
        <v>0</v>
      </c>
      <c r="AG734" t="n">
        <v>3</v>
      </c>
      <c r="AH734" t="n">
        <v>0</v>
      </c>
      <c r="AI734" t="n">
        <v>1</v>
      </c>
      <c r="AJ734" t="n">
        <v>0</v>
      </c>
      <c r="AK734" t="n">
        <v>3</v>
      </c>
      <c r="AL734" t="n">
        <v>0</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HYPERLINK("https://creighton-primo.hosted.exlibrisgroup.com/primo-explore/search?tab=default_tab&amp;search_scope=EVERYTHING&amp;vid=01CRU&amp;lang=en_US&amp;offset=0&amp;query=any,contains,991005131959702656","Catalog Record")</f>
        <v/>
      </c>
      <c r="AT734">
        <f>HYPERLINK("http://www.worldcat.org/oclc/7573227","WorldCat Record")</f>
        <v/>
      </c>
      <c r="AU734" t="inlineStr">
        <is>
          <t>3243639:eng</t>
        </is>
      </c>
      <c r="AV734" t="inlineStr">
        <is>
          <t>7573227</t>
        </is>
      </c>
      <c r="AW734" t="inlineStr">
        <is>
          <t>991005131959702656</t>
        </is>
      </c>
      <c r="AX734" t="inlineStr">
        <is>
          <t>991005131959702656</t>
        </is>
      </c>
      <c r="AY734" t="inlineStr">
        <is>
          <t>2271518130002656</t>
        </is>
      </c>
      <c r="AZ734" t="inlineStr">
        <is>
          <t>BOOK</t>
        </is>
      </c>
      <c r="BB734" t="inlineStr">
        <is>
          <t>9780133302905</t>
        </is>
      </c>
      <c r="BC734" t="inlineStr">
        <is>
          <t>32285001195006</t>
        </is>
      </c>
      <c r="BD734" t="inlineStr">
        <is>
          <t>893783067</t>
        </is>
      </c>
    </row>
    <row r="735">
      <c r="A735" t="inlineStr">
        <is>
          <t>No</t>
        </is>
      </c>
      <c r="B735" t="inlineStr">
        <is>
          <t>HM51 .T785 1985</t>
        </is>
      </c>
      <c r="C735" t="inlineStr">
        <is>
          <t>0                      HM 0051000T  785         1985</t>
        </is>
      </c>
      <c r="D735" t="inlineStr">
        <is>
          <t>Sociology, a student handbook / Jonathan H. Turner.</t>
        </is>
      </c>
      <c r="F735" t="inlineStr">
        <is>
          <t>No</t>
        </is>
      </c>
      <c r="G735" t="inlineStr">
        <is>
          <t>1</t>
        </is>
      </c>
      <c r="H735" t="inlineStr">
        <is>
          <t>No</t>
        </is>
      </c>
      <c r="I735" t="inlineStr">
        <is>
          <t>No</t>
        </is>
      </c>
      <c r="J735" t="inlineStr">
        <is>
          <t>0</t>
        </is>
      </c>
      <c r="K735" t="inlineStr">
        <is>
          <t>Turner, Jonathan H.</t>
        </is>
      </c>
      <c r="L735" t="inlineStr">
        <is>
          <t>New York : Random House, c1985.</t>
        </is>
      </c>
      <c r="M735" t="inlineStr">
        <is>
          <t>1985</t>
        </is>
      </c>
      <c r="N735" t="inlineStr">
        <is>
          <t>1st ed.</t>
        </is>
      </c>
      <c r="O735" t="inlineStr">
        <is>
          <t>eng</t>
        </is>
      </c>
      <c r="P735" t="inlineStr">
        <is>
          <t>nyu</t>
        </is>
      </c>
      <c r="R735" t="inlineStr">
        <is>
          <t xml:space="preserve">HM </t>
        </is>
      </c>
      <c r="S735" t="n">
        <v>7</v>
      </c>
      <c r="T735" t="n">
        <v>7</v>
      </c>
      <c r="U735" t="inlineStr">
        <is>
          <t>2003-04-11</t>
        </is>
      </c>
      <c r="V735" t="inlineStr">
        <is>
          <t>2003-04-11</t>
        </is>
      </c>
      <c r="W735" t="inlineStr">
        <is>
          <t>1992-08-13</t>
        </is>
      </c>
      <c r="X735" t="inlineStr">
        <is>
          <t>1992-08-13</t>
        </is>
      </c>
      <c r="Y735" t="n">
        <v>129</v>
      </c>
      <c r="Z735" t="n">
        <v>104</v>
      </c>
      <c r="AA735" t="n">
        <v>109</v>
      </c>
      <c r="AB735" t="n">
        <v>2</v>
      </c>
      <c r="AC735" t="n">
        <v>2</v>
      </c>
      <c r="AD735" t="n">
        <v>5</v>
      </c>
      <c r="AE735" t="n">
        <v>5</v>
      </c>
      <c r="AF735" t="n">
        <v>2</v>
      </c>
      <c r="AG735" t="n">
        <v>2</v>
      </c>
      <c r="AH735" t="n">
        <v>0</v>
      </c>
      <c r="AI735" t="n">
        <v>0</v>
      </c>
      <c r="AJ735" t="n">
        <v>3</v>
      </c>
      <c r="AK735" t="n">
        <v>3</v>
      </c>
      <c r="AL735" t="n">
        <v>1</v>
      </c>
      <c r="AM735" t="n">
        <v>1</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HYPERLINK("https://creighton-primo.hosted.exlibrisgroup.com/primo-explore/search?tab=default_tab&amp;search_scope=EVERYTHING&amp;vid=01CRU&amp;lang=en_US&amp;offset=0&amp;query=any,contains,991000483619702656","Catalog Record")</f>
        <v/>
      </c>
      <c r="AT735">
        <f>HYPERLINK("http://www.worldcat.org/oclc/11067439","WorldCat Record")</f>
        <v/>
      </c>
      <c r="AU735" t="inlineStr">
        <is>
          <t>3943277663:eng</t>
        </is>
      </c>
      <c r="AV735" t="inlineStr">
        <is>
          <t>11067439</t>
        </is>
      </c>
      <c r="AW735" t="inlineStr">
        <is>
          <t>991000483619702656</t>
        </is>
      </c>
      <c r="AX735" t="inlineStr">
        <is>
          <t>991000483619702656</t>
        </is>
      </c>
      <c r="AY735" t="inlineStr">
        <is>
          <t>2261094760002656</t>
        </is>
      </c>
      <c r="AZ735" t="inlineStr">
        <is>
          <t>BOOK</t>
        </is>
      </c>
      <c r="BB735" t="inlineStr">
        <is>
          <t>9780394338019</t>
        </is>
      </c>
      <c r="BC735" t="inlineStr">
        <is>
          <t>32285001265072</t>
        </is>
      </c>
      <c r="BD735" t="inlineStr">
        <is>
          <t>893425755</t>
        </is>
      </c>
    </row>
    <row r="736">
      <c r="A736" t="inlineStr">
        <is>
          <t>No</t>
        </is>
      </c>
      <c r="B736" t="inlineStr">
        <is>
          <t>HM51 .W15 1991</t>
        </is>
      </c>
      <c r="C736" t="inlineStr">
        <is>
          <t>0                      HM 0051000W  15          1991</t>
        </is>
      </c>
      <c r="D736" t="inlineStr">
        <is>
          <t>Contemporary sociological theory : continuing the classical tradition / Ruth A. Wallace, Alison Wolf.</t>
        </is>
      </c>
      <c r="F736" t="inlineStr">
        <is>
          <t>No</t>
        </is>
      </c>
      <c r="G736" t="inlineStr">
        <is>
          <t>1</t>
        </is>
      </c>
      <c r="H736" t="inlineStr">
        <is>
          <t>No</t>
        </is>
      </c>
      <c r="I736" t="inlineStr">
        <is>
          <t>No</t>
        </is>
      </c>
      <c r="J736" t="inlineStr">
        <is>
          <t>0</t>
        </is>
      </c>
      <c r="K736" t="inlineStr">
        <is>
          <t>Wallace, Ruth A.</t>
        </is>
      </c>
      <c r="L736" t="inlineStr">
        <is>
          <t>Englewood Cliffs, N.J. : Prentice Hall, c1991.</t>
        </is>
      </c>
      <c r="M736" t="inlineStr">
        <is>
          <t>1991</t>
        </is>
      </c>
      <c r="N736" t="inlineStr">
        <is>
          <t>3rd ed.</t>
        </is>
      </c>
      <c r="O736" t="inlineStr">
        <is>
          <t>eng</t>
        </is>
      </c>
      <c r="P736" t="inlineStr">
        <is>
          <t>nju</t>
        </is>
      </c>
      <c r="Q736" t="inlineStr">
        <is>
          <t>Prentice-Hall series in sociology</t>
        </is>
      </c>
      <c r="R736" t="inlineStr">
        <is>
          <t xml:space="preserve">HM </t>
        </is>
      </c>
      <c r="S736" t="n">
        <v>6</v>
      </c>
      <c r="T736" t="n">
        <v>6</v>
      </c>
      <c r="U736" t="inlineStr">
        <is>
          <t>2003-09-24</t>
        </is>
      </c>
      <c r="V736" t="inlineStr">
        <is>
          <t>2003-09-24</t>
        </is>
      </c>
      <c r="W736" t="inlineStr">
        <is>
          <t>1991-04-30</t>
        </is>
      </c>
      <c r="X736" t="inlineStr">
        <is>
          <t>1991-04-30</t>
        </is>
      </c>
      <c r="Y736" t="n">
        <v>215</v>
      </c>
      <c r="Z736" t="n">
        <v>128</v>
      </c>
      <c r="AA736" t="n">
        <v>495</v>
      </c>
      <c r="AB736" t="n">
        <v>2</v>
      </c>
      <c r="AC736" t="n">
        <v>3</v>
      </c>
      <c r="AD736" t="n">
        <v>6</v>
      </c>
      <c r="AE736" t="n">
        <v>22</v>
      </c>
      <c r="AF736" t="n">
        <v>2</v>
      </c>
      <c r="AG736" t="n">
        <v>9</v>
      </c>
      <c r="AH736" t="n">
        <v>1</v>
      </c>
      <c r="AI736" t="n">
        <v>5</v>
      </c>
      <c r="AJ736" t="n">
        <v>4</v>
      </c>
      <c r="AK736" t="n">
        <v>14</v>
      </c>
      <c r="AL736" t="n">
        <v>1</v>
      </c>
      <c r="AM736" t="n">
        <v>2</v>
      </c>
      <c r="AN736" t="n">
        <v>0</v>
      </c>
      <c r="AO736" t="n">
        <v>0</v>
      </c>
      <c r="AP736" t="inlineStr">
        <is>
          <t>No</t>
        </is>
      </c>
      <c r="AQ736" t="inlineStr">
        <is>
          <t>Yes</t>
        </is>
      </c>
      <c r="AR736">
        <f>HYPERLINK("http://catalog.hathitrust.org/Record/002422416","HathiTrust Record")</f>
        <v/>
      </c>
      <c r="AS736">
        <f>HYPERLINK("https://creighton-primo.hosted.exlibrisgroup.com/primo-explore/search?tab=default_tab&amp;search_scope=EVERYTHING&amp;vid=01CRU&amp;lang=en_US&amp;offset=0&amp;query=any,contains,991001686259702656","Catalog Record")</f>
        <v/>
      </c>
      <c r="AT736">
        <f>HYPERLINK("http://www.worldcat.org/oclc/21407125","WorldCat Record")</f>
        <v/>
      </c>
      <c r="AU736" t="inlineStr">
        <is>
          <t>808481695:eng</t>
        </is>
      </c>
      <c r="AV736" t="inlineStr">
        <is>
          <t>21407125</t>
        </is>
      </c>
      <c r="AW736" t="inlineStr">
        <is>
          <t>991001686259702656</t>
        </is>
      </c>
      <c r="AX736" t="inlineStr">
        <is>
          <t>991001686259702656</t>
        </is>
      </c>
      <c r="AY736" t="inlineStr">
        <is>
          <t>2271594630002656</t>
        </is>
      </c>
      <c r="AZ736" t="inlineStr">
        <is>
          <t>BOOK</t>
        </is>
      </c>
      <c r="BB736" t="inlineStr">
        <is>
          <t>9780131725867</t>
        </is>
      </c>
      <c r="BC736" t="inlineStr">
        <is>
          <t>32285000570100</t>
        </is>
      </c>
      <c r="BD736" t="inlineStr">
        <is>
          <t>893244305</t>
        </is>
      </c>
    </row>
    <row r="737">
      <c r="A737" t="inlineStr">
        <is>
          <t>No</t>
        </is>
      </c>
      <c r="B737" t="inlineStr">
        <is>
          <t>HM51 .W295</t>
        </is>
      </c>
      <c r="C737" t="inlineStr">
        <is>
          <t>0                      HM 0051000W  295</t>
        </is>
      </c>
      <c r="D737" t="inlineStr">
        <is>
          <t>Lester Ward and the welfare state / edited by Henry Steele Commager.</t>
        </is>
      </c>
      <c r="F737" t="inlineStr">
        <is>
          <t>No</t>
        </is>
      </c>
      <c r="G737" t="inlineStr">
        <is>
          <t>1</t>
        </is>
      </c>
      <c r="H737" t="inlineStr">
        <is>
          <t>No</t>
        </is>
      </c>
      <c r="I737" t="inlineStr">
        <is>
          <t>No</t>
        </is>
      </c>
      <c r="J737" t="inlineStr">
        <is>
          <t>0</t>
        </is>
      </c>
      <c r="K737" t="inlineStr">
        <is>
          <t>Ward, Lester F. (Lester Frank), 1841-1913.</t>
        </is>
      </c>
      <c r="L737" t="inlineStr">
        <is>
          <t>Indianapolis : Bobbs-Merrill, [1967]</t>
        </is>
      </c>
      <c r="M737" t="inlineStr">
        <is>
          <t>1967</t>
        </is>
      </c>
      <c r="O737" t="inlineStr">
        <is>
          <t>eng</t>
        </is>
      </c>
      <c r="P737" t="inlineStr">
        <is>
          <t>inu</t>
        </is>
      </c>
      <c r="Q737" t="inlineStr">
        <is>
          <t>The American heritage series, 67</t>
        </is>
      </c>
      <c r="R737" t="inlineStr">
        <is>
          <t xml:space="preserve">HM </t>
        </is>
      </c>
      <c r="S737" t="n">
        <v>2</v>
      </c>
      <c r="T737" t="n">
        <v>2</v>
      </c>
      <c r="U737" t="inlineStr">
        <is>
          <t>1997-10-13</t>
        </is>
      </c>
      <c r="V737" t="inlineStr">
        <is>
          <t>1997-10-13</t>
        </is>
      </c>
      <c r="W737" t="inlineStr">
        <is>
          <t>1992-05-05</t>
        </is>
      </c>
      <c r="X737" t="inlineStr">
        <is>
          <t>1992-05-05</t>
        </is>
      </c>
      <c r="Y737" t="n">
        <v>594</v>
      </c>
      <c r="Z737" t="n">
        <v>531</v>
      </c>
      <c r="AA737" t="n">
        <v>669</v>
      </c>
      <c r="AB737" t="n">
        <v>4</v>
      </c>
      <c r="AC737" t="n">
        <v>5</v>
      </c>
      <c r="AD737" t="n">
        <v>25</v>
      </c>
      <c r="AE737" t="n">
        <v>32</v>
      </c>
      <c r="AF737" t="n">
        <v>6</v>
      </c>
      <c r="AG737" t="n">
        <v>11</v>
      </c>
      <c r="AH737" t="n">
        <v>6</v>
      </c>
      <c r="AI737" t="n">
        <v>9</v>
      </c>
      <c r="AJ737" t="n">
        <v>15</v>
      </c>
      <c r="AK737" t="n">
        <v>15</v>
      </c>
      <c r="AL737" t="n">
        <v>3</v>
      </c>
      <c r="AM737" t="n">
        <v>4</v>
      </c>
      <c r="AN737" t="n">
        <v>0</v>
      </c>
      <c r="AO737" t="n">
        <v>0</v>
      </c>
      <c r="AP737" t="inlineStr">
        <is>
          <t>No</t>
        </is>
      </c>
      <c r="AQ737" t="inlineStr">
        <is>
          <t>Yes</t>
        </is>
      </c>
      <c r="AR737">
        <f>HYPERLINK("http://catalog.hathitrust.org/Record/000972770","HathiTrust Record")</f>
        <v/>
      </c>
      <c r="AS737">
        <f>HYPERLINK("https://creighton-primo.hosted.exlibrisgroup.com/primo-explore/search?tab=default_tab&amp;search_scope=EVERYTHING&amp;vid=01CRU&amp;lang=en_US&amp;offset=0&amp;query=any,contains,991002346629702656","Catalog Record")</f>
        <v/>
      </c>
      <c r="AT737">
        <f>HYPERLINK("http://www.worldcat.org/oclc/324596","WorldCat Record")</f>
        <v/>
      </c>
      <c r="AU737" t="inlineStr">
        <is>
          <t>1411397:eng</t>
        </is>
      </c>
      <c r="AV737" t="inlineStr">
        <is>
          <t>324596</t>
        </is>
      </c>
      <c r="AW737" t="inlineStr">
        <is>
          <t>991002346629702656</t>
        </is>
      </c>
      <c r="AX737" t="inlineStr">
        <is>
          <t>991002346629702656</t>
        </is>
      </c>
      <c r="AY737" t="inlineStr">
        <is>
          <t>2254877820002656</t>
        </is>
      </c>
      <c r="AZ737" t="inlineStr">
        <is>
          <t>BOOK</t>
        </is>
      </c>
      <c r="BC737" t="inlineStr">
        <is>
          <t>32285001092955</t>
        </is>
      </c>
      <c r="BD737" t="inlineStr">
        <is>
          <t>893886146</t>
        </is>
      </c>
    </row>
    <row r="738">
      <c r="A738" t="inlineStr">
        <is>
          <t>No</t>
        </is>
      </c>
      <c r="B738" t="inlineStr">
        <is>
          <t>HM51 .Y59 1965</t>
        </is>
      </c>
      <c r="C738" t="inlineStr">
        <is>
          <t>0                      HM 0051000Y  59          1965</t>
        </is>
      </c>
      <c r="D738" t="inlineStr">
        <is>
          <t>Sociology and social life / [by] Kimball Young [and] Raymond W. Mack.</t>
        </is>
      </c>
      <c r="F738" t="inlineStr">
        <is>
          <t>No</t>
        </is>
      </c>
      <c r="G738" t="inlineStr">
        <is>
          <t>1</t>
        </is>
      </c>
      <c r="H738" t="inlineStr">
        <is>
          <t>No</t>
        </is>
      </c>
      <c r="I738" t="inlineStr">
        <is>
          <t>No</t>
        </is>
      </c>
      <c r="J738" t="inlineStr">
        <is>
          <t>0</t>
        </is>
      </c>
      <c r="K738" t="inlineStr">
        <is>
          <t>Young, Kimball, 1893-1972.</t>
        </is>
      </c>
      <c r="L738" t="inlineStr">
        <is>
          <t>New York : American Book Co., [c1965]</t>
        </is>
      </c>
      <c r="M738" t="inlineStr">
        <is>
          <t>1965</t>
        </is>
      </c>
      <c r="N738" t="inlineStr">
        <is>
          <t>3d ed.</t>
        </is>
      </c>
      <c r="O738" t="inlineStr">
        <is>
          <t>eng</t>
        </is>
      </c>
      <c r="P738" t="inlineStr">
        <is>
          <t xml:space="preserve">xx </t>
        </is>
      </c>
      <c r="Q738" t="inlineStr">
        <is>
          <t>American sociology series</t>
        </is>
      </c>
      <c r="R738" t="inlineStr">
        <is>
          <t xml:space="preserve">HM </t>
        </is>
      </c>
      <c r="S738" t="n">
        <v>1</v>
      </c>
      <c r="T738" t="n">
        <v>1</v>
      </c>
      <c r="U738" t="inlineStr">
        <is>
          <t>1992-11-16</t>
        </is>
      </c>
      <c r="V738" t="inlineStr">
        <is>
          <t>1992-11-16</t>
        </is>
      </c>
      <c r="W738" t="inlineStr">
        <is>
          <t>1992-10-19</t>
        </is>
      </c>
      <c r="X738" t="inlineStr">
        <is>
          <t>1992-10-19</t>
        </is>
      </c>
      <c r="Y738" t="n">
        <v>107</v>
      </c>
      <c r="Z738" t="n">
        <v>98</v>
      </c>
      <c r="AA738" t="n">
        <v>447</v>
      </c>
      <c r="AB738" t="n">
        <v>1</v>
      </c>
      <c r="AC738" t="n">
        <v>2</v>
      </c>
      <c r="AD738" t="n">
        <v>7</v>
      </c>
      <c r="AE738" t="n">
        <v>14</v>
      </c>
      <c r="AF738" t="n">
        <v>1</v>
      </c>
      <c r="AG738" t="n">
        <v>3</v>
      </c>
      <c r="AH738" t="n">
        <v>2</v>
      </c>
      <c r="AI738" t="n">
        <v>5</v>
      </c>
      <c r="AJ738" t="n">
        <v>7</v>
      </c>
      <c r="AK738" t="n">
        <v>10</v>
      </c>
      <c r="AL738" t="n">
        <v>0</v>
      </c>
      <c r="AM738" t="n">
        <v>1</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HYPERLINK("https://creighton-primo.hosted.exlibrisgroup.com/primo-explore/search?tab=default_tab&amp;search_scope=EVERYTHING&amp;vid=01CRU&amp;lang=en_US&amp;offset=0&amp;query=any,contains,991003688379702656","Catalog Record")</f>
        <v/>
      </c>
      <c r="AT738">
        <f>HYPERLINK("http://www.worldcat.org/oclc/1317557","WorldCat Record")</f>
        <v/>
      </c>
      <c r="AU738" t="inlineStr">
        <is>
          <t>1932576:eng</t>
        </is>
      </c>
      <c r="AV738" t="inlineStr">
        <is>
          <t>1317557</t>
        </is>
      </c>
      <c r="AW738" t="inlineStr">
        <is>
          <t>991003688379702656</t>
        </is>
      </c>
      <c r="AX738" t="inlineStr">
        <is>
          <t>991003688379702656</t>
        </is>
      </c>
      <c r="AY738" t="inlineStr">
        <is>
          <t>2269324580002656</t>
        </is>
      </c>
      <c r="AZ738" t="inlineStr">
        <is>
          <t>BOOK</t>
        </is>
      </c>
      <c r="BC738" t="inlineStr">
        <is>
          <t>32285001372084</t>
        </is>
      </c>
      <c r="BD738" t="inlineStr">
        <is>
          <t>893881438</t>
        </is>
      </c>
    </row>
    <row r="739">
      <c r="A739" t="inlineStr">
        <is>
          <t>No</t>
        </is>
      </c>
      <c r="B739" t="inlineStr">
        <is>
          <t>HM517 .Q35 2002</t>
        </is>
      </c>
      <c r="C739" t="inlineStr">
        <is>
          <t>0                      HM 0517000Q  35          2002</t>
        </is>
      </c>
      <c r="D739" t="inlineStr">
        <is>
          <t>The qualitative inquiry reader / Norman K. Denzin, Yvonna S. Lincoln, editors.</t>
        </is>
      </c>
      <c r="F739" t="inlineStr">
        <is>
          <t>No</t>
        </is>
      </c>
      <c r="G739" t="inlineStr">
        <is>
          <t>1</t>
        </is>
      </c>
      <c r="H739" t="inlineStr">
        <is>
          <t>No</t>
        </is>
      </c>
      <c r="I739" t="inlineStr">
        <is>
          <t>No</t>
        </is>
      </c>
      <c r="J739" t="inlineStr">
        <is>
          <t>0</t>
        </is>
      </c>
      <c r="L739" t="inlineStr">
        <is>
          <t>Thousand Oaks, Calif. : Sage Publications, c2002.</t>
        </is>
      </c>
      <c r="M739" t="inlineStr">
        <is>
          <t>2002</t>
        </is>
      </c>
      <c r="O739" t="inlineStr">
        <is>
          <t>eng</t>
        </is>
      </c>
      <c r="P739" t="inlineStr">
        <is>
          <t>cau</t>
        </is>
      </c>
      <c r="R739" t="inlineStr">
        <is>
          <t xml:space="preserve">HM </t>
        </is>
      </c>
      <c r="S739" t="n">
        <v>5</v>
      </c>
      <c r="T739" t="n">
        <v>5</v>
      </c>
      <c r="U739" t="inlineStr">
        <is>
          <t>2004-03-31</t>
        </is>
      </c>
      <c r="V739" t="inlineStr">
        <is>
          <t>2004-03-31</t>
        </is>
      </c>
      <c r="W739" t="inlineStr">
        <is>
          <t>2002-03-18</t>
        </is>
      </c>
      <c r="X739" t="inlineStr">
        <is>
          <t>2002-03-18</t>
        </is>
      </c>
      <c r="Y739" t="n">
        <v>302</v>
      </c>
      <c r="Z739" t="n">
        <v>170</v>
      </c>
      <c r="AA739" t="n">
        <v>242</v>
      </c>
      <c r="AB739" t="n">
        <v>1</v>
      </c>
      <c r="AC739" t="n">
        <v>3</v>
      </c>
      <c r="AD739" t="n">
        <v>9</v>
      </c>
      <c r="AE739" t="n">
        <v>13</v>
      </c>
      <c r="AF739" t="n">
        <v>5</v>
      </c>
      <c r="AG739" t="n">
        <v>6</v>
      </c>
      <c r="AH739" t="n">
        <v>3</v>
      </c>
      <c r="AI739" t="n">
        <v>3</v>
      </c>
      <c r="AJ739" t="n">
        <v>3</v>
      </c>
      <c r="AK739" t="n">
        <v>4</v>
      </c>
      <c r="AL739" t="n">
        <v>0</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HYPERLINK("https://creighton-primo.hosted.exlibrisgroup.com/primo-explore/search?tab=default_tab&amp;search_scope=EVERYTHING&amp;vid=01CRU&amp;lang=en_US&amp;offset=0&amp;query=any,contains,991003737999702656","Catalog Record")</f>
        <v/>
      </c>
      <c r="AT739">
        <f>HYPERLINK("http://www.worldcat.org/oclc/47521249","WorldCat Record")</f>
        <v/>
      </c>
      <c r="AU739" t="inlineStr">
        <is>
          <t>347471519:eng</t>
        </is>
      </c>
      <c r="AV739" t="inlineStr">
        <is>
          <t>47521249</t>
        </is>
      </c>
      <c r="AW739" t="inlineStr">
        <is>
          <t>991003737999702656</t>
        </is>
      </c>
      <c r="AX739" t="inlineStr">
        <is>
          <t>991003737999702656</t>
        </is>
      </c>
      <c r="AY739" t="inlineStr">
        <is>
          <t>2264140660002656</t>
        </is>
      </c>
      <c r="AZ739" t="inlineStr">
        <is>
          <t>BOOK</t>
        </is>
      </c>
      <c r="BB739" t="inlineStr">
        <is>
          <t>9780761924913</t>
        </is>
      </c>
      <c r="BC739" t="inlineStr">
        <is>
          <t>32285004461967</t>
        </is>
      </c>
      <c r="BD739" t="inlineStr">
        <is>
          <t>893605142</t>
        </is>
      </c>
    </row>
    <row r="740">
      <c r="A740" t="inlineStr">
        <is>
          <t>No</t>
        </is>
      </c>
      <c r="B740" t="inlineStr">
        <is>
          <t>HM538 .T49 2004</t>
        </is>
      </c>
      <c r="C740" t="inlineStr">
        <is>
          <t>0                      HM 0538000T  49          2004</t>
        </is>
      </c>
      <c r="D740" t="inlineStr">
        <is>
          <t>Using web and paper questionnaires for data-based decision making : from design to interpretation of the results / Susan J. Thomas.</t>
        </is>
      </c>
      <c r="F740" t="inlineStr">
        <is>
          <t>No</t>
        </is>
      </c>
      <c r="G740" t="inlineStr">
        <is>
          <t>1</t>
        </is>
      </c>
      <c r="H740" t="inlineStr">
        <is>
          <t>No</t>
        </is>
      </c>
      <c r="I740" t="inlineStr">
        <is>
          <t>No</t>
        </is>
      </c>
      <c r="J740" t="inlineStr">
        <is>
          <t>0</t>
        </is>
      </c>
      <c r="K740" t="inlineStr">
        <is>
          <t>Thomas, Susan J.</t>
        </is>
      </c>
      <c r="L740" t="inlineStr">
        <is>
          <t>Thousand Oaks, Calif. : Corwin Press, c2004.</t>
        </is>
      </c>
      <c r="M740" t="inlineStr">
        <is>
          <t>2004</t>
        </is>
      </c>
      <c r="O740" t="inlineStr">
        <is>
          <t>eng</t>
        </is>
      </c>
      <c r="P740" t="inlineStr">
        <is>
          <t>cau</t>
        </is>
      </c>
      <c r="R740" t="inlineStr">
        <is>
          <t xml:space="preserve">HM </t>
        </is>
      </c>
      <c r="S740" t="n">
        <v>4</v>
      </c>
      <c r="T740" t="n">
        <v>4</v>
      </c>
      <c r="U740" t="inlineStr">
        <is>
          <t>2004-06-29</t>
        </is>
      </c>
      <c r="V740" t="inlineStr">
        <is>
          <t>2004-06-29</t>
        </is>
      </c>
      <c r="W740" t="inlineStr">
        <is>
          <t>2004-06-29</t>
        </is>
      </c>
      <c r="X740" t="inlineStr">
        <is>
          <t>2004-06-29</t>
        </is>
      </c>
      <c r="Y740" t="n">
        <v>333</v>
      </c>
      <c r="Z740" t="n">
        <v>243</v>
      </c>
      <c r="AA740" t="n">
        <v>600</v>
      </c>
      <c r="AB740" t="n">
        <v>4</v>
      </c>
      <c r="AC740" t="n">
        <v>7</v>
      </c>
      <c r="AD740" t="n">
        <v>12</v>
      </c>
      <c r="AE740" t="n">
        <v>18</v>
      </c>
      <c r="AF740" t="n">
        <v>2</v>
      </c>
      <c r="AG740" t="n">
        <v>5</v>
      </c>
      <c r="AH740" t="n">
        <v>4</v>
      </c>
      <c r="AI740" t="n">
        <v>5</v>
      </c>
      <c r="AJ740" t="n">
        <v>5</v>
      </c>
      <c r="AK740" t="n">
        <v>6</v>
      </c>
      <c r="AL740" t="n">
        <v>3</v>
      </c>
      <c r="AM740" t="n">
        <v>6</v>
      </c>
      <c r="AN740" t="n">
        <v>0</v>
      </c>
      <c r="AO740" t="n">
        <v>0</v>
      </c>
      <c r="AP740" t="inlineStr">
        <is>
          <t>No</t>
        </is>
      </c>
      <c r="AQ740" t="inlineStr">
        <is>
          <t>Yes</t>
        </is>
      </c>
      <c r="AR740">
        <f>HYPERLINK("http://catalog.hathitrust.org/Record/004378045","HathiTrust Record")</f>
        <v/>
      </c>
      <c r="AS740">
        <f>HYPERLINK("https://creighton-primo.hosted.exlibrisgroup.com/primo-explore/search?tab=default_tab&amp;search_scope=EVERYTHING&amp;vid=01CRU&amp;lang=en_US&amp;offset=0&amp;query=any,contains,991004303279702656","Catalog Record")</f>
        <v/>
      </c>
      <c r="AT740">
        <f>HYPERLINK("http://www.worldcat.org/oclc/53847141","WorldCat Record")</f>
        <v/>
      </c>
      <c r="AU740" t="inlineStr">
        <is>
          <t>797268266:eng</t>
        </is>
      </c>
      <c r="AV740" t="inlineStr">
        <is>
          <t>53847141</t>
        </is>
      </c>
      <c r="AW740" t="inlineStr">
        <is>
          <t>991004303279702656</t>
        </is>
      </c>
      <c r="AX740" t="inlineStr">
        <is>
          <t>991004303279702656</t>
        </is>
      </c>
      <c r="AY740" t="inlineStr">
        <is>
          <t>2254885610002656</t>
        </is>
      </c>
      <c r="AZ740" t="inlineStr">
        <is>
          <t>BOOK</t>
        </is>
      </c>
      <c r="BB740" t="inlineStr">
        <is>
          <t>9780761938828</t>
        </is>
      </c>
      <c r="BC740" t="inlineStr">
        <is>
          <t>32285004921838</t>
        </is>
      </c>
      <c r="BD740" t="inlineStr">
        <is>
          <t>893693772</t>
        </is>
      </c>
    </row>
    <row r="741">
      <c r="A741" t="inlineStr">
        <is>
          <t>No</t>
        </is>
      </c>
      <c r="B741" t="inlineStr">
        <is>
          <t>HM548 .C354 2009</t>
        </is>
      </c>
      <c r="C741" t="inlineStr">
        <is>
          <t>0                      HM 0548000C  354         2009</t>
        </is>
      </c>
      <c r="D741" t="inlineStr">
        <is>
          <t>The economics of hate / Samuel Cameron.</t>
        </is>
      </c>
      <c r="F741" t="inlineStr">
        <is>
          <t>No</t>
        </is>
      </c>
      <c r="G741" t="inlineStr">
        <is>
          <t>1</t>
        </is>
      </c>
      <c r="H741" t="inlineStr">
        <is>
          <t>No</t>
        </is>
      </c>
      <c r="I741" t="inlineStr">
        <is>
          <t>No</t>
        </is>
      </c>
      <c r="J741" t="inlineStr">
        <is>
          <t>0</t>
        </is>
      </c>
      <c r="K741" t="inlineStr">
        <is>
          <t>Cameron, Samuel.</t>
        </is>
      </c>
      <c r="L741" t="inlineStr">
        <is>
          <t>Cheltenham : Edward Elgar, c2009.</t>
        </is>
      </c>
      <c r="M741" t="inlineStr">
        <is>
          <t>2009</t>
        </is>
      </c>
      <c r="O741" t="inlineStr">
        <is>
          <t>eng</t>
        </is>
      </c>
      <c r="P741" t="inlineStr">
        <is>
          <t>enk</t>
        </is>
      </c>
      <c r="R741" t="inlineStr">
        <is>
          <t xml:space="preserve">HM </t>
        </is>
      </c>
      <c r="S741" t="n">
        <v>1</v>
      </c>
      <c r="T741" t="n">
        <v>1</v>
      </c>
      <c r="U741" t="inlineStr">
        <is>
          <t>2010-05-05</t>
        </is>
      </c>
      <c r="V741" t="inlineStr">
        <is>
          <t>2010-05-05</t>
        </is>
      </c>
      <c r="W741" t="inlineStr">
        <is>
          <t>2010-05-05</t>
        </is>
      </c>
      <c r="X741" t="inlineStr">
        <is>
          <t>2010-05-05</t>
        </is>
      </c>
      <c r="Y741" t="n">
        <v>232</v>
      </c>
      <c r="Z741" t="n">
        <v>155</v>
      </c>
      <c r="AA741" t="n">
        <v>496</v>
      </c>
      <c r="AB741" t="n">
        <v>2</v>
      </c>
      <c r="AC741" t="n">
        <v>22</v>
      </c>
      <c r="AD741" t="n">
        <v>7</v>
      </c>
      <c r="AE741" t="n">
        <v>18</v>
      </c>
      <c r="AF741" t="n">
        <v>3</v>
      </c>
      <c r="AG741" t="n">
        <v>5</v>
      </c>
      <c r="AH741" t="n">
        <v>2</v>
      </c>
      <c r="AI741" t="n">
        <v>3</v>
      </c>
      <c r="AJ741" t="n">
        <v>5</v>
      </c>
      <c r="AK741" t="n">
        <v>5</v>
      </c>
      <c r="AL741" t="n">
        <v>1</v>
      </c>
      <c r="AM741" t="n">
        <v>10</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HYPERLINK("https://creighton-primo.hosted.exlibrisgroup.com/primo-explore/search?tab=default_tab&amp;search_scope=EVERYTHING&amp;vid=01CRU&amp;lang=en_US&amp;offset=0&amp;query=any,contains,991005393829702656","Catalog Record")</f>
        <v/>
      </c>
      <c r="AT741">
        <f>HYPERLINK("http://www.worldcat.org/oclc/277196464","WorldCat Record")</f>
        <v/>
      </c>
      <c r="AU741" t="inlineStr">
        <is>
          <t>159914869:eng</t>
        </is>
      </c>
      <c r="AV741" t="inlineStr">
        <is>
          <t>277196464</t>
        </is>
      </c>
      <c r="AW741" t="inlineStr">
        <is>
          <t>991005393829702656</t>
        </is>
      </c>
      <c r="AX741" t="inlineStr">
        <is>
          <t>991005393829702656</t>
        </is>
      </c>
      <c r="AY741" t="inlineStr">
        <is>
          <t>2265218560002656</t>
        </is>
      </c>
      <c r="AZ741" t="inlineStr">
        <is>
          <t>BOOK</t>
        </is>
      </c>
      <c r="BB741" t="inlineStr">
        <is>
          <t>9781847200471</t>
        </is>
      </c>
      <c r="BC741" t="inlineStr">
        <is>
          <t>32285005580484</t>
        </is>
      </c>
      <c r="BD741" t="inlineStr">
        <is>
          <t>893890165</t>
        </is>
      </c>
    </row>
    <row r="742">
      <c r="A742" t="inlineStr">
        <is>
          <t>No</t>
        </is>
      </c>
      <c r="B742" t="inlineStr">
        <is>
          <t>HM548 .S55 2001</t>
        </is>
      </c>
      <c r="C742" t="inlineStr">
        <is>
          <t>0                      HM 0548000S  55          2001</t>
        </is>
      </c>
      <c r="D742" t="inlineStr">
        <is>
          <t>Market society : markets and modern social theory / Don Slater and Fran Tonkiss.</t>
        </is>
      </c>
      <c r="F742" t="inlineStr">
        <is>
          <t>No</t>
        </is>
      </c>
      <c r="G742" t="inlineStr">
        <is>
          <t>1</t>
        </is>
      </c>
      <c r="H742" t="inlineStr">
        <is>
          <t>No</t>
        </is>
      </c>
      <c r="I742" t="inlineStr">
        <is>
          <t>No</t>
        </is>
      </c>
      <c r="J742" t="inlineStr">
        <is>
          <t>0</t>
        </is>
      </c>
      <c r="K742" t="inlineStr">
        <is>
          <t>Slater, Don.</t>
        </is>
      </c>
      <c r="L742" t="inlineStr">
        <is>
          <t>Cambridge, U.K. : Polity Press ; Malden, Mass. : Blackwell Publishers, c2001.</t>
        </is>
      </c>
      <c r="M742" t="inlineStr">
        <is>
          <t>2001</t>
        </is>
      </c>
      <c r="O742" t="inlineStr">
        <is>
          <t>eng</t>
        </is>
      </c>
      <c r="P742" t="inlineStr">
        <is>
          <t>mau</t>
        </is>
      </c>
      <c r="R742" t="inlineStr">
        <is>
          <t xml:space="preserve">HM </t>
        </is>
      </c>
      <c r="S742" t="n">
        <v>8</v>
      </c>
      <c r="T742" t="n">
        <v>8</v>
      </c>
      <c r="U742" t="inlineStr">
        <is>
          <t>2005-03-31</t>
        </is>
      </c>
      <c r="V742" t="inlineStr">
        <is>
          <t>2005-03-31</t>
        </is>
      </c>
      <c r="W742" t="inlineStr">
        <is>
          <t>2002-07-15</t>
        </is>
      </c>
      <c r="X742" t="inlineStr">
        <is>
          <t>2002-07-15</t>
        </is>
      </c>
      <c r="Y742" t="n">
        <v>479</v>
      </c>
      <c r="Z742" t="n">
        <v>330</v>
      </c>
      <c r="AA742" t="n">
        <v>349</v>
      </c>
      <c r="AB742" t="n">
        <v>5</v>
      </c>
      <c r="AC742" t="n">
        <v>5</v>
      </c>
      <c r="AD742" t="n">
        <v>24</v>
      </c>
      <c r="AE742" t="n">
        <v>24</v>
      </c>
      <c r="AF742" t="n">
        <v>11</v>
      </c>
      <c r="AG742" t="n">
        <v>11</v>
      </c>
      <c r="AH742" t="n">
        <v>4</v>
      </c>
      <c r="AI742" t="n">
        <v>4</v>
      </c>
      <c r="AJ742" t="n">
        <v>14</v>
      </c>
      <c r="AK742" t="n">
        <v>14</v>
      </c>
      <c r="AL742" t="n">
        <v>4</v>
      </c>
      <c r="AM742" t="n">
        <v>4</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HYPERLINK("https://creighton-primo.hosted.exlibrisgroup.com/primo-explore/search?tab=default_tab&amp;search_scope=EVERYTHING&amp;vid=01CRU&amp;lang=en_US&amp;offset=0&amp;query=any,contains,991003825399702656","Catalog Record")</f>
        <v/>
      </c>
      <c r="AT742">
        <f>HYPERLINK("http://www.worldcat.org/oclc/44075911","WorldCat Record")</f>
        <v/>
      </c>
      <c r="AU742" t="inlineStr">
        <is>
          <t>335640265:eng</t>
        </is>
      </c>
      <c r="AV742" t="inlineStr">
        <is>
          <t>44075911</t>
        </is>
      </c>
      <c r="AW742" t="inlineStr">
        <is>
          <t>991003825399702656</t>
        </is>
      </c>
      <c r="AX742" t="inlineStr">
        <is>
          <t>991003825399702656</t>
        </is>
      </c>
      <c r="AY742" t="inlineStr">
        <is>
          <t>2271456280002656</t>
        </is>
      </c>
      <c r="AZ742" t="inlineStr">
        <is>
          <t>BOOK</t>
        </is>
      </c>
      <c r="BB742" t="inlineStr">
        <is>
          <t>9780745620268</t>
        </is>
      </c>
      <c r="BC742" t="inlineStr">
        <is>
          <t>32285004497987</t>
        </is>
      </c>
      <c r="BD742" t="inlineStr">
        <is>
          <t>893435493</t>
        </is>
      </c>
    </row>
    <row r="743">
      <c r="A743" t="inlineStr">
        <is>
          <t>No</t>
        </is>
      </c>
      <c r="B743" t="inlineStr">
        <is>
          <t>HM55 .D85</t>
        </is>
      </c>
      <c r="C743" t="inlineStr">
        <is>
          <t>0                      HM 0055000D  85</t>
        </is>
      </c>
      <c r="D743" t="inlineStr">
        <is>
          <t>Émile Durkheim : [selections from his work / with an introd. and commentaries by] George Simpson.</t>
        </is>
      </c>
      <c r="F743" t="inlineStr">
        <is>
          <t>No</t>
        </is>
      </c>
      <c r="G743" t="inlineStr">
        <is>
          <t>1</t>
        </is>
      </c>
      <c r="H743" t="inlineStr">
        <is>
          <t>No</t>
        </is>
      </c>
      <c r="I743" t="inlineStr">
        <is>
          <t>No</t>
        </is>
      </c>
      <c r="J743" t="inlineStr">
        <is>
          <t>0</t>
        </is>
      </c>
      <c r="K743" t="inlineStr">
        <is>
          <t>Durkheim, Émile, 1858-1917.</t>
        </is>
      </c>
      <c r="L743" t="inlineStr">
        <is>
          <t>New York : Crowell, [1963]</t>
        </is>
      </c>
      <c r="M743" t="inlineStr">
        <is>
          <t>1963</t>
        </is>
      </c>
      <c r="O743" t="inlineStr">
        <is>
          <t>eng</t>
        </is>
      </c>
      <c r="P743" t="inlineStr">
        <is>
          <t>nyu</t>
        </is>
      </c>
      <c r="Q743" t="inlineStr">
        <is>
          <t>Major contributors to social science series</t>
        </is>
      </c>
      <c r="R743" t="inlineStr">
        <is>
          <t xml:space="preserve">HM </t>
        </is>
      </c>
      <c r="S743" t="n">
        <v>6</v>
      </c>
      <c r="T743" t="n">
        <v>6</v>
      </c>
      <c r="U743" t="inlineStr">
        <is>
          <t>2000-11-13</t>
        </is>
      </c>
      <c r="V743" t="inlineStr">
        <is>
          <t>2000-11-13</t>
        </is>
      </c>
      <c r="W743" t="inlineStr">
        <is>
          <t>1991-08-02</t>
        </is>
      </c>
      <c r="X743" t="inlineStr">
        <is>
          <t>1991-08-02</t>
        </is>
      </c>
      <c r="Y743" t="n">
        <v>766</v>
      </c>
      <c r="Z743" t="n">
        <v>686</v>
      </c>
      <c r="AA743" t="n">
        <v>686</v>
      </c>
      <c r="AB743" t="n">
        <v>8</v>
      </c>
      <c r="AC743" t="n">
        <v>8</v>
      </c>
      <c r="AD743" t="n">
        <v>39</v>
      </c>
      <c r="AE743" t="n">
        <v>39</v>
      </c>
      <c r="AF743" t="n">
        <v>15</v>
      </c>
      <c r="AG743" t="n">
        <v>15</v>
      </c>
      <c r="AH743" t="n">
        <v>9</v>
      </c>
      <c r="AI743" t="n">
        <v>9</v>
      </c>
      <c r="AJ743" t="n">
        <v>19</v>
      </c>
      <c r="AK743" t="n">
        <v>19</v>
      </c>
      <c r="AL743" t="n">
        <v>7</v>
      </c>
      <c r="AM743" t="n">
        <v>7</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HYPERLINK("https://creighton-primo.hosted.exlibrisgroup.com/primo-explore/search?tab=default_tab&amp;search_scope=EVERYTHING&amp;vid=01CRU&amp;lang=en_US&amp;offset=0&amp;query=any,contains,991001981179702656","Catalog Record")</f>
        <v/>
      </c>
      <c r="AT743">
        <f>HYPERLINK("http://www.worldcat.org/oclc/254647","WorldCat Record")</f>
        <v/>
      </c>
      <c r="AU743" t="inlineStr">
        <is>
          <t>10792660185:eng</t>
        </is>
      </c>
      <c r="AV743" t="inlineStr">
        <is>
          <t>254647</t>
        </is>
      </c>
      <c r="AW743" t="inlineStr">
        <is>
          <t>991001981179702656</t>
        </is>
      </c>
      <c r="AX743" t="inlineStr">
        <is>
          <t>991001981179702656</t>
        </is>
      </c>
      <c r="AY743" t="inlineStr">
        <is>
          <t>2269217310002656</t>
        </is>
      </c>
      <c r="AZ743" t="inlineStr">
        <is>
          <t>BOOK</t>
        </is>
      </c>
      <c r="BC743" t="inlineStr">
        <is>
          <t>32285000680438</t>
        </is>
      </c>
      <c r="BD743" t="inlineStr">
        <is>
          <t>893328544</t>
        </is>
      </c>
    </row>
    <row r="744">
      <c r="A744" t="inlineStr">
        <is>
          <t>No</t>
        </is>
      </c>
      <c r="B744" t="inlineStr">
        <is>
          <t>HM55 .M6813 1993</t>
        </is>
      </c>
      <c r="C744" t="inlineStr">
        <is>
          <t>0                      HM 0055000M  6813        1993</t>
        </is>
      </c>
      <c r="D744" t="inlineStr">
        <is>
          <t>The invention of society : psychological explanations for social phenomena / by Serge Moscovici ; translated by W.D. Halls.</t>
        </is>
      </c>
      <c r="F744" t="inlineStr">
        <is>
          <t>No</t>
        </is>
      </c>
      <c r="G744" t="inlineStr">
        <is>
          <t>1</t>
        </is>
      </c>
      <c r="H744" t="inlineStr">
        <is>
          <t>No</t>
        </is>
      </c>
      <c r="I744" t="inlineStr">
        <is>
          <t>No</t>
        </is>
      </c>
      <c r="J744" t="inlineStr">
        <is>
          <t>0</t>
        </is>
      </c>
      <c r="K744" t="inlineStr">
        <is>
          <t>Moscovici, Serge.</t>
        </is>
      </c>
      <c r="L744" t="inlineStr">
        <is>
          <t>Cambridge, UK ; Cambridge, MA, USA : Polity Press, 1993.</t>
        </is>
      </c>
      <c r="M744" t="inlineStr">
        <is>
          <t>1993</t>
        </is>
      </c>
      <c r="O744" t="inlineStr">
        <is>
          <t>eng</t>
        </is>
      </c>
      <c r="P744" t="inlineStr">
        <is>
          <t>enk</t>
        </is>
      </c>
      <c r="R744" t="inlineStr">
        <is>
          <t xml:space="preserve">HM </t>
        </is>
      </c>
      <c r="S744" t="n">
        <v>2</v>
      </c>
      <c r="T744" t="n">
        <v>2</v>
      </c>
      <c r="U744" t="inlineStr">
        <is>
          <t>2000-11-13</t>
        </is>
      </c>
      <c r="V744" t="inlineStr">
        <is>
          <t>2000-11-13</t>
        </is>
      </c>
      <c r="W744" t="inlineStr">
        <is>
          <t>1996-07-01</t>
        </is>
      </c>
      <c r="X744" t="inlineStr">
        <is>
          <t>1996-07-01</t>
        </is>
      </c>
      <c r="Y744" t="n">
        <v>316</v>
      </c>
      <c r="Z744" t="n">
        <v>175</v>
      </c>
      <c r="AA744" t="n">
        <v>176</v>
      </c>
      <c r="AB744" t="n">
        <v>3</v>
      </c>
      <c r="AC744" t="n">
        <v>3</v>
      </c>
      <c r="AD744" t="n">
        <v>11</v>
      </c>
      <c r="AE744" t="n">
        <v>11</v>
      </c>
      <c r="AF744" t="n">
        <v>2</v>
      </c>
      <c r="AG744" t="n">
        <v>2</v>
      </c>
      <c r="AH744" t="n">
        <v>3</v>
      </c>
      <c r="AI744" t="n">
        <v>3</v>
      </c>
      <c r="AJ744" t="n">
        <v>6</v>
      </c>
      <c r="AK744" t="n">
        <v>6</v>
      </c>
      <c r="AL744" t="n">
        <v>2</v>
      </c>
      <c r="AM744" t="n">
        <v>2</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HYPERLINK("https://creighton-primo.hosted.exlibrisgroup.com/primo-explore/search?tab=default_tab&amp;search_scope=EVERYTHING&amp;vid=01CRU&amp;lang=en_US&amp;offset=0&amp;query=any,contains,991002164969702656","Catalog Record")</f>
        <v/>
      </c>
      <c r="AT744">
        <f>HYPERLINK("http://www.worldcat.org/oclc/27894722","WorldCat Record")</f>
        <v/>
      </c>
      <c r="AU744" t="inlineStr">
        <is>
          <t>349125:eng</t>
        </is>
      </c>
      <c r="AV744" t="inlineStr">
        <is>
          <t>27894722</t>
        </is>
      </c>
      <c r="AW744" t="inlineStr">
        <is>
          <t>991002164969702656</t>
        </is>
      </c>
      <c r="AX744" t="inlineStr">
        <is>
          <t>991002164969702656</t>
        </is>
      </c>
      <c r="AY744" t="inlineStr">
        <is>
          <t>2261436230002656</t>
        </is>
      </c>
      <c r="AZ744" t="inlineStr">
        <is>
          <t>BOOK</t>
        </is>
      </c>
      <c r="BB744" t="inlineStr">
        <is>
          <t>9780745608143</t>
        </is>
      </c>
      <c r="BC744" t="inlineStr">
        <is>
          <t>32285002174836</t>
        </is>
      </c>
      <c r="BD744" t="inlineStr">
        <is>
          <t>893590989</t>
        </is>
      </c>
    </row>
    <row r="745">
      <c r="A745" t="inlineStr">
        <is>
          <t>No</t>
        </is>
      </c>
      <c r="B745" t="inlineStr">
        <is>
          <t>HM554 .B48 2006</t>
        </is>
      </c>
      <c r="C745" t="inlineStr">
        <is>
          <t>0                      HM 0554000B  48          2006</t>
        </is>
      </c>
      <c r="D745" t="inlineStr">
        <is>
          <t>The destruction of memory : architecture at war / Robert Bevan.</t>
        </is>
      </c>
      <c r="F745" t="inlineStr">
        <is>
          <t>No</t>
        </is>
      </c>
      <c r="G745" t="inlineStr">
        <is>
          <t>1</t>
        </is>
      </c>
      <c r="H745" t="inlineStr">
        <is>
          <t>No</t>
        </is>
      </c>
      <c r="I745" t="inlineStr">
        <is>
          <t>No</t>
        </is>
      </c>
      <c r="J745" t="inlineStr">
        <is>
          <t>0</t>
        </is>
      </c>
      <c r="K745" t="inlineStr">
        <is>
          <t>Bevan, Robert (Journalist)</t>
        </is>
      </c>
      <c r="L745" t="inlineStr">
        <is>
          <t>London : Reaktion, 2006.</t>
        </is>
      </c>
      <c r="M745" t="inlineStr">
        <is>
          <t>2006</t>
        </is>
      </c>
      <c r="O745" t="inlineStr">
        <is>
          <t>eng</t>
        </is>
      </c>
      <c r="P745" t="inlineStr">
        <is>
          <t>enk</t>
        </is>
      </c>
      <c r="R745" t="inlineStr">
        <is>
          <t xml:space="preserve">HM </t>
        </is>
      </c>
      <c r="S745" t="n">
        <v>1</v>
      </c>
      <c r="T745" t="n">
        <v>1</v>
      </c>
      <c r="U745" t="inlineStr">
        <is>
          <t>2008-08-26</t>
        </is>
      </c>
      <c r="V745" t="inlineStr">
        <is>
          <t>2008-08-26</t>
        </is>
      </c>
      <c r="W745" t="inlineStr">
        <is>
          <t>2008-08-26</t>
        </is>
      </c>
      <c r="X745" t="inlineStr">
        <is>
          <t>2008-08-26</t>
        </is>
      </c>
      <c r="Y745" t="n">
        <v>446</v>
      </c>
      <c r="Z745" t="n">
        <v>319</v>
      </c>
      <c r="AA745" t="n">
        <v>433</v>
      </c>
      <c r="AB745" t="n">
        <v>3</v>
      </c>
      <c r="AC745" t="n">
        <v>4</v>
      </c>
      <c r="AD745" t="n">
        <v>15</v>
      </c>
      <c r="AE745" t="n">
        <v>22</v>
      </c>
      <c r="AF745" t="n">
        <v>4</v>
      </c>
      <c r="AG745" t="n">
        <v>8</v>
      </c>
      <c r="AH745" t="n">
        <v>5</v>
      </c>
      <c r="AI745" t="n">
        <v>7</v>
      </c>
      <c r="AJ745" t="n">
        <v>8</v>
      </c>
      <c r="AK745" t="n">
        <v>10</v>
      </c>
      <c r="AL745" t="n">
        <v>2</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HYPERLINK("https://creighton-primo.hosted.exlibrisgroup.com/primo-explore/search?tab=default_tab&amp;search_scope=EVERYTHING&amp;vid=01CRU&amp;lang=en_US&amp;offset=0&amp;query=any,contains,991005256269702656","Catalog Record")</f>
        <v/>
      </c>
      <c r="AT745">
        <f>HYPERLINK("http://www.worldcat.org/oclc/56438228","WorldCat Record")</f>
        <v/>
      </c>
      <c r="AU745" t="inlineStr">
        <is>
          <t>292547710:eng</t>
        </is>
      </c>
      <c r="AV745" t="inlineStr">
        <is>
          <t>56438228</t>
        </is>
      </c>
      <c r="AW745" t="inlineStr">
        <is>
          <t>991005256269702656</t>
        </is>
      </c>
      <c r="AX745" t="inlineStr">
        <is>
          <t>991005256269702656</t>
        </is>
      </c>
      <c r="AY745" t="inlineStr">
        <is>
          <t>2258665300002656</t>
        </is>
      </c>
      <c r="AZ745" t="inlineStr">
        <is>
          <t>BOOK</t>
        </is>
      </c>
      <c r="BB745" t="inlineStr">
        <is>
          <t>9781861892058</t>
        </is>
      </c>
      <c r="BC745" t="inlineStr">
        <is>
          <t>32285005455380</t>
        </is>
      </c>
      <c r="BD745" t="inlineStr">
        <is>
          <t>893338815</t>
        </is>
      </c>
    </row>
    <row r="746">
      <c r="A746" t="inlineStr">
        <is>
          <t>No</t>
        </is>
      </c>
      <c r="B746" t="inlineStr">
        <is>
          <t>HM567 .U74 2006</t>
        </is>
      </c>
      <c r="C746" t="inlineStr">
        <is>
          <t>0                      HM 0567000U  74          2006</t>
        </is>
      </c>
      <c r="D746" t="inlineStr">
        <is>
          <t>Uses of blogs / Axel Bruns + Joanne Jacobs, editors.</t>
        </is>
      </c>
      <c r="F746" t="inlineStr">
        <is>
          <t>No</t>
        </is>
      </c>
      <c r="G746" t="inlineStr">
        <is>
          <t>1</t>
        </is>
      </c>
      <c r="H746" t="inlineStr">
        <is>
          <t>No</t>
        </is>
      </c>
      <c r="I746" t="inlineStr">
        <is>
          <t>No</t>
        </is>
      </c>
      <c r="J746" t="inlineStr">
        <is>
          <t>0</t>
        </is>
      </c>
      <c r="L746" t="inlineStr">
        <is>
          <t>New York : Peter Lang, c2006.</t>
        </is>
      </c>
      <c r="M746" t="inlineStr">
        <is>
          <t>2006</t>
        </is>
      </c>
      <c r="O746" t="inlineStr">
        <is>
          <t>eng</t>
        </is>
      </c>
      <c r="P746" t="inlineStr">
        <is>
          <t>nyu</t>
        </is>
      </c>
      <c r="Q746" t="inlineStr">
        <is>
          <t>Digital formations ; v. 38</t>
        </is>
      </c>
      <c r="R746" t="inlineStr">
        <is>
          <t xml:space="preserve">HM </t>
        </is>
      </c>
      <c r="S746" t="n">
        <v>3</v>
      </c>
      <c r="T746" t="n">
        <v>3</v>
      </c>
      <c r="U746" t="inlineStr">
        <is>
          <t>2009-02-28</t>
        </is>
      </c>
      <c r="V746" t="inlineStr">
        <is>
          <t>2009-02-28</t>
        </is>
      </c>
      <c r="W746" t="inlineStr">
        <is>
          <t>2007-09-10</t>
        </is>
      </c>
      <c r="X746" t="inlineStr">
        <is>
          <t>2007-09-10</t>
        </is>
      </c>
      <c r="Y746" t="n">
        <v>329</v>
      </c>
      <c r="Z746" t="n">
        <v>217</v>
      </c>
      <c r="AA746" t="n">
        <v>219</v>
      </c>
      <c r="AB746" t="n">
        <v>2</v>
      </c>
      <c r="AC746" t="n">
        <v>2</v>
      </c>
      <c r="AD746" t="n">
        <v>10</v>
      </c>
      <c r="AE746" t="n">
        <v>10</v>
      </c>
      <c r="AF746" t="n">
        <v>5</v>
      </c>
      <c r="AG746" t="n">
        <v>5</v>
      </c>
      <c r="AH746" t="n">
        <v>3</v>
      </c>
      <c r="AI746" t="n">
        <v>3</v>
      </c>
      <c r="AJ746" t="n">
        <v>4</v>
      </c>
      <c r="AK746" t="n">
        <v>4</v>
      </c>
      <c r="AL746" t="n">
        <v>1</v>
      </c>
      <c r="AM746" t="n">
        <v>1</v>
      </c>
      <c r="AN746" t="n">
        <v>0</v>
      </c>
      <c r="AO746" t="n">
        <v>0</v>
      </c>
      <c r="AP746" t="inlineStr">
        <is>
          <t>No</t>
        </is>
      </c>
      <c r="AQ746" t="inlineStr">
        <is>
          <t>Yes</t>
        </is>
      </c>
      <c r="AR746">
        <f>HYPERLINK("http://catalog.hathitrust.org/Record/005343055","HathiTrust Record")</f>
        <v/>
      </c>
      <c r="AS746">
        <f>HYPERLINK("https://creighton-primo.hosted.exlibrisgroup.com/primo-explore/search?tab=default_tab&amp;search_scope=EVERYTHING&amp;vid=01CRU&amp;lang=en_US&amp;offset=0&amp;query=any,contains,991005101959702656","Catalog Record")</f>
        <v/>
      </c>
      <c r="AT746">
        <f>HYPERLINK("http://www.worldcat.org/oclc/62872839","WorldCat Record")</f>
        <v/>
      </c>
      <c r="AU746" t="inlineStr">
        <is>
          <t>350270682:eng</t>
        </is>
      </c>
      <c r="AV746" t="inlineStr">
        <is>
          <t>62872839</t>
        </is>
      </c>
      <c r="AW746" t="inlineStr">
        <is>
          <t>991005101959702656</t>
        </is>
      </c>
      <c r="AX746" t="inlineStr">
        <is>
          <t>991005101959702656</t>
        </is>
      </c>
      <c r="AY746" t="inlineStr">
        <is>
          <t>2262238570002656</t>
        </is>
      </c>
      <c r="AZ746" t="inlineStr">
        <is>
          <t>BOOK</t>
        </is>
      </c>
      <c r="BB746" t="inlineStr">
        <is>
          <t>9780820481241</t>
        </is>
      </c>
      <c r="BC746" t="inlineStr">
        <is>
          <t>32285005324495</t>
        </is>
      </c>
      <c r="BD746" t="inlineStr">
        <is>
          <t>893520427</t>
        </is>
      </c>
    </row>
    <row r="747">
      <c r="A747" t="inlineStr">
        <is>
          <t>No</t>
        </is>
      </c>
      <c r="B747" t="inlineStr">
        <is>
          <t>HM57 .S65 1930</t>
        </is>
      </c>
      <c r="C747" t="inlineStr">
        <is>
          <t>0                      HM 0057000S  65          1930</t>
        </is>
      </c>
      <c r="D747" t="inlineStr">
        <is>
          <t>Gesellschaftslehre.</t>
        </is>
      </c>
      <c r="F747" t="inlineStr">
        <is>
          <t>No</t>
        </is>
      </c>
      <c r="G747" t="inlineStr">
        <is>
          <t>1</t>
        </is>
      </c>
      <c r="H747" t="inlineStr">
        <is>
          <t>No</t>
        </is>
      </c>
      <c r="I747" t="inlineStr">
        <is>
          <t>No</t>
        </is>
      </c>
      <c r="J747" t="inlineStr">
        <is>
          <t>0</t>
        </is>
      </c>
      <c r="K747" t="inlineStr">
        <is>
          <t>Spann, Othmar, 1878-1950.</t>
        </is>
      </c>
      <c r="L747" t="inlineStr">
        <is>
          <t>Leipzig : Quelle &amp; Meyer, 1930.</t>
        </is>
      </c>
      <c r="M747" t="inlineStr">
        <is>
          <t>1930</t>
        </is>
      </c>
      <c r="N747" t="inlineStr">
        <is>
          <t>3., abermals neubearb. aufl.</t>
        </is>
      </c>
      <c r="O747" t="inlineStr">
        <is>
          <t>ger</t>
        </is>
      </c>
      <c r="P747" t="inlineStr">
        <is>
          <t xml:space="preserve">xx </t>
        </is>
      </c>
      <c r="R747" t="inlineStr">
        <is>
          <t xml:space="preserve">HM </t>
        </is>
      </c>
      <c r="S747" t="n">
        <v>4</v>
      </c>
      <c r="T747" t="n">
        <v>4</v>
      </c>
      <c r="U747" t="inlineStr">
        <is>
          <t>1996-05-29</t>
        </is>
      </c>
      <c r="V747" t="inlineStr">
        <is>
          <t>1996-05-29</t>
        </is>
      </c>
      <c r="W747" t="inlineStr">
        <is>
          <t>1991-06-20</t>
        </is>
      </c>
      <c r="X747" t="inlineStr">
        <is>
          <t>1991-06-20</t>
        </is>
      </c>
      <c r="Y747" t="n">
        <v>70</v>
      </c>
      <c r="Z747" t="n">
        <v>24</v>
      </c>
      <c r="AA747" t="n">
        <v>70</v>
      </c>
      <c r="AB747" t="n">
        <v>1</v>
      </c>
      <c r="AC747" t="n">
        <v>1</v>
      </c>
      <c r="AD747" t="n">
        <v>1</v>
      </c>
      <c r="AE747" t="n">
        <v>4</v>
      </c>
      <c r="AF747" t="n">
        <v>0</v>
      </c>
      <c r="AG747" t="n">
        <v>1</v>
      </c>
      <c r="AH747" t="n">
        <v>0</v>
      </c>
      <c r="AI747" t="n">
        <v>1</v>
      </c>
      <c r="AJ747" t="n">
        <v>1</v>
      </c>
      <c r="AK747" t="n">
        <v>4</v>
      </c>
      <c r="AL747" t="n">
        <v>0</v>
      </c>
      <c r="AM747" t="n">
        <v>0</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HYPERLINK("https://creighton-primo.hosted.exlibrisgroup.com/primo-explore/search?tab=default_tab&amp;search_scope=EVERYTHING&amp;vid=01CRU&amp;lang=en_US&amp;offset=0&amp;query=any,contains,991004489799702656","Catalog Record")</f>
        <v/>
      </c>
      <c r="AT747">
        <f>HYPERLINK("http://www.worldcat.org/oclc/3653406","WorldCat Record")</f>
        <v/>
      </c>
      <c r="AU747" t="inlineStr">
        <is>
          <t>2560184:ger</t>
        </is>
      </c>
      <c r="AV747" t="inlineStr">
        <is>
          <t>3653406</t>
        </is>
      </c>
      <c r="AW747" t="inlineStr">
        <is>
          <t>991004489799702656</t>
        </is>
      </c>
      <c r="AX747" t="inlineStr">
        <is>
          <t>991004489799702656</t>
        </is>
      </c>
      <c r="AY747" t="inlineStr">
        <is>
          <t>2262351130002656</t>
        </is>
      </c>
      <c r="AZ747" t="inlineStr">
        <is>
          <t>BOOK</t>
        </is>
      </c>
      <c r="BC747" t="inlineStr">
        <is>
          <t>32285000631530</t>
        </is>
      </c>
      <c r="BD747" t="inlineStr">
        <is>
          <t>893506909</t>
        </is>
      </c>
    </row>
    <row r="748">
      <c r="A748" t="inlineStr">
        <is>
          <t>No</t>
        </is>
      </c>
      <c r="B748" t="inlineStr">
        <is>
          <t>HM57 .W342</t>
        </is>
      </c>
      <c r="C748" t="inlineStr">
        <is>
          <t>0                      HM 0057000W  342</t>
        </is>
      </c>
      <c r="D748" t="inlineStr">
        <is>
          <t>Economy and society; an outline of interpretive sociology. Edited by Guenther Roth and Claus Wittich. Translators: Ephraim Fischoff [and others]</t>
        </is>
      </c>
      <c r="E748" t="inlineStr">
        <is>
          <t>V.1</t>
        </is>
      </c>
      <c r="F748" t="inlineStr">
        <is>
          <t>Yes</t>
        </is>
      </c>
      <c r="G748" t="inlineStr">
        <is>
          <t>1</t>
        </is>
      </c>
      <c r="H748" t="inlineStr">
        <is>
          <t>No</t>
        </is>
      </c>
      <c r="I748" t="inlineStr">
        <is>
          <t>No</t>
        </is>
      </c>
      <c r="J748" t="inlineStr">
        <is>
          <t>0</t>
        </is>
      </c>
      <c r="K748" t="inlineStr">
        <is>
          <t>Weber, Max, 1864-1920.</t>
        </is>
      </c>
      <c r="L748" t="inlineStr">
        <is>
          <t>New York, Bedminster Press, 1968.</t>
        </is>
      </c>
      <c r="M748" t="inlineStr">
        <is>
          <t>1968</t>
        </is>
      </c>
      <c r="O748" t="inlineStr">
        <is>
          <t>eng</t>
        </is>
      </c>
      <c r="P748" t="inlineStr">
        <is>
          <t>nyu</t>
        </is>
      </c>
      <c r="R748" t="inlineStr">
        <is>
          <t xml:space="preserve">HM </t>
        </is>
      </c>
      <c r="S748" t="n">
        <v>0</v>
      </c>
      <c r="T748" t="n">
        <v>4</v>
      </c>
      <c r="V748" t="inlineStr">
        <is>
          <t>2001-11-07</t>
        </is>
      </c>
      <c r="W748" t="inlineStr">
        <is>
          <t>1997-07-28</t>
        </is>
      </c>
      <c r="X748" t="inlineStr">
        <is>
          <t>1997-07-28</t>
        </is>
      </c>
      <c r="Y748" t="n">
        <v>944</v>
      </c>
      <c r="Z748" t="n">
        <v>792</v>
      </c>
      <c r="AA748" t="n">
        <v>795</v>
      </c>
      <c r="AB748" t="n">
        <v>9</v>
      </c>
      <c r="AC748" t="n">
        <v>9</v>
      </c>
      <c r="AD748" t="n">
        <v>40</v>
      </c>
      <c r="AE748" t="n">
        <v>41</v>
      </c>
      <c r="AF748" t="n">
        <v>14</v>
      </c>
      <c r="AG748" t="n">
        <v>15</v>
      </c>
      <c r="AH748" t="n">
        <v>7</v>
      </c>
      <c r="AI748" t="n">
        <v>7</v>
      </c>
      <c r="AJ748" t="n">
        <v>18</v>
      </c>
      <c r="AK748" t="n">
        <v>19</v>
      </c>
      <c r="AL748" t="n">
        <v>8</v>
      </c>
      <c r="AM748" t="n">
        <v>8</v>
      </c>
      <c r="AN748" t="n">
        <v>0</v>
      </c>
      <c r="AO748" t="n">
        <v>0</v>
      </c>
      <c r="AP748" t="inlineStr">
        <is>
          <t>No</t>
        </is>
      </c>
      <c r="AQ748" t="inlineStr">
        <is>
          <t>Yes</t>
        </is>
      </c>
      <c r="AR748">
        <f>HYPERLINK("http://catalog.hathitrust.org/Record/001309090","HathiTrust Record")</f>
        <v/>
      </c>
      <c r="AS748">
        <f>HYPERLINK("https://creighton-primo.hosted.exlibrisgroup.com/primo-explore/search?tab=default_tab&amp;search_scope=EVERYTHING&amp;vid=01CRU&amp;lang=en_US&amp;offset=0&amp;query=any,contains,991002803159702656","Catalog Record")</f>
        <v/>
      </c>
      <c r="AT748">
        <f>HYPERLINK("http://www.worldcat.org/oclc/448434","WorldCat Record")</f>
        <v/>
      </c>
      <c r="AU748" t="inlineStr">
        <is>
          <t>10596785805:eng</t>
        </is>
      </c>
      <c r="AV748" t="inlineStr">
        <is>
          <t>448434</t>
        </is>
      </c>
      <c r="AW748" t="inlineStr">
        <is>
          <t>991002803159702656</t>
        </is>
      </c>
      <c r="AX748" t="inlineStr">
        <is>
          <t>991002803159702656</t>
        </is>
      </c>
      <c r="AY748" t="inlineStr">
        <is>
          <t>2266653050002656</t>
        </is>
      </c>
      <c r="AZ748" t="inlineStr">
        <is>
          <t>BOOK</t>
        </is>
      </c>
      <c r="BC748" t="inlineStr">
        <is>
          <t>32285003009312</t>
        </is>
      </c>
      <c r="BD748" t="inlineStr">
        <is>
          <t>893421822</t>
        </is>
      </c>
    </row>
    <row r="749">
      <c r="A749" t="inlineStr">
        <is>
          <t>No</t>
        </is>
      </c>
      <c r="B749" t="inlineStr">
        <is>
          <t>HM57 .W342</t>
        </is>
      </c>
      <c r="C749" t="inlineStr">
        <is>
          <t>0                      HM 0057000W  342</t>
        </is>
      </c>
      <c r="D749" t="inlineStr">
        <is>
          <t>Economy and society; an outline of interpretive sociology. Edited by Guenther Roth and Claus Wittich. Translators: Ephraim Fischoff [and others]</t>
        </is>
      </c>
      <c r="E749" t="inlineStr">
        <is>
          <t>V.3</t>
        </is>
      </c>
      <c r="F749" t="inlineStr">
        <is>
          <t>Yes</t>
        </is>
      </c>
      <c r="G749" t="inlineStr">
        <is>
          <t>1</t>
        </is>
      </c>
      <c r="H749" t="inlineStr">
        <is>
          <t>No</t>
        </is>
      </c>
      <c r="I749" t="inlineStr">
        <is>
          <t>No</t>
        </is>
      </c>
      <c r="J749" t="inlineStr">
        <is>
          <t>0</t>
        </is>
      </c>
      <c r="K749" t="inlineStr">
        <is>
          <t>Weber, Max, 1864-1920.</t>
        </is>
      </c>
      <c r="L749" t="inlineStr">
        <is>
          <t>New York, Bedminster Press, 1968.</t>
        </is>
      </c>
      <c r="M749" t="inlineStr">
        <is>
          <t>1968</t>
        </is>
      </c>
      <c r="O749" t="inlineStr">
        <is>
          <t>eng</t>
        </is>
      </c>
      <c r="P749" t="inlineStr">
        <is>
          <t>nyu</t>
        </is>
      </c>
      <c r="R749" t="inlineStr">
        <is>
          <t xml:space="preserve">HM </t>
        </is>
      </c>
      <c r="S749" t="n">
        <v>2</v>
      </c>
      <c r="T749" t="n">
        <v>4</v>
      </c>
      <c r="U749" t="inlineStr">
        <is>
          <t>2001-11-07</t>
        </is>
      </c>
      <c r="V749" t="inlineStr">
        <is>
          <t>2001-11-07</t>
        </is>
      </c>
      <c r="W749" t="inlineStr">
        <is>
          <t>1997-07-28</t>
        </is>
      </c>
      <c r="X749" t="inlineStr">
        <is>
          <t>1997-07-28</t>
        </is>
      </c>
      <c r="Y749" t="n">
        <v>944</v>
      </c>
      <c r="Z749" t="n">
        <v>792</v>
      </c>
      <c r="AA749" t="n">
        <v>795</v>
      </c>
      <c r="AB749" t="n">
        <v>9</v>
      </c>
      <c r="AC749" t="n">
        <v>9</v>
      </c>
      <c r="AD749" t="n">
        <v>40</v>
      </c>
      <c r="AE749" t="n">
        <v>41</v>
      </c>
      <c r="AF749" t="n">
        <v>14</v>
      </c>
      <c r="AG749" t="n">
        <v>15</v>
      </c>
      <c r="AH749" t="n">
        <v>7</v>
      </c>
      <c r="AI749" t="n">
        <v>7</v>
      </c>
      <c r="AJ749" t="n">
        <v>18</v>
      </c>
      <c r="AK749" t="n">
        <v>19</v>
      </c>
      <c r="AL749" t="n">
        <v>8</v>
      </c>
      <c r="AM749" t="n">
        <v>8</v>
      </c>
      <c r="AN749" t="n">
        <v>0</v>
      </c>
      <c r="AO749" t="n">
        <v>0</v>
      </c>
      <c r="AP749" t="inlineStr">
        <is>
          <t>No</t>
        </is>
      </c>
      <c r="AQ749" t="inlineStr">
        <is>
          <t>Yes</t>
        </is>
      </c>
      <c r="AR749">
        <f>HYPERLINK("http://catalog.hathitrust.org/Record/001309090","HathiTrust Record")</f>
        <v/>
      </c>
      <c r="AS749">
        <f>HYPERLINK("https://creighton-primo.hosted.exlibrisgroup.com/primo-explore/search?tab=default_tab&amp;search_scope=EVERYTHING&amp;vid=01CRU&amp;lang=en_US&amp;offset=0&amp;query=any,contains,991002803159702656","Catalog Record")</f>
        <v/>
      </c>
      <c r="AT749">
        <f>HYPERLINK("http://www.worldcat.org/oclc/448434","WorldCat Record")</f>
        <v/>
      </c>
      <c r="AU749" t="inlineStr">
        <is>
          <t>10596785805:eng</t>
        </is>
      </c>
      <c r="AV749" t="inlineStr">
        <is>
          <t>448434</t>
        </is>
      </c>
      <c r="AW749" t="inlineStr">
        <is>
          <t>991002803159702656</t>
        </is>
      </c>
      <c r="AX749" t="inlineStr">
        <is>
          <t>991002803159702656</t>
        </is>
      </c>
      <c r="AY749" t="inlineStr">
        <is>
          <t>2266653050002656</t>
        </is>
      </c>
      <c r="AZ749" t="inlineStr">
        <is>
          <t>BOOK</t>
        </is>
      </c>
      <c r="BC749" t="inlineStr">
        <is>
          <t>32285003009338</t>
        </is>
      </c>
      <c r="BD749" t="inlineStr">
        <is>
          <t>893434305</t>
        </is>
      </c>
    </row>
    <row r="750">
      <c r="A750" t="inlineStr">
        <is>
          <t>No</t>
        </is>
      </c>
      <c r="B750" t="inlineStr">
        <is>
          <t>HM57 .W342</t>
        </is>
      </c>
      <c r="C750" t="inlineStr">
        <is>
          <t>0                      HM 0057000W  342</t>
        </is>
      </c>
      <c r="D750" t="inlineStr">
        <is>
          <t>Economy and society; an outline of interpretive sociology. Edited by Guenther Roth and Claus Wittich. Translators: Ephraim Fischoff [and others]</t>
        </is>
      </c>
      <c r="E750" t="inlineStr">
        <is>
          <t>V.2</t>
        </is>
      </c>
      <c r="F750" t="inlineStr">
        <is>
          <t>Yes</t>
        </is>
      </c>
      <c r="G750" t="inlineStr">
        <is>
          <t>1</t>
        </is>
      </c>
      <c r="H750" t="inlineStr">
        <is>
          <t>No</t>
        </is>
      </c>
      <c r="I750" t="inlineStr">
        <is>
          <t>No</t>
        </is>
      </c>
      <c r="J750" t="inlineStr">
        <is>
          <t>0</t>
        </is>
      </c>
      <c r="K750" t="inlineStr">
        <is>
          <t>Weber, Max, 1864-1920.</t>
        </is>
      </c>
      <c r="L750" t="inlineStr">
        <is>
          <t>New York, Bedminster Press, 1968.</t>
        </is>
      </c>
      <c r="M750" t="inlineStr">
        <is>
          <t>1968</t>
        </is>
      </c>
      <c r="O750" t="inlineStr">
        <is>
          <t>eng</t>
        </is>
      </c>
      <c r="P750" t="inlineStr">
        <is>
          <t>nyu</t>
        </is>
      </c>
      <c r="R750" t="inlineStr">
        <is>
          <t xml:space="preserve">HM </t>
        </is>
      </c>
      <c r="S750" t="n">
        <v>2</v>
      </c>
      <c r="T750" t="n">
        <v>4</v>
      </c>
      <c r="U750" t="inlineStr">
        <is>
          <t>2001-11-07</t>
        </is>
      </c>
      <c r="V750" t="inlineStr">
        <is>
          <t>2001-11-07</t>
        </is>
      </c>
      <c r="W750" t="inlineStr">
        <is>
          <t>1997-07-28</t>
        </is>
      </c>
      <c r="X750" t="inlineStr">
        <is>
          <t>1997-07-28</t>
        </is>
      </c>
      <c r="Y750" t="n">
        <v>944</v>
      </c>
      <c r="Z750" t="n">
        <v>792</v>
      </c>
      <c r="AA750" t="n">
        <v>795</v>
      </c>
      <c r="AB750" t="n">
        <v>9</v>
      </c>
      <c r="AC750" t="n">
        <v>9</v>
      </c>
      <c r="AD750" t="n">
        <v>40</v>
      </c>
      <c r="AE750" t="n">
        <v>41</v>
      </c>
      <c r="AF750" t="n">
        <v>14</v>
      </c>
      <c r="AG750" t="n">
        <v>15</v>
      </c>
      <c r="AH750" t="n">
        <v>7</v>
      </c>
      <c r="AI750" t="n">
        <v>7</v>
      </c>
      <c r="AJ750" t="n">
        <v>18</v>
      </c>
      <c r="AK750" t="n">
        <v>19</v>
      </c>
      <c r="AL750" t="n">
        <v>8</v>
      </c>
      <c r="AM750" t="n">
        <v>8</v>
      </c>
      <c r="AN750" t="n">
        <v>0</v>
      </c>
      <c r="AO750" t="n">
        <v>0</v>
      </c>
      <c r="AP750" t="inlineStr">
        <is>
          <t>No</t>
        </is>
      </c>
      <c r="AQ750" t="inlineStr">
        <is>
          <t>Yes</t>
        </is>
      </c>
      <c r="AR750">
        <f>HYPERLINK("http://catalog.hathitrust.org/Record/001309090","HathiTrust Record")</f>
        <v/>
      </c>
      <c r="AS750">
        <f>HYPERLINK("https://creighton-primo.hosted.exlibrisgroup.com/primo-explore/search?tab=default_tab&amp;search_scope=EVERYTHING&amp;vid=01CRU&amp;lang=en_US&amp;offset=0&amp;query=any,contains,991002803159702656","Catalog Record")</f>
        <v/>
      </c>
      <c r="AT750">
        <f>HYPERLINK("http://www.worldcat.org/oclc/448434","WorldCat Record")</f>
        <v/>
      </c>
      <c r="AU750" t="inlineStr">
        <is>
          <t>10596785805:eng</t>
        </is>
      </c>
      <c r="AV750" t="inlineStr">
        <is>
          <t>448434</t>
        </is>
      </c>
      <c r="AW750" t="inlineStr">
        <is>
          <t>991002803159702656</t>
        </is>
      </c>
      <c r="AX750" t="inlineStr">
        <is>
          <t>991002803159702656</t>
        </is>
      </c>
      <c r="AY750" t="inlineStr">
        <is>
          <t>2266653050002656</t>
        </is>
      </c>
      <c r="AZ750" t="inlineStr">
        <is>
          <t>BOOK</t>
        </is>
      </c>
      <c r="BC750" t="inlineStr">
        <is>
          <t>32285003009320</t>
        </is>
      </c>
      <c r="BD750" t="inlineStr">
        <is>
          <t>893421821</t>
        </is>
      </c>
    </row>
    <row r="751">
      <c r="A751" t="inlineStr">
        <is>
          <t>No</t>
        </is>
      </c>
      <c r="B751" t="inlineStr">
        <is>
          <t>HM571 .S53 2001</t>
        </is>
      </c>
      <c r="C751" t="inlineStr">
        <is>
          <t>0                      HM 0571000S  53          2001</t>
        </is>
      </c>
      <c r="D751" t="inlineStr">
        <is>
          <t>Interpreting qualitative data : methods for analysing talk, text, and interaction / David Silverman.</t>
        </is>
      </c>
      <c r="F751" t="inlineStr">
        <is>
          <t>No</t>
        </is>
      </c>
      <c r="G751" t="inlineStr">
        <is>
          <t>1</t>
        </is>
      </c>
      <c r="H751" t="inlineStr">
        <is>
          <t>No</t>
        </is>
      </c>
      <c r="I751" t="inlineStr">
        <is>
          <t>No</t>
        </is>
      </c>
      <c r="J751" t="inlineStr">
        <is>
          <t>0</t>
        </is>
      </c>
      <c r="K751" t="inlineStr">
        <is>
          <t>Silverman, David, 1943-</t>
        </is>
      </c>
      <c r="L751" t="inlineStr">
        <is>
          <t>London ; Thousand Oaks, Calif. : Sage Publications, 2001.</t>
        </is>
      </c>
      <c r="M751" t="inlineStr">
        <is>
          <t>2001</t>
        </is>
      </c>
      <c r="N751" t="inlineStr">
        <is>
          <t>2nd ed.</t>
        </is>
      </c>
      <c r="O751" t="inlineStr">
        <is>
          <t>eng</t>
        </is>
      </c>
      <c r="P751" t="inlineStr">
        <is>
          <t>enk</t>
        </is>
      </c>
      <c r="R751" t="inlineStr">
        <is>
          <t xml:space="preserve">HM </t>
        </is>
      </c>
      <c r="S751" t="n">
        <v>2</v>
      </c>
      <c r="T751" t="n">
        <v>2</v>
      </c>
      <c r="U751" t="inlineStr">
        <is>
          <t>2005-03-14</t>
        </is>
      </c>
      <c r="V751" t="inlineStr">
        <is>
          <t>2005-03-14</t>
        </is>
      </c>
      <c r="W751" t="inlineStr">
        <is>
          <t>2005-03-14</t>
        </is>
      </c>
      <c r="X751" t="inlineStr">
        <is>
          <t>2005-03-14</t>
        </is>
      </c>
      <c r="Y751" t="n">
        <v>520</v>
      </c>
      <c r="Z751" t="n">
        <v>263</v>
      </c>
      <c r="AA751" t="n">
        <v>664</v>
      </c>
      <c r="AB751" t="n">
        <v>2</v>
      </c>
      <c r="AC751" t="n">
        <v>4</v>
      </c>
      <c r="AD751" t="n">
        <v>9</v>
      </c>
      <c r="AE751" t="n">
        <v>32</v>
      </c>
      <c r="AF751" t="n">
        <v>4</v>
      </c>
      <c r="AG751" t="n">
        <v>14</v>
      </c>
      <c r="AH751" t="n">
        <v>2</v>
      </c>
      <c r="AI751" t="n">
        <v>6</v>
      </c>
      <c r="AJ751" t="n">
        <v>5</v>
      </c>
      <c r="AK751" t="n">
        <v>17</v>
      </c>
      <c r="AL751" t="n">
        <v>1</v>
      </c>
      <c r="AM751" t="n">
        <v>3</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HYPERLINK("https://creighton-primo.hosted.exlibrisgroup.com/primo-explore/search?tab=default_tab&amp;search_scope=EVERYTHING&amp;vid=01CRU&amp;lang=en_US&amp;offset=0&amp;query=any,contains,991004479119702656","Catalog Record")</f>
        <v/>
      </c>
      <c r="AT751">
        <f>HYPERLINK("http://www.worldcat.org/oclc/47162037","WorldCat Record")</f>
        <v/>
      </c>
      <c r="AU751" t="inlineStr">
        <is>
          <t>36121864:eng</t>
        </is>
      </c>
      <c r="AV751" t="inlineStr">
        <is>
          <t>47162037</t>
        </is>
      </c>
      <c r="AW751" t="inlineStr">
        <is>
          <t>991004479119702656</t>
        </is>
      </c>
      <c r="AX751" t="inlineStr">
        <is>
          <t>991004479119702656</t>
        </is>
      </c>
      <c r="AY751" t="inlineStr">
        <is>
          <t>2268785240002656</t>
        </is>
      </c>
      <c r="AZ751" t="inlineStr">
        <is>
          <t>BOOK</t>
        </is>
      </c>
      <c r="BB751" t="inlineStr">
        <is>
          <t>9780761968641</t>
        </is>
      </c>
      <c r="BC751" t="inlineStr">
        <is>
          <t>32285005040737</t>
        </is>
      </c>
      <c r="BD751" t="inlineStr">
        <is>
          <t>893788739</t>
        </is>
      </c>
    </row>
    <row r="752">
      <c r="A752" t="inlineStr">
        <is>
          <t>No</t>
        </is>
      </c>
      <c r="B752" t="inlineStr">
        <is>
          <t>HM577 .C74 2005</t>
        </is>
      </c>
      <c r="C752" t="inlineStr">
        <is>
          <t>0                      HM 0577000C  74          2005</t>
        </is>
      </c>
      <c r="D752" t="inlineStr">
        <is>
          <t>Creating an effective assessment plan for the sociology major / by ASA Task Force on Assessing the Undergraduate Sociology Major ; Janet Huber Lowry ... [et al.].</t>
        </is>
      </c>
      <c r="F752" t="inlineStr">
        <is>
          <t>No</t>
        </is>
      </c>
      <c r="G752" t="inlineStr">
        <is>
          <t>1</t>
        </is>
      </c>
      <c r="H752" t="inlineStr">
        <is>
          <t>No</t>
        </is>
      </c>
      <c r="I752" t="inlineStr">
        <is>
          <t>No</t>
        </is>
      </c>
      <c r="J752" t="inlineStr">
        <is>
          <t>0</t>
        </is>
      </c>
      <c r="L752" t="inlineStr">
        <is>
          <t>Washington, D.C. : American Sociological Association, ASA Task Force on Assessing the Undergraduate Sociology Major, c2005.</t>
        </is>
      </c>
      <c r="M752" t="inlineStr">
        <is>
          <t>2005</t>
        </is>
      </c>
      <c r="O752" t="inlineStr">
        <is>
          <t>eng</t>
        </is>
      </c>
      <c r="P752" t="inlineStr">
        <is>
          <t>dcu</t>
        </is>
      </c>
      <c r="R752" t="inlineStr">
        <is>
          <t xml:space="preserve">HM </t>
        </is>
      </c>
      <c r="S752" t="n">
        <v>1</v>
      </c>
      <c r="T752" t="n">
        <v>1</v>
      </c>
      <c r="U752" t="inlineStr">
        <is>
          <t>2006-06-26</t>
        </is>
      </c>
      <c r="V752" t="inlineStr">
        <is>
          <t>2006-06-26</t>
        </is>
      </c>
      <c r="W752" t="inlineStr">
        <is>
          <t>2006-06-26</t>
        </is>
      </c>
      <c r="X752" t="inlineStr">
        <is>
          <t>2006-06-26</t>
        </is>
      </c>
      <c r="Y752" t="n">
        <v>21</v>
      </c>
      <c r="Z752" t="n">
        <v>18</v>
      </c>
      <c r="AA752" t="n">
        <v>19</v>
      </c>
      <c r="AB752" t="n">
        <v>1</v>
      </c>
      <c r="AC752" t="n">
        <v>1</v>
      </c>
      <c r="AD752" t="n">
        <v>0</v>
      </c>
      <c r="AE752" t="n">
        <v>0</v>
      </c>
      <c r="AF752" t="n">
        <v>0</v>
      </c>
      <c r="AG752" t="n">
        <v>0</v>
      </c>
      <c r="AH752" t="n">
        <v>0</v>
      </c>
      <c r="AI752" t="n">
        <v>0</v>
      </c>
      <c r="AJ752" t="n">
        <v>0</v>
      </c>
      <c r="AK752" t="n">
        <v>0</v>
      </c>
      <c r="AL752" t="n">
        <v>0</v>
      </c>
      <c r="AM752" t="n">
        <v>0</v>
      </c>
      <c r="AN752" t="n">
        <v>0</v>
      </c>
      <c r="AO752" t="n">
        <v>0</v>
      </c>
      <c r="AP752" t="inlineStr">
        <is>
          <t>No</t>
        </is>
      </c>
      <c r="AQ752" t="inlineStr">
        <is>
          <t>Yes</t>
        </is>
      </c>
      <c r="AR752">
        <f>HYPERLINK("http://catalog.hathitrust.org/Record/007146703","HathiTrust Record")</f>
        <v/>
      </c>
      <c r="AS752">
        <f>HYPERLINK("https://creighton-primo.hosted.exlibrisgroup.com/primo-explore/search?tab=default_tab&amp;search_scope=EVERYTHING&amp;vid=01CRU&amp;lang=en_US&amp;offset=0&amp;query=any,contains,991004799989702656","Catalog Record")</f>
        <v/>
      </c>
      <c r="AT752">
        <f>HYPERLINK("http://www.worldcat.org/oclc/69986235","WorldCat Record")</f>
        <v/>
      </c>
      <c r="AU752" t="inlineStr">
        <is>
          <t>53597365:eng</t>
        </is>
      </c>
      <c r="AV752" t="inlineStr">
        <is>
          <t>69986235</t>
        </is>
      </c>
      <c r="AW752" t="inlineStr">
        <is>
          <t>991004799989702656</t>
        </is>
      </c>
      <c r="AX752" t="inlineStr">
        <is>
          <t>991004799989702656</t>
        </is>
      </c>
      <c r="AY752" t="inlineStr">
        <is>
          <t>2264096510002656</t>
        </is>
      </c>
      <c r="AZ752" t="inlineStr">
        <is>
          <t>BOOK</t>
        </is>
      </c>
      <c r="BC752" t="inlineStr">
        <is>
          <t>32285005185250</t>
        </is>
      </c>
      <c r="BD752" t="inlineStr">
        <is>
          <t>893870132</t>
        </is>
      </c>
    </row>
    <row r="753">
      <c r="A753" t="inlineStr">
        <is>
          <t>No</t>
        </is>
      </c>
      <c r="B753" t="inlineStr">
        <is>
          <t>HM585 .A5 2003</t>
        </is>
      </c>
      <c r="C753" t="inlineStr">
        <is>
          <t>0                      HM 0585000A  5           2003</t>
        </is>
      </c>
      <c r="D753" t="inlineStr">
        <is>
          <t>The meanings of social life : a cultural sociology / by Jeffrey C. Alexander.</t>
        </is>
      </c>
      <c r="F753" t="inlineStr">
        <is>
          <t>No</t>
        </is>
      </c>
      <c r="G753" t="inlineStr">
        <is>
          <t>1</t>
        </is>
      </c>
      <c r="H753" t="inlineStr">
        <is>
          <t>No</t>
        </is>
      </c>
      <c r="I753" t="inlineStr">
        <is>
          <t>No</t>
        </is>
      </c>
      <c r="J753" t="inlineStr">
        <is>
          <t>0</t>
        </is>
      </c>
      <c r="K753" t="inlineStr">
        <is>
          <t>Alexander, Jeffrey C., 1947-</t>
        </is>
      </c>
      <c r="L753" t="inlineStr">
        <is>
          <t>Oxford ; New York : Oxford University Press, c2003.</t>
        </is>
      </c>
      <c r="M753" t="inlineStr">
        <is>
          <t>2003</t>
        </is>
      </c>
      <c r="O753" t="inlineStr">
        <is>
          <t>eng</t>
        </is>
      </c>
      <c r="P753" t="inlineStr">
        <is>
          <t>enk</t>
        </is>
      </c>
      <c r="R753" t="inlineStr">
        <is>
          <t xml:space="preserve">HM </t>
        </is>
      </c>
      <c r="S753" t="n">
        <v>4</v>
      </c>
      <c r="T753" t="n">
        <v>4</v>
      </c>
      <c r="U753" t="inlineStr">
        <is>
          <t>2006-07-15</t>
        </is>
      </c>
      <c r="V753" t="inlineStr">
        <is>
          <t>2006-07-15</t>
        </is>
      </c>
      <c r="W753" t="inlineStr">
        <is>
          <t>2004-10-06</t>
        </is>
      </c>
      <c r="X753" t="inlineStr">
        <is>
          <t>2004-10-06</t>
        </is>
      </c>
      <c r="Y753" t="n">
        <v>414</v>
      </c>
      <c r="Z753" t="n">
        <v>321</v>
      </c>
      <c r="AA753" t="n">
        <v>1046</v>
      </c>
      <c r="AB753" t="n">
        <v>4</v>
      </c>
      <c r="AC753" t="n">
        <v>20</v>
      </c>
      <c r="AD753" t="n">
        <v>21</v>
      </c>
      <c r="AE753" t="n">
        <v>46</v>
      </c>
      <c r="AF753" t="n">
        <v>7</v>
      </c>
      <c r="AG753" t="n">
        <v>16</v>
      </c>
      <c r="AH753" t="n">
        <v>5</v>
      </c>
      <c r="AI753" t="n">
        <v>9</v>
      </c>
      <c r="AJ753" t="n">
        <v>12</v>
      </c>
      <c r="AK753" t="n">
        <v>17</v>
      </c>
      <c r="AL753" t="n">
        <v>3</v>
      </c>
      <c r="AM753" t="n">
        <v>12</v>
      </c>
      <c r="AN753" t="n">
        <v>0</v>
      </c>
      <c r="AO753" t="n">
        <v>1</v>
      </c>
      <c r="AP753" t="inlineStr">
        <is>
          <t>No</t>
        </is>
      </c>
      <c r="AQ753" t="inlineStr">
        <is>
          <t>No</t>
        </is>
      </c>
      <c r="AS753">
        <f>HYPERLINK("https://creighton-primo.hosted.exlibrisgroup.com/primo-explore/search?tab=default_tab&amp;search_scope=EVERYTHING&amp;vid=01CRU&amp;lang=en_US&amp;offset=0&amp;query=any,contains,991004379769702656","Catalog Record")</f>
        <v/>
      </c>
      <c r="AT753">
        <f>HYPERLINK("http://www.worldcat.org/oclc/51258793","WorldCat Record")</f>
        <v/>
      </c>
      <c r="AU753" t="inlineStr">
        <is>
          <t>144608547:eng</t>
        </is>
      </c>
      <c r="AV753" t="inlineStr">
        <is>
          <t>51258793</t>
        </is>
      </c>
      <c r="AW753" t="inlineStr">
        <is>
          <t>991004379769702656</t>
        </is>
      </c>
      <c r="AX753" t="inlineStr">
        <is>
          <t>991004379769702656</t>
        </is>
      </c>
      <c r="AY753" t="inlineStr">
        <is>
          <t>2268418990002656</t>
        </is>
      </c>
      <c r="AZ753" t="inlineStr">
        <is>
          <t>BOOK</t>
        </is>
      </c>
      <c r="BB753" t="inlineStr">
        <is>
          <t>9780195160840</t>
        </is>
      </c>
      <c r="BC753" t="inlineStr">
        <is>
          <t>32285005001507</t>
        </is>
      </c>
      <c r="BD753" t="inlineStr">
        <is>
          <t>893599775</t>
        </is>
      </c>
    </row>
    <row r="754">
      <c r="A754" t="inlineStr">
        <is>
          <t>No</t>
        </is>
      </c>
      <c r="B754" t="inlineStr">
        <is>
          <t>HM585 .B35 2004</t>
        </is>
      </c>
      <c r="C754" t="inlineStr">
        <is>
          <t>0                      HM 0585000B  35          2004</t>
        </is>
      </c>
      <c r="D754" t="inlineStr">
        <is>
          <t>Critical mass : how one thing leads to another / Philip Ball.</t>
        </is>
      </c>
      <c r="F754" t="inlineStr">
        <is>
          <t>No</t>
        </is>
      </c>
      <c r="G754" t="inlineStr">
        <is>
          <t>1</t>
        </is>
      </c>
      <c r="H754" t="inlineStr">
        <is>
          <t>No</t>
        </is>
      </c>
      <c r="I754" t="inlineStr">
        <is>
          <t>No</t>
        </is>
      </c>
      <c r="J754" t="inlineStr">
        <is>
          <t>0</t>
        </is>
      </c>
      <c r="K754" t="inlineStr">
        <is>
          <t>Ball, Philip, 1962-</t>
        </is>
      </c>
      <c r="L754" t="inlineStr">
        <is>
          <t>New York : Farrar, Straus and Giroux, 2004.</t>
        </is>
      </c>
      <c r="M754" t="inlineStr">
        <is>
          <t>2004</t>
        </is>
      </c>
      <c r="N754" t="inlineStr">
        <is>
          <t>1st American ed.</t>
        </is>
      </c>
      <c r="O754" t="inlineStr">
        <is>
          <t>eng</t>
        </is>
      </c>
      <c r="P754" t="inlineStr">
        <is>
          <t>nyu</t>
        </is>
      </c>
      <c r="R754" t="inlineStr">
        <is>
          <t xml:space="preserve">HM </t>
        </is>
      </c>
      <c r="S754" t="n">
        <v>2</v>
      </c>
      <c r="T754" t="n">
        <v>2</v>
      </c>
      <c r="U754" t="inlineStr">
        <is>
          <t>2006-06-20</t>
        </is>
      </c>
      <c r="V754" t="inlineStr">
        <is>
          <t>2006-06-20</t>
        </is>
      </c>
      <c r="W754" t="inlineStr">
        <is>
          <t>2006-06-20</t>
        </is>
      </c>
      <c r="X754" t="inlineStr">
        <is>
          <t>2006-06-20</t>
        </is>
      </c>
      <c r="Y754" t="n">
        <v>1077</v>
      </c>
      <c r="Z754" t="n">
        <v>988</v>
      </c>
      <c r="AA754" t="n">
        <v>1115</v>
      </c>
      <c r="AB754" t="n">
        <v>8</v>
      </c>
      <c r="AC754" t="n">
        <v>8</v>
      </c>
      <c r="AD754" t="n">
        <v>36</v>
      </c>
      <c r="AE754" t="n">
        <v>37</v>
      </c>
      <c r="AF754" t="n">
        <v>14</v>
      </c>
      <c r="AG754" t="n">
        <v>15</v>
      </c>
      <c r="AH754" t="n">
        <v>6</v>
      </c>
      <c r="AI754" t="n">
        <v>7</v>
      </c>
      <c r="AJ754" t="n">
        <v>17</v>
      </c>
      <c r="AK754" t="n">
        <v>17</v>
      </c>
      <c r="AL754" t="n">
        <v>7</v>
      </c>
      <c r="AM754" t="n">
        <v>7</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HYPERLINK("https://creighton-primo.hosted.exlibrisgroup.com/primo-explore/search?tab=default_tab&amp;search_scope=EVERYTHING&amp;vid=01CRU&amp;lang=en_US&amp;offset=0&amp;query=any,contains,991004798269702656","Catalog Record")</f>
        <v/>
      </c>
      <c r="AT754">
        <f>HYPERLINK("http://www.worldcat.org/oclc/53288031","WorldCat Record")</f>
        <v/>
      </c>
      <c r="AU754" t="inlineStr">
        <is>
          <t>119325644:eng</t>
        </is>
      </c>
      <c r="AV754" t="inlineStr">
        <is>
          <t>53288031</t>
        </is>
      </c>
      <c r="AW754" t="inlineStr">
        <is>
          <t>991004798269702656</t>
        </is>
      </c>
      <c r="AX754" t="inlineStr">
        <is>
          <t>991004798269702656</t>
        </is>
      </c>
      <c r="AY754" t="inlineStr">
        <is>
          <t>2258794300002656</t>
        </is>
      </c>
      <c r="AZ754" t="inlineStr">
        <is>
          <t>BOOK</t>
        </is>
      </c>
      <c r="BB754" t="inlineStr">
        <is>
          <t>9780374281250</t>
        </is>
      </c>
      <c r="BC754" t="inlineStr">
        <is>
          <t>32285005191498</t>
        </is>
      </c>
      <c r="BD754" t="inlineStr">
        <is>
          <t>893338136</t>
        </is>
      </c>
    </row>
    <row r="755">
      <c r="A755" t="inlineStr">
        <is>
          <t>No</t>
        </is>
      </c>
      <c r="B755" t="inlineStr">
        <is>
          <t>HM585 .B527 2003</t>
        </is>
      </c>
      <c r="C755" t="inlineStr">
        <is>
          <t>0                      HM 0585000B  527         2003</t>
        </is>
      </c>
      <c r="D755" t="inlineStr">
        <is>
          <t>The Blackwell companion to major classical social theorists / edited by George Ritzer.</t>
        </is>
      </c>
      <c r="F755" t="inlineStr">
        <is>
          <t>No</t>
        </is>
      </c>
      <c r="G755" t="inlineStr">
        <is>
          <t>1</t>
        </is>
      </c>
      <c r="H755" t="inlineStr">
        <is>
          <t>No</t>
        </is>
      </c>
      <c r="I755" t="inlineStr">
        <is>
          <t>No</t>
        </is>
      </c>
      <c r="J755" t="inlineStr">
        <is>
          <t>0</t>
        </is>
      </c>
      <c r="L755" t="inlineStr">
        <is>
          <t>Malden, MA : Blackwell, 2003.</t>
        </is>
      </c>
      <c r="M755" t="inlineStr">
        <is>
          <t>2003</t>
        </is>
      </c>
      <c r="O755" t="inlineStr">
        <is>
          <t>eng</t>
        </is>
      </c>
      <c r="P755" t="inlineStr">
        <is>
          <t>mau</t>
        </is>
      </c>
      <c r="Q755" t="inlineStr">
        <is>
          <t>Blackwell companions to sociology</t>
        </is>
      </c>
      <c r="R755" t="inlineStr">
        <is>
          <t xml:space="preserve">HM </t>
        </is>
      </c>
      <c r="S755" t="n">
        <v>3</v>
      </c>
      <c r="T755" t="n">
        <v>3</v>
      </c>
      <c r="U755" t="inlineStr">
        <is>
          <t>2007-11-13</t>
        </is>
      </c>
      <c r="V755" t="inlineStr">
        <is>
          <t>2007-11-13</t>
        </is>
      </c>
      <c r="W755" t="inlineStr">
        <is>
          <t>2005-02-10</t>
        </is>
      </c>
      <c r="X755" t="inlineStr">
        <is>
          <t>2005-02-10</t>
        </is>
      </c>
      <c r="Y755" t="n">
        <v>227</v>
      </c>
      <c r="Z755" t="n">
        <v>124</v>
      </c>
      <c r="AA755" t="n">
        <v>241</v>
      </c>
      <c r="AB755" t="n">
        <v>2</v>
      </c>
      <c r="AC755" t="n">
        <v>2</v>
      </c>
      <c r="AD755" t="n">
        <v>6</v>
      </c>
      <c r="AE755" t="n">
        <v>13</v>
      </c>
      <c r="AF755" t="n">
        <v>3</v>
      </c>
      <c r="AG755" t="n">
        <v>6</v>
      </c>
      <c r="AH755" t="n">
        <v>1</v>
      </c>
      <c r="AI755" t="n">
        <v>4</v>
      </c>
      <c r="AJ755" t="n">
        <v>3</v>
      </c>
      <c r="AK755" t="n">
        <v>6</v>
      </c>
      <c r="AL755" t="n">
        <v>1</v>
      </c>
      <c r="AM755" t="n">
        <v>1</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HYPERLINK("https://creighton-primo.hosted.exlibrisgroup.com/primo-explore/search?tab=default_tab&amp;search_scope=EVERYTHING&amp;vid=01CRU&amp;lang=en_US&amp;offset=0&amp;query=any,contains,991004383269702656","Catalog Record")</f>
        <v/>
      </c>
      <c r="AT755">
        <f>HYPERLINK("http://www.worldcat.org/oclc/52197518","WorldCat Record")</f>
        <v/>
      </c>
      <c r="AU755" t="inlineStr">
        <is>
          <t>4918132751:eng</t>
        </is>
      </c>
      <c r="AV755" t="inlineStr">
        <is>
          <t>52197518</t>
        </is>
      </c>
      <c r="AW755" t="inlineStr">
        <is>
          <t>991004383269702656</t>
        </is>
      </c>
      <c r="AX755" t="inlineStr">
        <is>
          <t>991004383269702656</t>
        </is>
      </c>
      <c r="AY755" t="inlineStr">
        <is>
          <t>2261421710002656</t>
        </is>
      </c>
      <c r="AZ755" t="inlineStr">
        <is>
          <t>BOOK</t>
        </is>
      </c>
      <c r="BB755" t="inlineStr">
        <is>
          <t>9781405105941</t>
        </is>
      </c>
      <c r="BC755" t="inlineStr">
        <is>
          <t>32285005025704</t>
        </is>
      </c>
      <c r="BD755" t="inlineStr">
        <is>
          <t>893904835</t>
        </is>
      </c>
    </row>
    <row r="756">
      <c r="A756" t="inlineStr">
        <is>
          <t>No</t>
        </is>
      </c>
      <c r="B756" t="inlineStr">
        <is>
          <t>HM585 .F48 2008</t>
        </is>
      </c>
      <c r="C756" t="inlineStr">
        <is>
          <t>0                      HM 0585000F  48          2008</t>
        </is>
      </c>
      <c r="D756" t="inlineStr">
        <is>
          <t>Social theory for old and new modernities : essays on society and culture, 1976-2005 / Franco Ferrarotti ; edited by E. Doyle McCarthy.</t>
        </is>
      </c>
      <c r="F756" t="inlineStr">
        <is>
          <t>No</t>
        </is>
      </c>
      <c r="G756" t="inlineStr">
        <is>
          <t>1</t>
        </is>
      </c>
      <c r="H756" t="inlineStr">
        <is>
          <t>No</t>
        </is>
      </c>
      <c r="I756" t="inlineStr">
        <is>
          <t>No</t>
        </is>
      </c>
      <c r="J756" t="inlineStr">
        <is>
          <t>0</t>
        </is>
      </c>
      <c r="K756" t="inlineStr">
        <is>
          <t>Ferrarotti, Franco.</t>
        </is>
      </c>
      <c r="L756" t="inlineStr">
        <is>
          <t>Lanham, MD : Lexington Books, 2008, c2007.</t>
        </is>
      </c>
      <c r="M756" t="inlineStr">
        <is>
          <t>2008</t>
        </is>
      </c>
      <c r="N756" t="inlineStr">
        <is>
          <t>1st pbk. ed.</t>
        </is>
      </c>
      <c r="O756" t="inlineStr">
        <is>
          <t>eng</t>
        </is>
      </c>
      <c r="P756" t="inlineStr">
        <is>
          <t>mdu</t>
        </is>
      </c>
      <c r="R756" t="inlineStr">
        <is>
          <t xml:space="preserve">HM </t>
        </is>
      </c>
      <c r="S756" t="n">
        <v>1</v>
      </c>
      <c r="T756" t="n">
        <v>1</v>
      </c>
      <c r="U756" t="inlineStr">
        <is>
          <t>2010-03-30</t>
        </is>
      </c>
      <c r="V756" t="inlineStr">
        <is>
          <t>2010-03-30</t>
        </is>
      </c>
      <c r="W756" t="inlineStr">
        <is>
          <t>2010-03-30</t>
        </is>
      </c>
      <c r="X756" t="inlineStr">
        <is>
          <t>2010-03-30</t>
        </is>
      </c>
      <c r="Y756" t="n">
        <v>120</v>
      </c>
      <c r="Z756" t="n">
        <v>74</v>
      </c>
      <c r="AA756" t="n">
        <v>108</v>
      </c>
      <c r="AB756" t="n">
        <v>1</v>
      </c>
      <c r="AC756" t="n">
        <v>1</v>
      </c>
      <c r="AD756" t="n">
        <v>4</v>
      </c>
      <c r="AE756" t="n">
        <v>6</v>
      </c>
      <c r="AF756" t="n">
        <v>1</v>
      </c>
      <c r="AG756" t="n">
        <v>3</v>
      </c>
      <c r="AH756" t="n">
        <v>1</v>
      </c>
      <c r="AI756" t="n">
        <v>2</v>
      </c>
      <c r="AJ756" t="n">
        <v>4</v>
      </c>
      <c r="AK756" t="n">
        <v>4</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HYPERLINK("https://creighton-primo.hosted.exlibrisgroup.com/primo-explore/search?tab=default_tab&amp;search_scope=EVERYTHING&amp;vid=01CRU&amp;lang=en_US&amp;offset=0&amp;query=any,contains,991005368139702656","Catalog Record")</f>
        <v/>
      </c>
      <c r="AT756">
        <f>HYPERLINK("http://www.worldcat.org/oclc/86109842","WorldCat Record")</f>
        <v/>
      </c>
      <c r="AU756" t="inlineStr">
        <is>
          <t>308184498:eng</t>
        </is>
      </c>
      <c r="AV756" t="inlineStr">
        <is>
          <t>86109842</t>
        </is>
      </c>
      <c r="AW756" t="inlineStr">
        <is>
          <t>991005368139702656</t>
        </is>
      </c>
      <c r="AX756" t="inlineStr">
        <is>
          <t>991005368139702656</t>
        </is>
      </c>
      <c r="AY756" t="inlineStr">
        <is>
          <t>2269075090002656</t>
        </is>
      </c>
      <c r="AZ756" t="inlineStr">
        <is>
          <t>BOOK</t>
        </is>
      </c>
      <c r="BB756" t="inlineStr">
        <is>
          <t>9780739115091</t>
        </is>
      </c>
      <c r="BC756" t="inlineStr">
        <is>
          <t>32285005560619</t>
        </is>
      </c>
      <c r="BD756" t="inlineStr">
        <is>
          <t>893689090</t>
        </is>
      </c>
    </row>
    <row r="757">
      <c r="A757" t="inlineStr">
        <is>
          <t>No</t>
        </is>
      </c>
      <c r="B757" t="inlineStr">
        <is>
          <t>HM585 .L394 2007</t>
        </is>
      </c>
      <c r="C757" t="inlineStr">
        <is>
          <t>0                      HM 0585000L  394         2007</t>
        </is>
      </c>
      <c r="D757" t="inlineStr">
        <is>
          <t>Thinking the unthinkable : the riddles of classical social theories / Charles Lemert.</t>
        </is>
      </c>
      <c r="F757" t="inlineStr">
        <is>
          <t>No</t>
        </is>
      </c>
      <c r="G757" t="inlineStr">
        <is>
          <t>1</t>
        </is>
      </c>
      <c r="H757" t="inlineStr">
        <is>
          <t>No</t>
        </is>
      </c>
      <c r="I757" t="inlineStr">
        <is>
          <t>No</t>
        </is>
      </c>
      <c r="J757" t="inlineStr">
        <is>
          <t>0</t>
        </is>
      </c>
      <c r="K757" t="inlineStr">
        <is>
          <t>Lemert, Charles C., 1937-</t>
        </is>
      </c>
      <c r="L757" t="inlineStr">
        <is>
          <t>Boulder : Paradigm Publishers, c2007.</t>
        </is>
      </c>
      <c r="M757" t="inlineStr">
        <is>
          <t>2007</t>
        </is>
      </c>
      <c r="O757" t="inlineStr">
        <is>
          <t>eng</t>
        </is>
      </c>
      <c r="P757" t="inlineStr">
        <is>
          <t>cou</t>
        </is>
      </c>
      <c r="Q757" t="inlineStr">
        <is>
          <t>Great Barrington books</t>
        </is>
      </c>
      <c r="R757" t="inlineStr">
        <is>
          <t xml:space="preserve">HM </t>
        </is>
      </c>
      <c r="S757" t="n">
        <v>2</v>
      </c>
      <c r="T757" t="n">
        <v>2</v>
      </c>
      <c r="U757" t="inlineStr">
        <is>
          <t>2009-11-19</t>
        </is>
      </c>
      <c r="V757" t="inlineStr">
        <is>
          <t>2009-11-19</t>
        </is>
      </c>
      <c r="W757" t="inlineStr">
        <is>
          <t>2007-10-25</t>
        </is>
      </c>
      <c r="X757" t="inlineStr">
        <is>
          <t>2007-10-25</t>
        </is>
      </c>
      <c r="Y757" t="n">
        <v>420</v>
      </c>
      <c r="Z757" t="n">
        <v>341</v>
      </c>
      <c r="AA757" t="n">
        <v>361</v>
      </c>
      <c r="AB757" t="n">
        <v>3</v>
      </c>
      <c r="AC757" t="n">
        <v>3</v>
      </c>
      <c r="AD757" t="n">
        <v>18</v>
      </c>
      <c r="AE757" t="n">
        <v>18</v>
      </c>
      <c r="AF757" t="n">
        <v>7</v>
      </c>
      <c r="AG757" t="n">
        <v>7</v>
      </c>
      <c r="AH757" t="n">
        <v>5</v>
      </c>
      <c r="AI757" t="n">
        <v>5</v>
      </c>
      <c r="AJ757" t="n">
        <v>9</v>
      </c>
      <c r="AK757" t="n">
        <v>9</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HYPERLINK("https://creighton-primo.hosted.exlibrisgroup.com/primo-explore/search?tab=default_tab&amp;search_scope=EVERYTHING&amp;vid=01CRU&amp;lang=en_US&amp;offset=0&amp;query=any,contains,991005122299702656","Catalog Record")</f>
        <v/>
      </c>
      <c r="AT757">
        <f>HYPERLINK("http://www.worldcat.org/oclc/79256813","WorldCat Record")</f>
        <v/>
      </c>
      <c r="AU757" t="inlineStr">
        <is>
          <t>197543377:eng</t>
        </is>
      </c>
      <c r="AV757" t="inlineStr">
        <is>
          <t>79256813</t>
        </is>
      </c>
      <c r="AW757" t="inlineStr">
        <is>
          <t>991005122299702656</t>
        </is>
      </c>
      <c r="AX757" t="inlineStr">
        <is>
          <t>991005122299702656</t>
        </is>
      </c>
      <c r="AY757" t="inlineStr">
        <is>
          <t>2259079220002656</t>
        </is>
      </c>
      <c r="AZ757" t="inlineStr">
        <is>
          <t>BOOK</t>
        </is>
      </c>
      <c r="BB757" t="inlineStr">
        <is>
          <t>9781594511851</t>
        </is>
      </c>
      <c r="BC757" t="inlineStr">
        <is>
          <t>32285005360929</t>
        </is>
      </c>
      <c r="BD757" t="inlineStr">
        <is>
          <t>893437194</t>
        </is>
      </c>
    </row>
    <row r="758">
      <c r="A758" t="inlineStr">
        <is>
          <t>No</t>
        </is>
      </c>
      <c r="B758" t="inlineStr">
        <is>
          <t>HM585 .L94 2002</t>
        </is>
      </c>
      <c r="C758" t="inlineStr">
        <is>
          <t>0                      HM 0585000L  94          2002</t>
        </is>
      </c>
      <c r="D758" t="inlineStr">
        <is>
          <t>Sociology and the real world / by Stephen Lyng and David D. Franks.</t>
        </is>
      </c>
      <c r="F758" t="inlineStr">
        <is>
          <t>No</t>
        </is>
      </c>
      <c r="G758" t="inlineStr">
        <is>
          <t>1</t>
        </is>
      </c>
      <c r="H758" t="inlineStr">
        <is>
          <t>No</t>
        </is>
      </c>
      <c r="I758" t="inlineStr">
        <is>
          <t>No</t>
        </is>
      </c>
      <c r="J758" t="inlineStr">
        <is>
          <t>0</t>
        </is>
      </c>
      <c r="K758" t="inlineStr">
        <is>
          <t>Lyng, Stephen, 1950-</t>
        </is>
      </c>
      <c r="L758" t="inlineStr">
        <is>
          <t>Lanham, MD : Rowman &amp; Littlefield Publishers, c2002.</t>
        </is>
      </c>
      <c r="M758" t="inlineStr">
        <is>
          <t>2002</t>
        </is>
      </c>
      <c r="O758" t="inlineStr">
        <is>
          <t>eng</t>
        </is>
      </c>
      <c r="P758" t="inlineStr">
        <is>
          <t>mdu</t>
        </is>
      </c>
      <c r="R758" t="inlineStr">
        <is>
          <t xml:space="preserve">HM </t>
        </is>
      </c>
      <c r="S758" t="n">
        <v>2</v>
      </c>
      <c r="T758" t="n">
        <v>2</v>
      </c>
      <c r="U758" t="inlineStr">
        <is>
          <t>2002-11-11</t>
        </is>
      </c>
      <c r="V758" t="inlineStr">
        <is>
          <t>2002-11-11</t>
        </is>
      </c>
      <c r="W758" t="inlineStr">
        <is>
          <t>2002-11-11</t>
        </is>
      </c>
      <c r="X758" t="inlineStr">
        <is>
          <t>2002-11-11</t>
        </is>
      </c>
      <c r="Y758" t="n">
        <v>364</v>
      </c>
      <c r="Z758" t="n">
        <v>306</v>
      </c>
      <c r="AA758" t="n">
        <v>313</v>
      </c>
      <c r="AB758" t="n">
        <v>4</v>
      </c>
      <c r="AC758" t="n">
        <v>4</v>
      </c>
      <c r="AD758" t="n">
        <v>16</v>
      </c>
      <c r="AE758" t="n">
        <v>16</v>
      </c>
      <c r="AF758" t="n">
        <v>6</v>
      </c>
      <c r="AG758" t="n">
        <v>6</v>
      </c>
      <c r="AH758" t="n">
        <v>5</v>
      </c>
      <c r="AI758" t="n">
        <v>5</v>
      </c>
      <c r="AJ758" t="n">
        <v>7</v>
      </c>
      <c r="AK758" t="n">
        <v>7</v>
      </c>
      <c r="AL758" t="n">
        <v>3</v>
      </c>
      <c r="AM758" t="n">
        <v>3</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HYPERLINK("https://creighton-primo.hosted.exlibrisgroup.com/primo-explore/search?tab=default_tab&amp;search_scope=EVERYTHING&amp;vid=01CRU&amp;lang=en_US&amp;offset=0&amp;query=any,contains,991003941319702656","Catalog Record")</f>
        <v/>
      </c>
      <c r="AT758">
        <f>HYPERLINK("http://www.worldcat.org/oclc/47161867","WorldCat Record")</f>
        <v/>
      </c>
      <c r="AU758" t="inlineStr">
        <is>
          <t>36119244:eng</t>
        </is>
      </c>
      <c r="AV758" t="inlineStr">
        <is>
          <t>47161867</t>
        </is>
      </c>
      <c r="AW758" t="inlineStr">
        <is>
          <t>991003941319702656</t>
        </is>
      </c>
      <c r="AX758" t="inlineStr">
        <is>
          <t>991003941319702656</t>
        </is>
      </c>
      <c r="AY758" t="inlineStr">
        <is>
          <t>2268404480002656</t>
        </is>
      </c>
      <c r="AZ758" t="inlineStr">
        <is>
          <t>BOOK</t>
        </is>
      </c>
      <c r="BB758" t="inlineStr">
        <is>
          <t>9780742501751</t>
        </is>
      </c>
      <c r="BC758" t="inlineStr">
        <is>
          <t>32285004662598</t>
        </is>
      </c>
      <c r="BD758" t="inlineStr">
        <is>
          <t>893429465</t>
        </is>
      </c>
    </row>
    <row r="759">
      <c r="A759" t="inlineStr">
        <is>
          <t>No</t>
        </is>
      </c>
      <c r="B759" t="inlineStr">
        <is>
          <t>HM585 .O97 2005</t>
        </is>
      </c>
      <c r="C759" t="inlineStr">
        <is>
          <t>0                      HM 0585000O  97          2005</t>
        </is>
      </c>
      <c r="D759" t="inlineStr">
        <is>
          <t>Critical social theory in the interests of black folks / Lucius T. Outlaw, Jr.</t>
        </is>
      </c>
      <c r="F759" t="inlineStr">
        <is>
          <t>No</t>
        </is>
      </c>
      <c r="G759" t="inlineStr">
        <is>
          <t>1</t>
        </is>
      </c>
      <c r="H759" t="inlineStr">
        <is>
          <t>No</t>
        </is>
      </c>
      <c r="I759" t="inlineStr">
        <is>
          <t>No</t>
        </is>
      </c>
      <c r="J759" t="inlineStr">
        <is>
          <t>0</t>
        </is>
      </c>
      <c r="K759" t="inlineStr">
        <is>
          <t>Outlaw, Lucius T., 1944-</t>
        </is>
      </c>
      <c r="L759" t="inlineStr">
        <is>
          <t>Lanham, Md. : Rowman &amp; Littlefield Publishers, c2005.</t>
        </is>
      </c>
      <c r="M759" t="inlineStr">
        <is>
          <t>2005</t>
        </is>
      </c>
      <c r="O759" t="inlineStr">
        <is>
          <t>eng</t>
        </is>
      </c>
      <c r="P759" t="inlineStr">
        <is>
          <t>mdu</t>
        </is>
      </c>
      <c r="Q759" t="inlineStr">
        <is>
          <t>New critical theory</t>
        </is>
      </c>
      <c r="R759" t="inlineStr">
        <is>
          <t xml:space="preserve">HM </t>
        </is>
      </c>
      <c r="S759" t="n">
        <v>10</v>
      </c>
      <c r="T759" t="n">
        <v>10</v>
      </c>
      <c r="U759" t="inlineStr">
        <is>
          <t>2008-04-22</t>
        </is>
      </c>
      <c r="V759" t="inlineStr">
        <is>
          <t>2008-04-22</t>
        </is>
      </c>
      <c r="W759" t="inlineStr">
        <is>
          <t>2006-10-30</t>
        </is>
      </c>
      <c r="X759" t="inlineStr">
        <is>
          <t>2006-10-30</t>
        </is>
      </c>
      <c r="Y759" t="n">
        <v>267</v>
      </c>
      <c r="Z759" t="n">
        <v>232</v>
      </c>
      <c r="AA759" t="n">
        <v>251</v>
      </c>
      <c r="AB759" t="n">
        <v>3</v>
      </c>
      <c r="AC759" t="n">
        <v>3</v>
      </c>
      <c r="AD759" t="n">
        <v>15</v>
      </c>
      <c r="AE759" t="n">
        <v>17</v>
      </c>
      <c r="AF759" t="n">
        <v>5</v>
      </c>
      <c r="AG759" t="n">
        <v>5</v>
      </c>
      <c r="AH759" t="n">
        <v>5</v>
      </c>
      <c r="AI759" t="n">
        <v>6</v>
      </c>
      <c r="AJ759" t="n">
        <v>8</v>
      </c>
      <c r="AK759" t="n">
        <v>8</v>
      </c>
      <c r="AL759" t="n">
        <v>2</v>
      </c>
      <c r="AM759" t="n">
        <v>2</v>
      </c>
      <c r="AN759" t="n">
        <v>0</v>
      </c>
      <c r="AO759" t="n">
        <v>1</v>
      </c>
      <c r="AP759" t="inlineStr">
        <is>
          <t>No</t>
        </is>
      </c>
      <c r="AQ759" t="inlineStr">
        <is>
          <t>Yes</t>
        </is>
      </c>
      <c r="AR759">
        <f>HYPERLINK("http://catalog.hathitrust.org/Record/005079691","HathiTrust Record")</f>
        <v/>
      </c>
      <c r="AS759">
        <f>HYPERLINK("https://creighton-primo.hosted.exlibrisgroup.com/primo-explore/search?tab=default_tab&amp;search_scope=EVERYTHING&amp;vid=01CRU&amp;lang=en_US&amp;offset=0&amp;query=any,contains,991004941109702656","Catalog Record")</f>
        <v/>
      </c>
      <c r="AT759">
        <f>HYPERLINK("http://www.worldcat.org/oclc/58386477","WorldCat Record")</f>
        <v/>
      </c>
      <c r="AU759" t="inlineStr">
        <is>
          <t>46223107:eng</t>
        </is>
      </c>
      <c r="AV759" t="inlineStr">
        <is>
          <t>58386477</t>
        </is>
      </c>
      <c r="AW759" t="inlineStr">
        <is>
          <t>991004941109702656</t>
        </is>
      </c>
      <c r="AX759" t="inlineStr">
        <is>
          <t>991004941109702656</t>
        </is>
      </c>
      <c r="AY759" t="inlineStr">
        <is>
          <t>2261477180002656</t>
        </is>
      </c>
      <c r="AZ759" t="inlineStr">
        <is>
          <t>BOOK</t>
        </is>
      </c>
      <c r="BB759" t="inlineStr">
        <is>
          <t>9780742513433</t>
        </is>
      </c>
      <c r="BC759" t="inlineStr">
        <is>
          <t>32285005233787</t>
        </is>
      </c>
      <c r="BD759" t="inlineStr">
        <is>
          <t>893260342</t>
        </is>
      </c>
    </row>
    <row r="760">
      <c r="A760" t="inlineStr">
        <is>
          <t>No</t>
        </is>
      </c>
      <c r="B760" t="inlineStr">
        <is>
          <t>HM585 .R57 2004</t>
        </is>
      </c>
      <c r="C760" t="inlineStr">
        <is>
          <t>0                      HM 0585000R  57          2004</t>
        </is>
      </c>
      <c r="D760" t="inlineStr">
        <is>
          <t>Sociological theory / George Ritzer, Douglas J. Goodman.</t>
        </is>
      </c>
      <c r="F760" t="inlineStr">
        <is>
          <t>No</t>
        </is>
      </c>
      <c r="G760" t="inlineStr">
        <is>
          <t>1</t>
        </is>
      </c>
      <c r="H760" t="inlineStr">
        <is>
          <t>No</t>
        </is>
      </c>
      <c r="I760" t="inlineStr">
        <is>
          <t>No</t>
        </is>
      </c>
      <c r="J760" t="inlineStr">
        <is>
          <t>0</t>
        </is>
      </c>
      <c r="K760" t="inlineStr">
        <is>
          <t>Ritzer, George.</t>
        </is>
      </c>
      <c r="L760" t="inlineStr">
        <is>
          <t>Boston : McGraw-Hill, c2004.</t>
        </is>
      </c>
      <c r="M760" t="inlineStr">
        <is>
          <t>2004</t>
        </is>
      </c>
      <c r="N760" t="inlineStr">
        <is>
          <t>6th ed.</t>
        </is>
      </c>
      <c r="O760" t="inlineStr">
        <is>
          <t>eng</t>
        </is>
      </c>
      <c r="P760" t="inlineStr">
        <is>
          <t>mau</t>
        </is>
      </c>
      <c r="R760" t="inlineStr">
        <is>
          <t xml:space="preserve">HM </t>
        </is>
      </c>
      <c r="S760" t="n">
        <v>5</v>
      </c>
      <c r="T760" t="n">
        <v>5</v>
      </c>
      <c r="U760" t="inlineStr">
        <is>
          <t>2009-09-08</t>
        </is>
      </c>
      <c r="V760" t="inlineStr">
        <is>
          <t>2009-09-08</t>
        </is>
      </c>
      <c r="W760" t="inlineStr">
        <is>
          <t>2007-02-26</t>
        </is>
      </c>
      <c r="X760" t="inlineStr">
        <is>
          <t>2007-02-26</t>
        </is>
      </c>
      <c r="Y760" t="n">
        <v>128</v>
      </c>
      <c r="Z760" t="n">
        <v>49</v>
      </c>
      <c r="AA760" t="n">
        <v>432</v>
      </c>
      <c r="AB760" t="n">
        <v>1</v>
      </c>
      <c r="AC760" t="n">
        <v>2</v>
      </c>
      <c r="AD760" t="n">
        <v>2</v>
      </c>
      <c r="AE760" t="n">
        <v>15</v>
      </c>
      <c r="AF760" t="n">
        <v>0</v>
      </c>
      <c r="AG760" t="n">
        <v>6</v>
      </c>
      <c r="AH760" t="n">
        <v>0</v>
      </c>
      <c r="AI760" t="n">
        <v>3</v>
      </c>
      <c r="AJ760" t="n">
        <v>2</v>
      </c>
      <c r="AK760" t="n">
        <v>9</v>
      </c>
      <c r="AL760" t="n">
        <v>0</v>
      </c>
      <c r="AM760" t="n">
        <v>1</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HYPERLINK("https://creighton-primo.hosted.exlibrisgroup.com/primo-explore/search?tab=default_tab&amp;search_scope=EVERYTHING&amp;vid=01CRU&amp;lang=en_US&amp;offset=0&amp;query=any,contains,991005025469702656","Catalog Record")</f>
        <v/>
      </c>
      <c r="AT760">
        <f>HYPERLINK("http://www.worldcat.org/oclc/52240022","WorldCat Record")</f>
        <v/>
      </c>
      <c r="AU760" t="inlineStr">
        <is>
          <t>654151:eng</t>
        </is>
      </c>
      <c r="AV760" t="inlineStr">
        <is>
          <t>52240022</t>
        </is>
      </c>
      <c r="AW760" t="inlineStr">
        <is>
          <t>991005025469702656</t>
        </is>
      </c>
      <c r="AX760" t="inlineStr">
        <is>
          <t>991005025469702656</t>
        </is>
      </c>
      <c r="AY760" t="inlineStr">
        <is>
          <t>2266205820002656</t>
        </is>
      </c>
      <c r="AZ760" t="inlineStr">
        <is>
          <t>BOOK</t>
        </is>
      </c>
      <c r="BB760" t="inlineStr">
        <is>
          <t>9780072817188</t>
        </is>
      </c>
      <c r="BC760" t="inlineStr">
        <is>
          <t>32285005279566</t>
        </is>
      </c>
      <c r="BD760" t="inlineStr">
        <is>
          <t>893613019</t>
        </is>
      </c>
    </row>
    <row r="761">
      <c r="A761" t="inlineStr">
        <is>
          <t>No</t>
        </is>
      </c>
      <c r="B761" t="inlineStr">
        <is>
          <t>HM585 .S44 2004</t>
        </is>
      </c>
      <c r="C761" t="inlineStr">
        <is>
          <t>0                      HM 0585000S  44          2004</t>
        </is>
      </c>
      <c r="D761" t="inlineStr">
        <is>
          <t>Contested knowledge : social theory today / Steven Seidman.</t>
        </is>
      </c>
      <c r="F761" t="inlineStr">
        <is>
          <t>No</t>
        </is>
      </c>
      <c r="G761" t="inlineStr">
        <is>
          <t>1</t>
        </is>
      </c>
      <c r="H761" t="inlineStr">
        <is>
          <t>No</t>
        </is>
      </c>
      <c r="I761" t="inlineStr">
        <is>
          <t>No</t>
        </is>
      </c>
      <c r="J761" t="inlineStr">
        <is>
          <t>0</t>
        </is>
      </c>
      <c r="K761" t="inlineStr">
        <is>
          <t>Seidman, Steven.</t>
        </is>
      </c>
      <c r="L761" t="inlineStr">
        <is>
          <t>Malden, MA : Blackwell Pub., 2004.</t>
        </is>
      </c>
      <c r="M761" t="inlineStr">
        <is>
          <t>2004</t>
        </is>
      </c>
      <c r="N761" t="inlineStr">
        <is>
          <t>3rd ed.</t>
        </is>
      </c>
      <c r="O761" t="inlineStr">
        <is>
          <t>eng</t>
        </is>
      </c>
      <c r="P761" t="inlineStr">
        <is>
          <t>mau</t>
        </is>
      </c>
      <c r="R761" t="inlineStr">
        <is>
          <t xml:space="preserve">HM </t>
        </is>
      </c>
      <c r="S761" t="n">
        <v>3</v>
      </c>
      <c r="T761" t="n">
        <v>3</v>
      </c>
      <c r="U761" t="inlineStr">
        <is>
          <t>2008-12-01</t>
        </is>
      </c>
      <c r="V761" t="inlineStr">
        <is>
          <t>2008-12-01</t>
        </is>
      </c>
      <c r="W761" t="inlineStr">
        <is>
          <t>2004-12-07</t>
        </is>
      </c>
      <c r="X761" t="inlineStr">
        <is>
          <t>2004-12-07</t>
        </is>
      </c>
      <c r="Y761" t="n">
        <v>183</v>
      </c>
      <c r="Z761" t="n">
        <v>88</v>
      </c>
      <c r="AA761" t="n">
        <v>603</v>
      </c>
      <c r="AB761" t="n">
        <v>2</v>
      </c>
      <c r="AC761" t="n">
        <v>6</v>
      </c>
      <c r="AD761" t="n">
        <v>2</v>
      </c>
      <c r="AE761" t="n">
        <v>28</v>
      </c>
      <c r="AF761" t="n">
        <v>1</v>
      </c>
      <c r="AG761" t="n">
        <v>9</v>
      </c>
      <c r="AH761" t="n">
        <v>0</v>
      </c>
      <c r="AI761" t="n">
        <v>7</v>
      </c>
      <c r="AJ761" t="n">
        <v>1</v>
      </c>
      <c r="AK761" t="n">
        <v>11</v>
      </c>
      <c r="AL761" t="n">
        <v>1</v>
      </c>
      <c r="AM761" t="n">
        <v>5</v>
      </c>
      <c r="AN761" t="n">
        <v>0</v>
      </c>
      <c r="AO761" t="n">
        <v>1</v>
      </c>
      <c r="AP761" t="inlineStr">
        <is>
          <t>No</t>
        </is>
      </c>
      <c r="AQ761" t="inlineStr">
        <is>
          <t>No</t>
        </is>
      </c>
      <c r="AS761">
        <f>HYPERLINK("https://creighton-primo.hosted.exlibrisgroup.com/primo-explore/search?tab=default_tab&amp;search_scope=EVERYTHING&amp;vid=01CRU&amp;lang=en_US&amp;offset=0&amp;query=any,contains,991004383499702656","Catalog Record")</f>
        <v/>
      </c>
      <c r="AT761">
        <f>HYPERLINK("http://www.worldcat.org/oclc/50868285","WorldCat Record")</f>
        <v/>
      </c>
      <c r="AU761" t="inlineStr">
        <is>
          <t>839141148:eng</t>
        </is>
      </c>
      <c r="AV761" t="inlineStr">
        <is>
          <t>50868285</t>
        </is>
      </c>
      <c r="AW761" t="inlineStr">
        <is>
          <t>991004383499702656</t>
        </is>
      </c>
      <c r="AX761" t="inlineStr">
        <is>
          <t>991004383499702656</t>
        </is>
      </c>
      <c r="AY761" t="inlineStr">
        <is>
          <t>2265320580002656</t>
        </is>
      </c>
      <c r="AZ761" t="inlineStr">
        <is>
          <t>BOOK</t>
        </is>
      </c>
      <c r="BB761" t="inlineStr">
        <is>
          <t>9780631226703</t>
        </is>
      </c>
      <c r="BC761" t="inlineStr">
        <is>
          <t>32285005014864</t>
        </is>
      </c>
      <c r="BD761" t="inlineStr">
        <is>
          <t>893605958</t>
        </is>
      </c>
    </row>
    <row r="762">
      <c r="A762" t="inlineStr">
        <is>
          <t>No</t>
        </is>
      </c>
      <c r="B762" t="inlineStr">
        <is>
          <t>HM585 .S6 2007</t>
        </is>
      </c>
      <c r="C762" t="inlineStr">
        <is>
          <t>0                      HM 0585000S  6           2007</t>
        </is>
      </c>
      <c r="D762" t="inlineStr">
        <is>
          <t>Sociological odyssey : contemporary readings in introductory sociology / [edited by] Patricia A. Adler, Peter Adler.</t>
        </is>
      </c>
      <c r="F762" t="inlineStr">
        <is>
          <t>No</t>
        </is>
      </c>
      <c r="G762" t="inlineStr">
        <is>
          <t>1</t>
        </is>
      </c>
      <c r="H762" t="inlineStr">
        <is>
          <t>No</t>
        </is>
      </c>
      <c r="I762" t="inlineStr">
        <is>
          <t>No</t>
        </is>
      </c>
      <c r="J762" t="inlineStr">
        <is>
          <t>0</t>
        </is>
      </c>
      <c r="L762" t="inlineStr">
        <is>
          <t>Belmont, CA : Thomson/Wadsworth, c2007</t>
        </is>
      </c>
      <c r="M762" t="inlineStr">
        <is>
          <t>2007</t>
        </is>
      </c>
      <c r="N762" t="inlineStr">
        <is>
          <t>2nd ed.</t>
        </is>
      </c>
      <c r="O762" t="inlineStr">
        <is>
          <t>eng</t>
        </is>
      </c>
      <c r="P762" t="inlineStr">
        <is>
          <t>cau</t>
        </is>
      </c>
      <c r="R762" t="inlineStr">
        <is>
          <t xml:space="preserve">HM </t>
        </is>
      </c>
      <c r="S762" t="n">
        <v>2</v>
      </c>
      <c r="T762" t="n">
        <v>2</v>
      </c>
      <c r="U762" t="inlineStr">
        <is>
          <t>2007-11-10</t>
        </is>
      </c>
      <c r="V762" t="inlineStr">
        <is>
          <t>2007-11-10</t>
        </is>
      </c>
      <c r="W762" t="inlineStr">
        <is>
          <t>2007-10-09</t>
        </is>
      </c>
      <c r="X762" t="inlineStr">
        <is>
          <t>2007-10-09</t>
        </is>
      </c>
      <c r="Y762" t="n">
        <v>41</v>
      </c>
      <c r="Z762" t="n">
        <v>34</v>
      </c>
      <c r="AA762" t="n">
        <v>114</v>
      </c>
      <c r="AB762" t="n">
        <v>1</v>
      </c>
      <c r="AC762" t="n">
        <v>1</v>
      </c>
      <c r="AD762" t="n">
        <v>0</v>
      </c>
      <c r="AE762" t="n">
        <v>2</v>
      </c>
      <c r="AF762" t="n">
        <v>0</v>
      </c>
      <c r="AG762" t="n">
        <v>0</v>
      </c>
      <c r="AH762" t="n">
        <v>0</v>
      </c>
      <c r="AI762" t="n">
        <v>0</v>
      </c>
      <c r="AJ762" t="n">
        <v>0</v>
      </c>
      <c r="AK762" t="n">
        <v>2</v>
      </c>
      <c r="AL762" t="n">
        <v>0</v>
      </c>
      <c r="AM762" t="n">
        <v>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HYPERLINK("https://creighton-primo.hosted.exlibrisgroup.com/primo-explore/search?tab=default_tab&amp;search_scope=EVERYTHING&amp;vid=01CRU&amp;lang=en_US&amp;offset=0&amp;query=any,contains,991005122319702656","Catalog Record")</f>
        <v/>
      </c>
      <c r="AT762">
        <f>HYPERLINK("http://www.worldcat.org/oclc/71245978","WorldCat Record")</f>
        <v/>
      </c>
      <c r="AU762" t="inlineStr">
        <is>
          <t>1809413873:eng</t>
        </is>
      </c>
      <c r="AV762" t="inlineStr">
        <is>
          <t>71245978</t>
        </is>
      </c>
      <c r="AW762" t="inlineStr">
        <is>
          <t>991005122319702656</t>
        </is>
      </c>
      <c r="AX762" t="inlineStr">
        <is>
          <t>991005122319702656</t>
        </is>
      </c>
      <c r="AY762" t="inlineStr">
        <is>
          <t>2262199260002656</t>
        </is>
      </c>
      <c r="AZ762" t="inlineStr">
        <is>
          <t>BOOK</t>
        </is>
      </c>
      <c r="BB762" t="inlineStr">
        <is>
          <t>9780534628000</t>
        </is>
      </c>
      <c r="BC762" t="inlineStr">
        <is>
          <t>32285005328223</t>
        </is>
      </c>
      <c r="BD762" t="inlineStr">
        <is>
          <t>893594509</t>
        </is>
      </c>
    </row>
    <row r="763">
      <c r="A763" t="inlineStr">
        <is>
          <t>No</t>
        </is>
      </c>
      <c r="B763" t="inlineStr">
        <is>
          <t>HM585 .S638 2004</t>
        </is>
      </c>
      <c r="C763" t="inlineStr">
        <is>
          <t>0                      HM 0585000S  638         2004</t>
        </is>
      </c>
      <c r="D763" t="inlineStr">
        <is>
          <t>The sociology student writer's manual / William A. Johnson, Jr. ... [et al.].</t>
        </is>
      </c>
      <c r="F763" t="inlineStr">
        <is>
          <t>No</t>
        </is>
      </c>
      <c r="G763" t="inlineStr">
        <is>
          <t>1</t>
        </is>
      </c>
      <c r="H763" t="inlineStr">
        <is>
          <t>No</t>
        </is>
      </c>
      <c r="I763" t="inlineStr">
        <is>
          <t>No</t>
        </is>
      </c>
      <c r="J763" t="inlineStr">
        <is>
          <t>0</t>
        </is>
      </c>
      <c r="L763" t="inlineStr">
        <is>
          <t>Upper Saddle River, N.J. : Pearson Education, c2004.</t>
        </is>
      </c>
      <c r="M763" t="inlineStr">
        <is>
          <t>2004</t>
        </is>
      </c>
      <c r="N763" t="inlineStr">
        <is>
          <t>4th ed.</t>
        </is>
      </c>
      <c r="O763" t="inlineStr">
        <is>
          <t>eng</t>
        </is>
      </c>
      <c r="P763" t="inlineStr">
        <is>
          <t>nju</t>
        </is>
      </c>
      <c r="R763" t="inlineStr">
        <is>
          <t xml:space="preserve">HM </t>
        </is>
      </c>
      <c r="S763" t="n">
        <v>5</v>
      </c>
      <c r="T763" t="n">
        <v>5</v>
      </c>
      <c r="U763" t="inlineStr">
        <is>
          <t>2010-09-09</t>
        </is>
      </c>
      <c r="V763" t="inlineStr">
        <is>
          <t>2010-09-09</t>
        </is>
      </c>
      <c r="W763" t="inlineStr">
        <is>
          <t>2004-04-20</t>
        </is>
      </c>
      <c r="X763" t="inlineStr">
        <is>
          <t>2004-04-20</t>
        </is>
      </c>
      <c r="Y763" t="n">
        <v>134</v>
      </c>
      <c r="Z763" t="n">
        <v>118</v>
      </c>
      <c r="AA763" t="n">
        <v>505</v>
      </c>
      <c r="AB763" t="n">
        <v>1</v>
      </c>
      <c r="AC763" t="n">
        <v>5</v>
      </c>
      <c r="AD763" t="n">
        <v>4</v>
      </c>
      <c r="AE763" t="n">
        <v>26</v>
      </c>
      <c r="AF763" t="n">
        <v>1</v>
      </c>
      <c r="AG763" t="n">
        <v>11</v>
      </c>
      <c r="AH763" t="n">
        <v>1</v>
      </c>
      <c r="AI763" t="n">
        <v>6</v>
      </c>
      <c r="AJ763" t="n">
        <v>3</v>
      </c>
      <c r="AK763" t="n">
        <v>12</v>
      </c>
      <c r="AL763" t="n">
        <v>0</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HYPERLINK("https://creighton-primo.hosted.exlibrisgroup.com/primo-explore/search?tab=default_tab&amp;search_scope=EVERYTHING&amp;vid=01CRU&amp;lang=en_US&amp;offset=0&amp;query=any,contains,991004262339702656","Catalog Record")</f>
        <v/>
      </c>
      <c r="AT763">
        <f>HYPERLINK("http://www.worldcat.org/oclc/52798955","WorldCat Record")</f>
        <v/>
      </c>
      <c r="AU763" t="inlineStr">
        <is>
          <t>56201476:eng</t>
        </is>
      </c>
      <c r="AV763" t="inlineStr">
        <is>
          <t>52798955</t>
        </is>
      </c>
      <c r="AW763" t="inlineStr">
        <is>
          <t>991004262339702656</t>
        </is>
      </c>
      <c r="AX763" t="inlineStr">
        <is>
          <t>991004262339702656</t>
        </is>
      </c>
      <c r="AY763" t="inlineStr">
        <is>
          <t>2260180860002656</t>
        </is>
      </c>
      <c r="AZ763" t="inlineStr">
        <is>
          <t>BOOK</t>
        </is>
      </c>
      <c r="BB763" t="inlineStr">
        <is>
          <t>9780131113886</t>
        </is>
      </c>
      <c r="BC763" t="inlineStr">
        <is>
          <t>32285004900535</t>
        </is>
      </c>
      <c r="BD763" t="inlineStr">
        <is>
          <t>893882261</t>
        </is>
      </c>
    </row>
    <row r="764">
      <c r="A764" t="inlineStr">
        <is>
          <t>No</t>
        </is>
      </c>
      <c r="B764" t="inlineStr">
        <is>
          <t>HM621 .E16 2000</t>
        </is>
      </c>
      <c r="C764" t="inlineStr">
        <is>
          <t>0                      HM 0621000E  16          2000</t>
        </is>
      </c>
      <c r="D764" t="inlineStr">
        <is>
          <t>The idea of culture / Terry Eagleton.</t>
        </is>
      </c>
      <c r="F764" t="inlineStr">
        <is>
          <t>No</t>
        </is>
      </c>
      <c r="G764" t="inlineStr">
        <is>
          <t>1</t>
        </is>
      </c>
      <c r="H764" t="inlineStr">
        <is>
          <t>No</t>
        </is>
      </c>
      <c r="I764" t="inlineStr">
        <is>
          <t>No</t>
        </is>
      </c>
      <c r="J764" t="inlineStr">
        <is>
          <t>0</t>
        </is>
      </c>
      <c r="K764" t="inlineStr">
        <is>
          <t>Eagleton, Terry, 1943-</t>
        </is>
      </c>
      <c r="L764" t="inlineStr">
        <is>
          <t>Malden, MA : Blackwell, 2000.</t>
        </is>
      </c>
      <c r="M764" t="inlineStr">
        <is>
          <t>2000</t>
        </is>
      </c>
      <c r="O764" t="inlineStr">
        <is>
          <t>eng</t>
        </is>
      </c>
      <c r="P764" t="inlineStr">
        <is>
          <t>mau</t>
        </is>
      </c>
      <c r="Q764" t="inlineStr">
        <is>
          <t>Blackwell manifestos</t>
        </is>
      </c>
      <c r="R764" t="inlineStr">
        <is>
          <t xml:space="preserve">HM </t>
        </is>
      </c>
      <c r="S764" t="n">
        <v>2</v>
      </c>
      <c r="T764" t="n">
        <v>2</v>
      </c>
      <c r="U764" t="inlineStr">
        <is>
          <t>2010-09-16</t>
        </is>
      </c>
      <c r="V764" t="inlineStr">
        <is>
          <t>2010-09-16</t>
        </is>
      </c>
      <c r="W764" t="inlineStr">
        <is>
          <t>2008-12-09</t>
        </is>
      </c>
      <c r="X764" t="inlineStr">
        <is>
          <t>2008-12-09</t>
        </is>
      </c>
      <c r="Y764" t="n">
        <v>691</v>
      </c>
      <c r="Z764" t="n">
        <v>466</v>
      </c>
      <c r="AA764" t="n">
        <v>1216</v>
      </c>
      <c r="AB764" t="n">
        <v>3</v>
      </c>
      <c r="AC764" t="n">
        <v>4</v>
      </c>
      <c r="AD764" t="n">
        <v>24</v>
      </c>
      <c r="AE764" t="n">
        <v>35</v>
      </c>
      <c r="AF764" t="n">
        <v>10</v>
      </c>
      <c r="AG764" t="n">
        <v>17</v>
      </c>
      <c r="AH764" t="n">
        <v>6</v>
      </c>
      <c r="AI764" t="n">
        <v>8</v>
      </c>
      <c r="AJ764" t="n">
        <v>11</v>
      </c>
      <c r="AK764" t="n">
        <v>14</v>
      </c>
      <c r="AL764" t="n">
        <v>2</v>
      </c>
      <c r="AM764" t="n">
        <v>3</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HYPERLINK("https://creighton-primo.hosted.exlibrisgroup.com/primo-explore/search?tab=default_tab&amp;search_scope=EVERYTHING&amp;vid=01CRU&amp;lang=en_US&amp;offset=0&amp;query=any,contains,991005281969702656","Catalog Record")</f>
        <v/>
      </c>
      <c r="AT764">
        <f>HYPERLINK("http://www.worldcat.org/oclc/42771566","WorldCat Record")</f>
        <v/>
      </c>
      <c r="AU764" t="inlineStr">
        <is>
          <t>916488:eng</t>
        </is>
      </c>
      <c r="AV764" t="inlineStr">
        <is>
          <t>42771566</t>
        </is>
      </c>
      <c r="AW764" t="inlineStr">
        <is>
          <t>991005281969702656</t>
        </is>
      </c>
      <c r="AX764" t="inlineStr">
        <is>
          <t>991005281969702656</t>
        </is>
      </c>
      <c r="AY764" t="inlineStr">
        <is>
          <t>2271518200002656</t>
        </is>
      </c>
      <c r="AZ764" t="inlineStr">
        <is>
          <t>BOOK</t>
        </is>
      </c>
      <c r="BB764" t="inlineStr">
        <is>
          <t>9780631219651</t>
        </is>
      </c>
      <c r="BC764" t="inlineStr">
        <is>
          <t>32285005471213</t>
        </is>
      </c>
      <c r="BD764" t="inlineStr">
        <is>
          <t>893326523</t>
        </is>
      </c>
    </row>
    <row r="765">
      <c r="A765" t="inlineStr">
        <is>
          <t>No</t>
        </is>
      </c>
      <c r="B765" t="inlineStr">
        <is>
          <t>HM621 .P655 2005</t>
        </is>
      </c>
      <c r="C765" t="inlineStr">
        <is>
          <t>0                      HM 0621000P  655         2005</t>
        </is>
      </c>
      <c r="D765" t="inlineStr">
        <is>
          <t>Popular culture : a reader / [edited by] Raiford Guins and Omayra Zaragoza Cruz.</t>
        </is>
      </c>
      <c r="F765" t="inlineStr">
        <is>
          <t>No</t>
        </is>
      </c>
      <c r="G765" t="inlineStr">
        <is>
          <t>1</t>
        </is>
      </c>
      <c r="H765" t="inlineStr">
        <is>
          <t>No</t>
        </is>
      </c>
      <c r="I765" t="inlineStr">
        <is>
          <t>No</t>
        </is>
      </c>
      <c r="J765" t="inlineStr">
        <is>
          <t>0</t>
        </is>
      </c>
      <c r="L765" t="inlineStr">
        <is>
          <t>London ; Thousand Oaks, Calif. : SAGE Publications, 2005.</t>
        </is>
      </c>
      <c r="M765" t="inlineStr">
        <is>
          <t>2005</t>
        </is>
      </c>
      <c r="O765" t="inlineStr">
        <is>
          <t>eng</t>
        </is>
      </c>
      <c r="P765" t="inlineStr">
        <is>
          <t>enk</t>
        </is>
      </c>
      <c r="R765" t="inlineStr">
        <is>
          <t xml:space="preserve">HM </t>
        </is>
      </c>
      <c r="S765" t="n">
        <v>1</v>
      </c>
      <c r="T765" t="n">
        <v>1</v>
      </c>
      <c r="U765" t="inlineStr">
        <is>
          <t>2008-03-24</t>
        </is>
      </c>
      <c r="V765" t="inlineStr">
        <is>
          <t>2008-03-24</t>
        </is>
      </c>
      <c r="W765" t="inlineStr">
        <is>
          <t>2008-03-24</t>
        </is>
      </c>
      <c r="X765" t="inlineStr">
        <is>
          <t>2008-03-24</t>
        </is>
      </c>
      <c r="Y765" t="n">
        <v>332</v>
      </c>
      <c r="Z765" t="n">
        <v>170</v>
      </c>
      <c r="AA765" t="n">
        <v>175</v>
      </c>
      <c r="AB765" t="n">
        <v>4</v>
      </c>
      <c r="AC765" t="n">
        <v>4</v>
      </c>
      <c r="AD765" t="n">
        <v>12</v>
      </c>
      <c r="AE765" t="n">
        <v>12</v>
      </c>
      <c r="AF765" t="n">
        <v>4</v>
      </c>
      <c r="AG765" t="n">
        <v>4</v>
      </c>
      <c r="AH765" t="n">
        <v>1</v>
      </c>
      <c r="AI765" t="n">
        <v>1</v>
      </c>
      <c r="AJ765" t="n">
        <v>6</v>
      </c>
      <c r="AK765" t="n">
        <v>6</v>
      </c>
      <c r="AL765" t="n">
        <v>3</v>
      </c>
      <c r="AM765" t="n">
        <v>3</v>
      </c>
      <c r="AN765" t="n">
        <v>0</v>
      </c>
      <c r="AO765" t="n">
        <v>0</v>
      </c>
      <c r="AP765" t="inlineStr">
        <is>
          <t>No</t>
        </is>
      </c>
      <c r="AQ765" t="inlineStr">
        <is>
          <t>Yes</t>
        </is>
      </c>
      <c r="AR765">
        <f>HYPERLINK("http://catalog.hathitrust.org/Record/005287642","HathiTrust Record")</f>
        <v/>
      </c>
      <c r="AS765">
        <f>HYPERLINK("https://creighton-primo.hosted.exlibrisgroup.com/primo-explore/search?tab=default_tab&amp;search_scope=EVERYTHING&amp;vid=01CRU&amp;lang=en_US&amp;offset=0&amp;query=any,contains,991005194119702656","Catalog Record")</f>
        <v/>
      </c>
      <c r="AT765">
        <f>HYPERLINK("http://www.worldcat.org/oclc/57355297","WorldCat Record")</f>
        <v/>
      </c>
      <c r="AU765" t="inlineStr">
        <is>
          <t>796438960:eng</t>
        </is>
      </c>
      <c r="AV765" t="inlineStr">
        <is>
          <t>57355297</t>
        </is>
      </c>
      <c r="AW765" t="inlineStr">
        <is>
          <t>991005194119702656</t>
        </is>
      </c>
      <c r="AX765" t="inlineStr">
        <is>
          <t>991005194119702656</t>
        </is>
      </c>
      <c r="AY765" t="inlineStr">
        <is>
          <t>2269533000002656</t>
        </is>
      </c>
      <c r="AZ765" t="inlineStr">
        <is>
          <t>BOOK</t>
        </is>
      </c>
      <c r="BB765" t="inlineStr">
        <is>
          <t>9780761974710</t>
        </is>
      </c>
      <c r="BC765" t="inlineStr">
        <is>
          <t>32285005398150</t>
        </is>
      </c>
      <c r="BD765" t="inlineStr">
        <is>
          <t>893600790</t>
        </is>
      </c>
    </row>
    <row r="766">
      <c r="A766" t="inlineStr">
        <is>
          <t>No</t>
        </is>
      </c>
      <c r="B766" t="inlineStr">
        <is>
          <t>HM621 .R426 2004</t>
        </is>
      </c>
      <c r="C766" t="inlineStr">
        <is>
          <t>0                      HM 0621000R  426         2004</t>
        </is>
      </c>
      <c r="D766" t="inlineStr">
        <is>
          <t>Conserving cultures : technology, globalization, and the future of local cultures / Harry Redner.</t>
        </is>
      </c>
      <c r="F766" t="inlineStr">
        <is>
          <t>No</t>
        </is>
      </c>
      <c r="G766" t="inlineStr">
        <is>
          <t>1</t>
        </is>
      </c>
      <c r="H766" t="inlineStr">
        <is>
          <t>No</t>
        </is>
      </c>
      <c r="I766" t="inlineStr">
        <is>
          <t>No</t>
        </is>
      </c>
      <c r="J766" t="inlineStr">
        <is>
          <t>0</t>
        </is>
      </c>
      <c r="K766" t="inlineStr">
        <is>
          <t>Redner, Harry.</t>
        </is>
      </c>
      <c r="L766" t="inlineStr">
        <is>
          <t>Lanham, Md. : Rowman &amp; Littlefield Publishers, c2004.</t>
        </is>
      </c>
      <c r="M766" t="inlineStr">
        <is>
          <t>2004</t>
        </is>
      </c>
      <c r="O766" t="inlineStr">
        <is>
          <t>eng</t>
        </is>
      </c>
      <c r="P766" t="inlineStr">
        <is>
          <t>mdu</t>
        </is>
      </c>
      <c r="R766" t="inlineStr">
        <is>
          <t xml:space="preserve">HM </t>
        </is>
      </c>
      <c r="S766" t="n">
        <v>3</v>
      </c>
      <c r="T766" t="n">
        <v>3</v>
      </c>
      <c r="U766" t="inlineStr">
        <is>
          <t>2008-03-12</t>
        </is>
      </c>
      <c r="V766" t="inlineStr">
        <is>
          <t>2008-03-12</t>
        </is>
      </c>
      <c r="W766" t="inlineStr">
        <is>
          <t>2005-03-03</t>
        </is>
      </c>
      <c r="X766" t="inlineStr">
        <is>
          <t>2005-03-03</t>
        </is>
      </c>
      <c r="Y766" t="n">
        <v>303</v>
      </c>
      <c r="Z766" t="n">
        <v>221</v>
      </c>
      <c r="AA766" t="n">
        <v>222</v>
      </c>
      <c r="AB766" t="n">
        <v>3</v>
      </c>
      <c r="AC766" t="n">
        <v>3</v>
      </c>
      <c r="AD766" t="n">
        <v>10</v>
      </c>
      <c r="AE766" t="n">
        <v>10</v>
      </c>
      <c r="AF766" t="n">
        <v>2</v>
      </c>
      <c r="AG766" t="n">
        <v>2</v>
      </c>
      <c r="AH766" t="n">
        <v>3</v>
      </c>
      <c r="AI766" t="n">
        <v>3</v>
      </c>
      <c r="AJ766" t="n">
        <v>6</v>
      </c>
      <c r="AK766" t="n">
        <v>6</v>
      </c>
      <c r="AL766" t="n">
        <v>2</v>
      </c>
      <c r="AM766" t="n">
        <v>2</v>
      </c>
      <c r="AN766" t="n">
        <v>0</v>
      </c>
      <c r="AO766" t="n">
        <v>0</v>
      </c>
      <c r="AP766" t="inlineStr">
        <is>
          <t>No</t>
        </is>
      </c>
      <c r="AQ766" t="inlineStr">
        <is>
          <t>Yes</t>
        </is>
      </c>
      <c r="AR766">
        <f>HYPERLINK("http://catalog.hathitrust.org/Record/004377446","HathiTrust Record")</f>
        <v/>
      </c>
      <c r="AS766">
        <f>HYPERLINK("https://creighton-primo.hosted.exlibrisgroup.com/primo-explore/search?tab=default_tab&amp;search_scope=EVERYTHING&amp;vid=01CRU&amp;lang=en_US&amp;offset=0&amp;query=any,contains,991004465179702656","Catalog Record")</f>
        <v/>
      </c>
      <c r="AT766">
        <f>HYPERLINK("http://www.worldcat.org/oclc/53038742","WorldCat Record")</f>
        <v/>
      </c>
      <c r="AU766" t="inlineStr">
        <is>
          <t>336008554:eng</t>
        </is>
      </c>
      <c r="AV766" t="inlineStr">
        <is>
          <t>53038742</t>
        </is>
      </c>
      <c r="AW766" t="inlineStr">
        <is>
          <t>991004465179702656</t>
        </is>
      </c>
      <c r="AX766" t="inlineStr">
        <is>
          <t>991004465179702656</t>
        </is>
      </c>
      <c r="AY766" t="inlineStr">
        <is>
          <t>2271233800002656</t>
        </is>
      </c>
      <c r="AZ766" t="inlineStr">
        <is>
          <t>BOOK</t>
        </is>
      </c>
      <c r="BB766" t="inlineStr">
        <is>
          <t>9780742527331</t>
        </is>
      </c>
      <c r="BC766" t="inlineStr">
        <is>
          <t>32285005040208</t>
        </is>
      </c>
      <c r="BD766" t="inlineStr">
        <is>
          <t>893423836</t>
        </is>
      </c>
    </row>
    <row r="767">
      <c r="A767" t="inlineStr">
        <is>
          <t>No</t>
        </is>
      </c>
      <c r="B767" t="inlineStr">
        <is>
          <t>HM621 .S27 2000</t>
        </is>
      </c>
      <c r="C767" t="inlineStr">
        <is>
          <t>0                      HM 0621000S  27          2000</t>
        </is>
      </c>
      <c r="D767" t="inlineStr">
        <is>
          <t>An intelligent person's guide to modern culture / Roger Scruton.</t>
        </is>
      </c>
      <c r="F767" t="inlineStr">
        <is>
          <t>No</t>
        </is>
      </c>
      <c r="G767" t="inlineStr">
        <is>
          <t>1</t>
        </is>
      </c>
      <c r="H767" t="inlineStr">
        <is>
          <t>No</t>
        </is>
      </c>
      <c r="I767" t="inlineStr">
        <is>
          <t>No</t>
        </is>
      </c>
      <c r="J767" t="inlineStr">
        <is>
          <t>0</t>
        </is>
      </c>
      <c r="K767" t="inlineStr">
        <is>
          <t>Scruton, Roger.</t>
        </is>
      </c>
      <c r="L767" t="inlineStr">
        <is>
          <t>South Bend, Ind. : St. Augustine's Press, 2000.</t>
        </is>
      </c>
      <c r="M767" t="inlineStr">
        <is>
          <t>2000</t>
        </is>
      </c>
      <c r="O767" t="inlineStr">
        <is>
          <t>eng</t>
        </is>
      </c>
      <c r="P767" t="inlineStr">
        <is>
          <t>inu</t>
        </is>
      </c>
      <c r="R767" t="inlineStr">
        <is>
          <t xml:space="preserve">HM </t>
        </is>
      </c>
      <c r="S767" t="n">
        <v>8</v>
      </c>
      <c r="T767" t="n">
        <v>8</v>
      </c>
      <c r="U767" t="inlineStr">
        <is>
          <t>2005-09-11</t>
        </is>
      </c>
      <c r="V767" t="inlineStr">
        <is>
          <t>2005-09-11</t>
        </is>
      </c>
      <c r="W767" t="inlineStr">
        <is>
          <t>2000-10-26</t>
        </is>
      </c>
      <c r="X767" t="inlineStr">
        <is>
          <t>2000-10-26</t>
        </is>
      </c>
      <c r="Y767" t="n">
        <v>522</v>
      </c>
      <c r="Z767" t="n">
        <v>475</v>
      </c>
      <c r="AA767" t="n">
        <v>518</v>
      </c>
      <c r="AB767" t="n">
        <v>2</v>
      </c>
      <c r="AC767" t="n">
        <v>3</v>
      </c>
      <c r="AD767" t="n">
        <v>17</v>
      </c>
      <c r="AE767" t="n">
        <v>21</v>
      </c>
      <c r="AF767" t="n">
        <v>7</v>
      </c>
      <c r="AG767" t="n">
        <v>7</v>
      </c>
      <c r="AH767" t="n">
        <v>8</v>
      </c>
      <c r="AI767" t="n">
        <v>9</v>
      </c>
      <c r="AJ767" t="n">
        <v>7</v>
      </c>
      <c r="AK767" t="n">
        <v>10</v>
      </c>
      <c r="AL767" t="n">
        <v>0</v>
      </c>
      <c r="AM767" t="n">
        <v>1</v>
      </c>
      <c r="AN767" t="n">
        <v>0</v>
      </c>
      <c r="AO767" t="n">
        <v>0</v>
      </c>
      <c r="AP767" t="inlineStr">
        <is>
          <t>No</t>
        </is>
      </c>
      <c r="AQ767" t="inlineStr">
        <is>
          <t>Yes</t>
        </is>
      </c>
      <c r="AR767">
        <f>HYPERLINK("http://catalog.hathitrust.org/Record/004597628","HathiTrust Record")</f>
        <v/>
      </c>
      <c r="AS767">
        <f>HYPERLINK("https://creighton-primo.hosted.exlibrisgroup.com/primo-explore/search?tab=default_tab&amp;search_scope=EVERYTHING&amp;vid=01CRU&amp;lang=en_US&amp;offset=0&amp;query=any,contains,991003316069702656","Catalog Record")</f>
        <v/>
      </c>
      <c r="AT767">
        <f>HYPERLINK("http://www.worldcat.org/oclc/43599068","WorldCat Record")</f>
        <v/>
      </c>
      <c r="AU767" t="inlineStr">
        <is>
          <t>16884631:eng</t>
        </is>
      </c>
      <c r="AV767" t="inlineStr">
        <is>
          <t>43599068</t>
        </is>
      </c>
      <c r="AW767" t="inlineStr">
        <is>
          <t>991003316069702656</t>
        </is>
      </c>
      <c r="AX767" t="inlineStr">
        <is>
          <t>991003316069702656</t>
        </is>
      </c>
      <c r="AY767" t="inlineStr">
        <is>
          <t>2266609700002656</t>
        </is>
      </c>
      <c r="AZ767" t="inlineStr">
        <is>
          <t>BOOK</t>
        </is>
      </c>
      <c r="BB767" t="inlineStr">
        <is>
          <t>9781890318475</t>
        </is>
      </c>
      <c r="BC767" t="inlineStr">
        <is>
          <t>32285004260732</t>
        </is>
      </c>
      <c r="BD767" t="inlineStr">
        <is>
          <t>893422440</t>
        </is>
      </c>
    </row>
    <row r="768">
      <c r="A768" t="inlineStr">
        <is>
          <t>No</t>
        </is>
      </c>
      <c r="B768" t="inlineStr">
        <is>
          <t>HM621 .W67 2000</t>
        </is>
      </c>
      <c r="C768" t="inlineStr">
        <is>
          <t>0                      HM 0621000W  67          2000</t>
        </is>
      </c>
      <c r="D768" t="inlineStr">
        <is>
          <t>The World Wide Web and contemporary cultural theory / edited by Andrew Herman &amp; Thomas Swiss.</t>
        </is>
      </c>
      <c r="F768" t="inlineStr">
        <is>
          <t>No</t>
        </is>
      </c>
      <c r="G768" t="inlineStr">
        <is>
          <t>1</t>
        </is>
      </c>
      <c r="H768" t="inlineStr">
        <is>
          <t>No</t>
        </is>
      </c>
      <c r="I768" t="inlineStr">
        <is>
          <t>No</t>
        </is>
      </c>
      <c r="J768" t="inlineStr">
        <is>
          <t>0</t>
        </is>
      </c>
      <c r="L768" t="inlineStr">
        <is>
          <t>New York : Routledge, 2000.</t>
        </is>
      </c>
      <c r="M768" t="inlineStr">
        <is>
          <t>2000</t>
        </is>
      </c>
      <c r="O768" t="inlineStr">
        <is>
          <t>eng</t>
        </is>
      </c>
      <c r="P768" t="inlineStr">
        <is>
          <t>nyu</t>
        </is>
      </c>
      <c r="R768" t="inlineStr">
        <is>
          <t xml:space="preserve">HM </t>
        </is>
      </c>
      <c r="S768" t="n">
        <v>1</v>
      </c>
      <c r="T768" t="n">
        <v>1</v>
      </c>
      <c r="U768" t="inlineStr">
        <is>
          <t>2000-11-30</t>
        </is>
      </c>
      <c r="V768" t="inlineStr">
        <is>
          <t>2000-11-30</t>
        </is>
      </c>
      <c r="W768" t="inlineStr">
        <is>
          <t>2000-11-30</t>
        </is>
      </c>
      <c r="X768" t="inlineStr">
        <is>
          <t>2000-11-30</t>
        </is>
      </c>
      <c r="Y768" t="n">
        <v>694</v>
      </c>
      <c r="Z768" t="n">
        <v>492</v>
      </c>
      <c r="AA768" t="n">
        <v>515</v>
      </c>
      <c r="AB768" t="n">
        <v>4</v>
      </c>
      <c r="AC768" t="n">
        <v>4</v>
      </c>
      <c r="AD768" t="n">
        <v>30</v>
      </c>
      <c r="AE768" t="n">
        <v>30</v>
      </c>
      <c r="AF768" t="n">
        <v>14</v>
      </c>
      <c r="AG768" t="n">
        <v>14</v>
      </c>
      <c r="AH768" t="n">
        <v>7</v>
      </c>
      <c r="AI768" t="n">
        <v>7</v>
      </c>
      <c r="AJ768" t="n">
        <v>13</v>
      </c>
      <c r="AK768" t="n">
        <v>13</v>
      </c>
      <c r="AL768" t="n">
        <v>3</v>
      </c>
      <c r="AM768" t="n">
        <v>3</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HYPERLINK("https://creighton-primo.hosted.exlibrisgroup.com/primo-explore/search?tab=default_tab&amp;search_scope=EVERYTHING&amp;vid=01CRU&amp;lang=en_US&amp;offset=0&amp;query=any,contains,991003301129702656","Catalog Record")</f>
        <v/>
      </c>
      <c r="AT768">
        <f>HYPERLINK("http://www.worldcat.org/oclc/44446371","WorldCat Record")</f>
        <v/>
      </c>
      <c r="AU768" t="inlineStr">
        <is>
          <t>350984143:eng</t>
        </is>
      </c>
      <c r="AV768" t="inlineStr">
        <is>
          <t>44446371</t>
        </is>
      </c>
      <c r="AW768" t="inlineStr">
        <is>
          <t>991003301129702656</t>
        </is>
      </c>
      <c r="AX768" t="inlineStr">
        <is>
          <t>991003301129702656</t>
        </is>
      </c>
      <c r="AY768" t="inlineStr">
        <is>
          <t>2271829020002656</t>
        </is>
      </c>
      <c r="AZ768" t="inlineStr">
        <is>
          <t>BOOK</t>
        </is>
      </c>
      <c r="BB768" t="inlineStr">
        <is>
          <t>9780415925013</t>
        </is>
      </c>
      <c r="BC768" t="inlineStr">
        <is>
          <t>32285004268487</t>
        </is>
      </c>
      <c r="BD768" t="inlineStr">
        <is>
          <t>893234017</t>
        </is>
      </c>
    </row>
    <row r="769">
      <c r="A769" t="inlineStr">
        <is>
          <t>No</t>
        </is>
      </c>
      <c r="B769" t="inlineStr">
        <is>
          <t>HM623 .R65 2007</t>
        </is>
      </c>
      <c r="C769" t="inlineStr">
        <is>
          <t>0                      HM 0623000R  65          2007</t>
        </is>
      </c>
      <c r="D769" t="inlineStr">
        <is>
          <t>Cultural studies / Chris Rojek.</t>
        </is>
      </c>
      <c r="F769" t="inlineStr">
        <is>
          <t>No</t>
        </is>
      </c>
      <c r="G769" t="inlineStr">
        <is>
          <t>1</t>
        </is>
      </c>
      <c r="H769" t="inlineStr">
        <is>
          <t>No</t>
        </is>
      </c>
      <c r="I769" t="inlineStr">
        <is>
          <t>No</t>
        </is>
      </c>
      <c r="J769" t="inlineStr">
        <is>
          <t>0</t>
        </is>
      </c>
      <c r="K769" t="inlineStr">
        <is>
          <t>Rojek, Chris.</t>
        </is>
      </c>
      <c r="L769" t="inlineStr">
        <is>
          <t>Cambridge : Polity Press, c2007.</t>
        </is>
      </c>
      <c r="M769" t="inlineStr">
        <is>
          <t>2007</t>
        </is>
      </c>
      <c r="O769" t="inlineStr">
        <is>
          <t>eng</t>
        </is>
      </c>
      <c r="P769" t="inlineStr">
        <is>
          <t>enk</t>
        </is>
      </c>
      <c r="Q769" t="inlineStr">
        <is>
          <t>Polity short introductions series</t>
        </is>
      </c>
      <c r="R769" t="inlineStr">
        <is>
          <t xml:space="preserve">HM </t>
        </is>
      </c>
      <c r="S769" t="n">
        <v>1</v>
      </c>
      <c r="T769" t="n">
        <v>1</v>
      </c>
      <c r="U769" t="inlineStr">
        <is>
          <t>2009-03-11</t>
        </is>
      </c>
      <c r="V769" t="inlineStr">
        <is>
          <t>2009-03-11</t>
        </is>
      </c>
      <c r="W769" t="inlineStr">
        <is>
          <t>2009-03-11</t>
        </is>
      </c>
      <c r="X769" t="inlineStr">
        <is>
          <t>2009-03-11</t>
        </is>
      </c>
      <c r="Y769" t="n">
        <v>244</v>
      </c>
      <c r="Z769" t="n">
        <v>135</v>
      </c>
      <c r="AA769" t="n">
        <v>135</v>
      </c>
      <c r="AB769" t="n">
        <v>2</v>
      </c>
      <c r="AC769" t="n">
        <v>2</v>
      </c>
      <c r="AD769" t="n">
        <v>7</v>
      </c>
      <c r="AE769" t="n">
        <v>7</v>
      </c>
      <c r="AF769" t="n">
        <v>3</v>
      </c>
      <c r="AG769" t="n">
        <v>3</v>
      </c>
      <c r="AH769" t="n">
        <v>2</v>
      </c>
      <c r="AI769" t="n">
        <v>2</v>
      </c>
      <c r="AJ769" t="n">
        <v>4</v>
      </c>
      <c r="AK769" t="n">
        <v>4</v>
      </c>
      <c r="AL769" t="n">
        <v>1</v>
      </c>
      <c r="AM769" t="n">
        <v>1</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HYPERLINK("https://creighton-primo.hosted.exlibrisgroup.com/primo-explore/search?tab=default_tab&amp;search_scope=EVERYTHING&amp;vid=01CRU&amp;lang=en_US&amp;offset=0&amp;query=any,contains,991005299219702656","Catalog Record")</f>
        <v/>
      </c>
      <c r="AT769">
        <f>HYPERLINK("http://www.worldcat.org/oclc/80134809","WorldCat Record")</f>
        <v/>
      </c>
      <c r="AU769" t="inlineStr">
        <is>
          <t>3943684866:eng</t>
        </is>
      </c>
      <c r="AV769" t="inlineStr">
        <is>
          <t>80134809</t>
        </is>
      </c>
      <c r="AW769" t="inlineStr">
        <is>
          <t>991005299219702656</t>
        </is>
      </c>
      <c r="AX769" t="inlineStr">
        <is>
          <t>991005299219702656</t>
        </is>
      </c>
      <c r="AY769" t="inlineStr">
        <is>
          <t>2264382410002656</t>
        </is>
      </c>
      <c r="AZ769" t="inlineStr">
        <is>
          <t>BOOK</t>
        </is>
      </c>
      <c r="BB769" t="inlineStr">
        <is>
          <t>9780745636832</t>
        </is>
      </c>
      <c r="BC769" t="inlineStr">
        <is>
          <t>32285005508378</t>
        </is>
      </c>
      <c r="BD769" t="inlineStr">
        <is>
          <t>893707607</t>
        </is>
      </c>
    </row>
    <row r="770">
      <c r="A770" t="inlineStr">
        <is>
          <t>No</t>
        </is>
      </c>
      <c r="B770" t="inlineStr">
        <is>
          <t>HM626 .C66 2004</t>
        </is>
      </c>
      <c r="C770" t="inlineStr">
        <is>
          <t>0                      HM 0626000C  66          2004</t>
        </is>
      </c>
      <c r="D770" t="inlineStr">
        <is>
          <t>One planet, one people : beyond "us vs. them" / Carl Coon.</t>
        </is>
      </c>
      <c r="F770" t="inlineStr">
        <is>
          <t>No</t>
        </is>
      </c>
      <c r="G770" t="inlineStr">
        <is>
          <t>1</t>
        </is>
      </c>
      <c r="H770" t="inlineStr">
        <is>
          <t>No</t>
        </is>
      </c>
      <c r="I770" t="inlineStr">
        <is>
          <t>No</t>
        </is>
      </c>
      <c r="J770" t="inlineStr">
        <is>
          <t>0</t>
        </is>
      </c>
      <c r="K770" t="inlineStr">
        <is>
          <t>Coon, Carleton S. (Carleton Stevens), 1927-</t>
        </is>
      </c>
      <c r="L770" t="inlineStr">
        <is>
          <t>Amherst, N.Y. : Prometheus Books, 2004.</t>
        </is>
      </c>
      <c r="M770" t="inlineStr">
        <is>
          <t>2004</t>
        </is>
      </c>
      <c r="O770" t="inlineStr">
        <is>
          <t>eng</t>
        </is>
      </c>
      <c r="P770" t="inlineStr">
        <is>
          <t>nyu</t>
        </is>
      </c>
      <c r="R770" t="inlineStr">
        <is>
          <t xml:space="preserve">HM </t>
        </is>
      </c>
      <c r="S770" t="n">
        <v>2</v>
      </c>
      <c r="T770" t="n">
        <v>2</v>
      </c>
      <c r="U770" t="inlineStr">
        <is>
          <t>2009-11-23</t>
        </is>
      </c>
      <c r="V770" t="inlineStr">
        <is>
          <t>2009-11-23</t>
        </is>
      </c>
      <c r="W770" t="inlineStr">
        <is>
          <t>2004-10-13</t>
        </is>
      </c>
      <c r="X770" t="inlineStr">
        <is>
          <t>2004-10-13</t>
        </is>
      </c>
      <c r="Y770" t="n">
        <v>205</v>
      </c>
      <c r="Z770" t="n">
        <v>179</v>
      </c>
      <c r="AA770" t="n">
        <v>186</v>
      </c>
      <c r="AB770" t="n">
        <v>3</v>
      </c>
      <c r="AC770" t="n">
        <v>3</v>
      </c>
      <c r="AD770" t="n">
        <v>9</v>
      </c>
      <c r="AE770" t="n">
        <v>9</v>
      </c>
      <c r="AF770" t="n">
        <v>2</v>
      </c>
      <c r="AG770" t="n">
        <v>2</v>
      </c>
      <c r="AH770" t="n">
        <v>3</v>
      </c>
      <c r="AI770" t="n">
        <v>3</v>
      </c>
      <c r="AJ770" t="n">
        <v>5</v>
      </c>
      <c r="AK770" t="n">
        <v>5</v>
      </c>
      <c r="AL770" t="n">
        <v>2</v>
      </c>
      <c r="AM770" t="n">
        <v>2</v>
      </c>
      <c r="AN770" t="n">
        <v>0</v>
      </c>
      <c r="AO770" t="n">
        <v>0</v>
      </c>
      <c r="AP770" t="inlineStr">
        <is>
          <t>No</t>
        </is>
      </c>
      <c r="AQ770" t="inlineStr">
        <is>
          <t>Yes</t>
        </is>
      </c>
      <c r="AR770">
        <f>HYPERLINK("http://catalog.hathitrust.org/Record/004920030","HathiTrust Record")</f>
        <v/>
      </c>
      <c r="AS770">
        <f>HYPERLINK("https://creighton-primo.hosted.exlibrisgroup.com/primo-explore/search?tab=default_tab&amp;search_scope=EVERYTHING&amp;vid=01CRU&amp;lang=en_US&amp;offset=0&amp;query=any,contains,991004377049702656","Catalog Record")</f>
        <v/>
      </c>
      <c r="AT770">
        <f>HYPERLINK("http://www.worldcat.org/oclc/55131303","WorldCat Record")</f>
        <v/>
      </c>
      <c r="AU770" t="inlineStr">
        <is>
          <t>1059512:eng</t>
        </is>
      </c>
      <c r="AV770" t="inlineStr">
        <is>
          <t>55131303</t>
        </is>
      </c>
      <c r="AW770" t="inlineStr">
        <is>
          <t>991004377049702656</t>
        </is>
      </c>
      <c r="AX770" t="inlineStr">
        <is>
          <t>991004377049702656</t>
        </is>
      </c>
      <c r="AY770" t="inlineStr">
        <is>
          <t>2268433950002656</t>
        </is>
      </c>
      <c r="AZ770" t="inlineStr">
        <is>
          <t>BOOK</t>
        </is>
      </c>
      <c r="BB770" t="inlineStr">
        <is>
          <t>9781591022336</t>
        </is>
      </c>
      <c r="BC770" t="inlineStr">
        <is>
          <t>32285005003412</t>
        </is>
      </c>
      <c r="BD770" t="inlineStr">
        <is>
          <t>893888630</t>
        </is>
      </c>
    </row>
    <row r="771">
      <c r="A771" t="inlineStr">
        <is>
          <t>No</t>
        </is>
      </c>
      <c r="B771" t="inlineStr">
        <is>
          <t>HM626 .M85 1999</t>
        </is>
      </c>
      <c r="C771" t="inlineStr">
        <is>
          <t>0                      HM 0626000M  85          1999</t>
        </is>
      </c>
      <c r="D771" t="inlineStr">
        <is>
          <t>Multicultural questions / edited by Christian Joppke and Steven Lukes.</t>
        </is>
      </c>
      <c r="F771" t="inlineStr">
        <is>
          <t>No</t>
        </is>
      </c>
      <c r="G771" t="inlineStr">
        <is>
          <t>1</t>
        </is>
      </c>
      <c r="H771" t="inlineStr">
        <is>
          <t>No</t>
        </is>
      </c>
      <c r="I771" t="inlineStr">
        <is>
          <t>No</t>
        </is>
      </c>
      <c r="J771" t="inlineStr">
        <is>
          <t>0</t>
        </is>
      </c>
      <c r="L771" t="inlineStr">
        <is>
          <t>Oxford ; New York : Oxford University, 1999.</t>
        </is>
      </c>
      <c r="M771" t="inlineStr">
        <is>
          <t>1999</t>
        </is>
      </c>
      <c r="O771" t="inlineStr">
        <is>
          <t>eng</t>
        </is>
      </c>
      <c r="P771" t="inlineStr">
        <is>
          <t>enk</t>
        </is>
      </c>
      <c r="R771" t="inlineStr">
        <is>
          <t xml:space="preserve">HM </t>
        </is>
      </c>
      <c r="S771" t="n">
        <v>1</v>
      </c>
      <c r="T771" t="n">
        <v>1</v>
      </c>
      <c r="U771" t="inlineStr">
        <is>
          <t>2006-11-14</t>
        </is>
      </c>
      <c r="V771" t="inlineStr">
        <is>
          <t>2006-11-14</t>
        </is>
      </c>
      <c r="W771" t="inlineStr">
        <is>
          <t>2006-11-14</t>
        </is>
      </c>
      <c r="X771" t="inlineStr">
        <is>
          <t>2006-11-14</t>
        </is>
      </c>
      <c r="Y771" t="n">
        <v>374</v>
      </c>
      <c r="Z771" t="n">
        <v>233</v>
      </c>
      <c r="AA771" t="n">
        <v>295</v>
      </c>
      <c r="AB771" t="n">
        <v>3</v>
      </c>
      <c r="AC771" t="n">
        <v>3</v>
      </c>
      <c r="AD771" t="n">
        <v>13</v>
      </c>
      <c r="AE771" t="n">
        <v>16</v>
      </c>
      <c r="AF771" t="n">
        <v>4</v>
      </c>
      <c r="AG771" t="n">
        <v>4</v>
      </c>
      <c r="AH771" t="n">
        <v>3</v>
      </c>
      <c r="AI771" t="n">
        <v>6</v>
      </c>
      <c r="AJ771" t="n">
        <v>8</v>
      </c>
      <c r="AK771" t="n">
        <v>9</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HYPERLINK("https://creighton-primo.hosted.exlibrisgroup.com/primo-explore/search?tab=default_tab&amp;search_scope=EVERYTHING&amp;vid=01CRU&amp;lang=en_US&amp;offset=0&amp;query=any,contains,991004962329702656","Catalog Record")</f>
        <v/>
      </c>
      <c r="AT771">
        <f>HYPERLINK("http://www.worldcat.org/oclc/40926005","WorldCat Record")</f>
        <v/>
      </c>
      <c r="AU771" t="inlineStr">
        <is>
          <t>766616331:eng</t>
        </is>
      </c>
      <c r="AV771" t="inlineStr">
        <is>
          <t>40926005</t>
        </is>
      </c>
      <c r="AW771" t="inlineStr">
        <is>
          <t>991004962329702656</t>
        </is>
      </c>
      <c r="AX771" t="inlineStr">
        <is>
          <t>991004962329702656</t>
        </is>
      </c>
      <c r="AY771" t="inlineStr">
        <is>
          <t>2262208060002656</t>
        </is>
      </c>
      <c r="AZ771" t="inlineStr">
        <is>
          <t>BOOK</t>
        </is>
      </c>
      <c r="BB771" t="inlineStr">
        <is>
          <t>9780198296102</t>
        </is>
      </c>
      <c r="BC771" t="inlineStr">
        <is>
          <t>32285005239164</t>
        </is>
      </c>
      <c r="BD771" t="inlineStr">
        <is>
          <t>893789275</t>
        </is>
      </c>
    </row>
    <row r="772">
      <c r="A772" t="inlineStr">
        <is>
          <t>No</t>
        </is>
      </c>
      <c r="B772" t="inlineStr">
        <is>
          <t>HM626 .P423 2008</t>
        </is>
      </c>
      <c r="C772" t="inlineStr">
        <is>
          <t>0                      HM 0626000P  423         2008</t>
        </is>
      </c>
      <c r="D772" t="inlineStr">
        <is>
          <t>People unlike us / Jeremy J. Millett.</t>
        </is>
      </c>
      <c r="F772" t="inlineStr">
        <is>
          <t>No</t>
        </is>
      </c>
      <c r="G772" t="inlineStr">
        <is>
          <t>1</t>
        </is>
      </c>
      <c r="H772" t="inlineStr">
        <is>
          <t>No</t>
        </is>
      </c>
      <c r="I772" t="inlineStr">
        <is>
          <t>No</t>
        </is>
      </c>
      <c r="J772" t="inlineStr">
        <is>
          <t>0</t>
        </is>
      </c>
      <c r="K772" t="inlineStr">
        <is>
          <t>Millett, Jeremy J., 1938-</t>
        </is>
      </c>
      <c r="L772" t="inlineStr">
        <is>
          <t>Amherst, N.Y. : Humanity Books, 2008.</t>
        </is>
      </c>
      <c r="M772" t="inlineStr">
        <is>
          <t>2008</t>
        </is>
      </c>
      <c r="O772" t="inlineStr">
        <is>
          <t>eng</t>
        </is>
      </c>
      <c r="P772" t="inlineStr">
        <is>
          <t>nyu</t>
        </is>
      </c>
      <c r="R772" t="inlineStr">
        <is>
          <t xml:space="preserve">HM </t>
        </is>
      </c>
      <c r="S772" t="n">
        <v>1</v>
      </c>
      <c r="T772" t="n">
        <v>1</v>
      </c>
      <c r="U772" t="inlineStr">
        <is>
          <t>2010-02-03</t>
        </is>
      </c>
      <c r="V772" t="inlineStr">
        <is>
          <t>2010-02-03</t>
        </is>
      </c>
      <c r="W772" t="inlineStr">
        <is>
          <t>2010-02-03</t>
        </is>
      </c>
      <c r="X772" t="inlineStr">
        <is>
          <t>2010-02-03</t>
        </is>
      </c>
      <c r="Y772" t="n">
        <v>116</v>
      </c>
      <c r="Z772" t="n">
        <v>97</v>
      </c>
      <c r="AA772" t="n">
        <v>99</v>
      </c>
      <c r="AB772" t="n">
        <v>2</v>
      </c>
      <c r="AC772" t="n">
        <v>2</v>
      </c>
      <c r="AD772" t="n">
        <v>5</v>
      </c>
      <c r="AE772" t="n">
        <v>5</v>
      </c>
      <c r="AF772" t="n">
        <v>1</v>
      </c>
      <c r="AG772" t="n">
        <v>1</v>
      </c>
      <c r="AH772" t="n">
        <v>1</v>
      </c>
      <c r="AI772" t="n">
        <v>1</v>
      </c>
      <c r="AJ772" t="n">
        <v>3</v>
      </c>
      <c r="AK772" t="n">
        <v>3</v>
      </c>
      <c r="AL772" t="n">
        <v>1</v>
      </c>
      <c r="AM772" t="n">
        <v>1</v>
      </c>
      <c r="AN772" t="n">
        <v>0</v>
      </c>
      <c r="AO772" t="n">
        <v>0</v>
      </c>
      <c r="AP772" t="inlineStr">
        <is>
          <t>No</t>
        </is>
      </c>
      <c r="AQ772" t="inlineStr">
        <is>
          <t>Yes</t>
        </is>
      </c>
      <c r="AR772">
        <f>HYPERLINK("http://catalog.hathitrust.org/Record/005825502","HathiTrust Record")</f>
        <v/>
      </c>
      <c r="AS772">
        <f>HYPERLINK("https://creighton-primo.hosted.exlibrisgroup.com/primo-explore/search?tab=default_tab&amp;search_scope=EVERYTHING&amp;vid=01CRU&amp;lang=en_US&amp;offset=0&amp;query=any,contains,991005358509702656","Catalog Record")</f>
        <v/>
      </c>
      <c r="AT772">
        <f>HYPERLINK("http://www.worldcat.org/oclc/179807997","WorldCat Record")</f>
        <v/>
      </c>
      <c r="AU772" t="inlineStr">
        <is>
          <t>115656501:eng</t>
        </is>
      </c>
      <c r="AV772" t="inlineStr">
        <is>
          <t>179807997</t>
        </is>
      </c>
      <c r="AW772" t="inlineStr">
        <is>
          <t>991005358509702656</t>
        </is>
      </c>
      <c r="AX772" t="inlineStr">
        <is>
          <t>991005358509702656</t>
        </is>
      </c>
      <c r="AY772" t="inlineStr">
        <is>
          <t>2271069390002656</t>
        </is>
      </c>
      <c r="AZ772" t="inlineStr">
        <is>
          <t>BOOK</t>
        </is>
      </c>
      <c r="BB772" t="inlineStr">
        <is>
          <t>9781591026372</t>
        </is>
      </c>
      <c r="BC772" t="inlineStr">
        <is>
          <t>32285005571533</t>
        </is>
      </c>
      <c r="BD772" t="inlineStr">
        <is>
          <t>893332830</t>
        </is>
      </c>
    </row>
    <row r="773">
      <c r="A773" t="inlineStr">
        <is>
          <t>No</t>
        </is>
      </c>
      <c r="B773" t="inlineStr">
        <is>
          <t>HM631 .B45 2002</t>
        </is>
      </c>
      <c r="C773" t="inlineStr">
        <is>
          <t>0                      HM 0631000B  45          2002</t>
        </is>
      </c>
      <c r="D773" t="inlineStr">
        <is>
          <t>The claims of culture : equality and diversity in the global era / Seyla Benhabib.</t>
        </is>
      </c>
      <c r="F773" t="inlineStr">
        <is>
          <t>No</t>
        </is>
      </c>
      <c r="G773" t="inlineStr">
        <is>
          <t>1</t>
        </is>
      </c>
      <c r="H773" t="inlineStr">
        <is>
          <t>No</t>
        </is>
      </c>
      <c r="I773" t="inlineStr">
        <is>
          <t>No</t>
        </is>
      </c>
      <c r="J773" t="inlineStr">
        <is>
          <t>0</t>
        </is>
      </c>
      <c r="K773" t="inlineStr">
        <is>
          <t>Benhabib, Seyla.</t>
        </is>
      </c>
      <c r="L773" t="inlineStr">
        <is>
          <t>Princeton, N.J. : Princeton University Press, c2002.</t>
        </is>
      </c>
      <c r="M773" t="inlineStr">
        <is>
          <t>2002</t>
        </is>
      </c>
      <c r="O773" t="inlineStr">
        <is>
          <t>eng</t>
        </is>
      </c>
      <c r="P773" t="inlineStr">
        <is>
          <t>nju</t>
        </is>
      </c>
      <c r="R773" t="inlineStr">
        <is>
          <t xml:space="preserve">HM </t>
        </is>
      </c>
      <c r="S773" t="n">
        <v>2</v>
      </c>
      <c r="T773" t="n">
        <v>2</v>
      </c>
      <c r="U773" t="inlineStr">
        <is>
          <t>2010-08-30</t>
        </is>
      </c>
      <c r="V773" t="inlineStr">
        <is>
          <t>2010-08-30</t>
        </is>
      </c>
      <c r="W773" t="inlineStr">
        <is>
          <t>2003-01-06</t>
        </is>
      </c>
      <c r="X773" t="inlineStr">
        <is>
          <t>2003-01-06</t>
        </is>
      </c>
      <c r="Y773" t="n">
        <v>659</v>
      </c>
      <c r="Z773" t="n">
        <v>438</v>
      </c>
      <c r="AA773" t="n">
        <v>626</v>
      </c>
      <c r="AB773" t="n">
        <v>2</v>
      </c>
      <c r="AC773" t="n">
        <v>3</v>
      </c>
      <c r="AD773" t="n">
        <v>30</v>
      </c>
      <c r="AE773" t="n">
        <v>37</v>
      </c>
      <c r="AF773" t="n">
        <v>13</v>
      </c>
      <c r="AG773" t="n">
        <v>18</v>
      </c>
      <c r="AH773" t="n">
        <v>9</v>
      </c>
      <c r="AI773" t="n">
        <v>10</v>
      </c>
      <c r="AJ773" t="n">
        <v>13</v>
      </c>
      <c r="AK773" t="n">
        <v>15</v>
      </c>
      <c r="AL773" t="n">
        <v>1</v>
      </c>
      <c r="AM773" t="n">
        <v>2</v>
      </c>
      <c r="AN773" t="n">
        <v>2</v>
      </c>
      <c r="AO773" t="n">
        <v>2</v>
      </c>
      <c r="AP773" t="inlineStr">
        <is>
          <t>No</t>
        </is>
      </c>
      <c r="AQ773" t="inlineStr">
        <is>
          <t>No</t>
        </is>
      </c>
      <c r="AS773">
        <f>HYPERLINK("https://creighton-primo.hosted.exlibrisgroup.com/primo-explore/search?tab=default_tab&amp;search_scope=EVERYTHING&amp;vid=01CRU&amp;lang=en_US&amp;offset=0&amp;query=any,contains,991003957709702656","Catalog Record")</f>
        <v/>
      </c>
      <c r="AT773">
        <f>HYPERLINK("http://www.worldcat.org/oclc/48501202","WorldCat Record")</f>
        <v/>
      </c>
      <c r="AU773" t="inlineStr">
        <is>
          <t>892142:eng</t>
        </is>
      </c>
      <c r="AV773" t="inlineStr">
        <is>
          <t>48501202</t>
        </is>
      </c>
      <c r="AW773" t="inlineStr">
        <is>
          <t>991003957709702656</t>
        </is>
      </c>
      <c r="AX773" t="inlineStr">
        <is>
          <t>991003957709702656</t>
        </is>
      </c>
      <c r="AY773" t="inlineStr">
        <is>
          <t>2269272230002656</t>
        </is>
      </c>
      <c r="AZ773" t="inlineStr">
        <is>
          <t>BOOK</t>
        </is>
      </c>
      <c r="BB773" t="inlineStr">
        <is>
          <t>9780691048628</t>
        </is>
      </c>
      <c r="BC773" t="inlineStr">
        <is>
          <t>32285004692181</t>
        </is>
      </c>
      <c r="BD773" t="inlineStr">
        <is>
          <t>893246976</t>
        </is>
      </c>
    </row>
    <row r="774">
      <c r="A774" t="inlineStr">
        <is>
          <t>No</t>
        </is>
      </c>
      <c r="B774" t="inlineStr">
        <is>
          <t>HM631 .W47 2009</t>
        </is>
      </c>
      <c r="C774" t="inlineStr">
        <is>
          <t>0                      HM 0631000W  47          2009</t>
        </is>
      </c>
      <c r="D774" t="inlineStr">
        <is>
          <t>Banquet at Delmonico's : great minds, the Gilded Age, and the triumph of evolution in America / Barry Werth.</t>
        </is>
      </c>
      <c r="F774" t="inlineStr">
        <is>
          <t>No</t>
        </is>
      </c>
      <c r="G774" t="inlineStr">
        <is>
          <t>1</t>
        </is>
      </c>
      <c r="H774" t="inlineStr">
        <is>
          <t>No</t>
        </is>
      </c>
      <c r="I774" t="inlineStr">
        <is>
          <t>No</t>
        </is>
      </c>
      <c r="J774" t="inlineStr">
        <is>
          <t>0</t>
        </is>
      </c>
      <c r="K774" t="inlineStr">
        <is>
          <t>Werth, Barry.</t>
        </is>
      </c>
      <c r="L774" t="inlineStr">
        <is>
          <t>New York : Random House, c2009.</t>
        </is>
      </c>
      <c r="M774" t="inlineStr">
        <is>
          <t>2009</t>
        </is>
      </c>
      <c r="O774" t="inlineStr">
        <is>
          <t>eng</t>
        </is>
      </c>
      <c r="P774" t="inlineStr">
        <is>
          <t>nyu</t>
        </is>
      </c>
      <c r="R774" t="inlineStr">
        <is>
          <t xml:space="preserve">HM </t>
        </is>
      </c>
      <c r="S774" t="n">
        <v>1</v>
      </c>
      <c r="T774" t="n">
        <v>1</v>
      </c>
      <c r="U774" t="inlineStr">
        <is>
          <t>2010-02-04</t>
        </is>
      </c>
      <c r="V774" t="inlineStr">
        <is>
          <t>2010-02-04</t>
        </is>
      </c>
      <c r="W774" t="inlineStr">
        <is>
          <t>2010-02-04</t>
        </is>
      </c>
      <c r="X774" t="inlineStr">
        <is>
          <t>2010-02-04</t>
        </is>
      </c>
      <c r="Y774" t="n">
        <v>842</v>
      </c>
      <c r="Z774" t="n">
        <v>793</v>
      </c>
      <c r="AA774" t="n">
        <v>835</v>
      </c>
      <c r="AB774" t="n">
        <v>3</v>
      </c>
      <c r="AC774" t="n">
        <v>3</v>
      </c>
      <c r="AD774" t="n">
        <v>23</v>
      </c>
      <c r="AE774" t="n">
        <v>23</v>
      </c>
      <c r="AF774" t="n">
        <v>9</v>
      </c>
      <c r="AG774" t="n">
        <v>9</v>
      </c>
      <c r="AH774" t="n">
        <v>7</v>
      </c>
      <c r="AI774" t="n">
        <v>7</v>
      </c>
      <c r="AJ774" t="n">
        <v>11</v>
      </c>
      <c r="AK774" t="n">
        <v>11</v>
      </c>
      <c r="AL774" t="n">
        <v>2</v>
      </c>
      <c r="AM774" t="n">
        <v>2</v>
      </c>
      <c r="AN774" t="n">
        <v>0</v>
      </c>
      <c r="AO774" t="n">
        <v>0</v>
      </c>
      <c r="AP774" t="inlineStr">
        <is>
          <t>No</t>
        </is>
      </c>
      <c r="AQ774" t="inlineStr">
        <is>
          <t>Yes</t>
        </is>
      </c>
      <c r="AR774">
        <f>HYPERLINK("http://catalog.hathitrust.org/Record/005930674","HathiTrust Record")</f>
        <v/>
      </c>
      <c r="AS774">
        <f>HYPERLINK("https://creighton-primo.hosted.exlibrisgroup.com/primo-explore/search?tab=default_tab&amp;search_scope=EVERYTHING&amp;vid=01CRU&amp;lang=en_US&amp;offset=0&amp;query=any,contains,991005359209702656","Catalog Record")</f>
        <v/>
      </c>
      <c r="AT774">
        <f>HYPERLINK("http://www.worldcat.org/oclc/226037314","WorldCat Record")</f>
        <v/>
      </c>
      <c r="AU774" t="inlineStr">
        <is>
          <t>866202546:eng</t>
        </is>
      </c>
      <c r="AV774" t="inlineStr">
        <is>
          <t>226037314</t>
        </is>
      </c>
      <c r="AW774" t="inlineStr">
        <is>
          <t>991005359209702656</t>
        </is>
      </c>
      <c r="AX774" t="inlineStr">
        <is>
          <t>991005359209702656</t>
        </is>
      </c>
      <c r="AY774" t="inlineStr">
        <is>
          <t>2254812530002656</t>
        </is>
      </c>
      <c r="AZ774" t="inlineStr">
        <is>
          <t>BOOK</t>
        </is>
      </c>
      <c r="BB774" t="inlineStr">
        <is>
          <t>9781400067787</t>
        </is>
      </c>
      <c r="BC774" t="inlineStr">
        <is>
          <t>32285005571772</t>
        </is>
      </c>
      <c r="BD774" t="inlineStr">
        <is>
          <t>893533661</t>
        </is>
      </c>
    </row>
    <row r="775">
      <c r="A775" t="inlineStr">
        <is>
          <t>No</t>
        </is>
      </c>
      <c r="B775" t="inlineStr">
        <is>
          <t>HM636 .A33 2004</t>
        </is>
      </c>
      <c r="C775" t="inlineStr">
        <is>
          <t>0                      HM 0636000A  33          2004</t>
        </is>
      </c>
      <c r="D775" t="inlineStr">
        <is>
          <t>The pornography of meat / Carol J. Adams.</t>
        </is>
      </c>
      <c r="F775" t="inlineStr">
        <is>
          <t>No</t>
        </is>
      </c>
      <c r="G775" t="inlineStr">
        <is>
          <t>1</t>
        </is>
      </c>
      <c r="H775" t="inlineStr">
        <is>
          <t>No</t>
        </is>
      </c>
      <c r="I775" t="inlineStr">
        <is>
          <t>No</t>
        </is>
      </c>
      <c r="J775" t="inlineStr">
        <is>
          <t>0</t>
        </is>
      </c>
      <c r="K775" t="inlineStr">
        <is>
          <t>Adams, Carol J.</t>
        </is>
      </c>
      <c r="L775" t="inlineStr">
        <is>
          <t>New York ; London : Continuum, 2004.</t>
        </is>
      </c>
      <c r="M775" t="inlineStr">
        <is>
          <t>2004</t>
        </is>
      </c>
      <c r="O775" t="inlineStr">
        <is>
          <t>eng</t>
        </is>
      </c>
      <c r="P775" t="inlineStr">
        <is>
          <t>nyu</t>
        </is>
      </c>
      <c r="R775" t="inlineStr">
        <is>
          <t xml:space="preserve">HM </t>
        </is>
      </c>
      <c r="S775" t="n">
        <v>1</v>
      </c>
      <c r="T775" t="n">
        <v>1</v>
      </c>
      <c r="U775" t="inlineStr">
        <is>
          <t>2008-08-11</t>
        </is>
      </c>
      <c r="V775" t="inlineStr">
        <is>
          <t>2008-08-11</t>
        </is>
      </c>
      <c r="W775" t="inlineStr">
        <is>
          <t>2008-08-11</t>
        </is>
      </c>
      <c r="X775" t="inlineStr">
        <is>
          <t>2008-08-11</t>
        </is>
      </c>
      <c r="Y775" t="n">
        <v>484</v>
      </c>
      <c r="Z775" t="n">
        <v>382</v>
      </c>
      <c r="AA775" t="n">
        <v>409</v>
      </c>
      <c r="AB775" t="n">
        <v>3</v>
      </c>
      <c r="AC775" t="n">
        <v>3</v>
      </c>
      <c r="AD775" t="n">
        <v>16</v>
      </c>
      <c r="AE775" t="n">
        <v>16</v>
      </c>
      <c r="AF775" t="n">
        <v>7</v>
      </c>
      <c r="AG775" t="n">
        <v>7</v>
      </c>
      <c r="AH775" t="n">
        <v>4</v>
      </c>
      <c r="AI775" t="n">
        <v>4</v>
      </c>
      <c r="AJ775" t="n">
        <v>8</v>
      </c>
      <c r="AK775" t="n">
        <v>8</v>
      </c>
      <c r="AL775" t="n">
        <v>2</v>
      </c>
      <c r="AM775" t="n">
        <v>2</v>
      </c>
      <c r="AN775" t="n">
        <v>0</v>
      </c>
      <c r="AO775" t="n">
        <v>0</v>
      </c>
      <c r="AP775" t="inlineStr">
        <is>
          <t>No</t>
        </is>
      </c>
      <c r="AQ775" t="inlineStr">
        <is>
          <t>Yes</t>
        </is>
      </c>
      <c r="AR775">
        <f>HYPERLINK("http://catalog.hathitrust.org/Record/004321673","HathiTrust Record")</f>
        <v/>
      </c>
      <c r="AS775">
        <f>HYPERLINK("https://creighton-primo.hosted.exlibrisgroup.com/primo-explore/search?tab=default_tab&amp;search_scope=EVERYTHING&amp;vid=01CRU&amp;lang=en_US&amp;offset=0&amp;query=any,contains,991005035299702656","Catalog Record")</f>
        <v/>
      </c>
      <c r="AT775">
        <f>HYPERLINK("http://www.worldcat.org/oclc/51264804","WorldCat Record")</f>
        <v/>
      </c>
      <c r="AU775" t="inlineStr">
        <is>
          <t>34064:eng</t>
        </is>
      </c>
      <c r="AV775" t="inlineStr">
        <is>
          <t>51264804</t>
        </is>
      </c>
      <c r="AW775" t="inlineStr">
        <is>
          <t>991005035299702656</t>
        </is>
      </c>
      <c r="AX775" t="inlineStr">
        <is>
          <t>991005035299702656</t>
        </is>
      </c>
      <c r="AY775" t="inlineStr">
        <is>
          <t>2256507310002656</t>
        </is>
      </c>
      <c r="AZ775" t="inlineStr">
        <is>
          <t>BOOK</t>
        </is>
      </c>
      <c r="BB775" t="inlineStr">
        <is>
          <t>9780826414489</t>
        </is>
      </c>
      <c r="BC775" t="inlineStr">
        <is>
          <t>32285005452908</t>
        </is>
      </c>
      <c r="BD775" t="inlineStr">
        <is>
          <t>893424455</t>
        </is>
      </c>
    </row>
    <row r="776">
      <c r="A776" t="inlineStr">
        <is>
          <t>No</t>
        </is>
      </c>
      <c r="B776" t="inlineStr">
        <is>
          <t>HM636 .L63 2004</t>
        </is>
      </c>
      <c r="C776" t="inlineStr">
        <is>
          <t>0                      HM 0636000L  63          2004</t>
        </is>
      </c>
      <c r="D776" t="inlineStr">
        <is>
          <t>Performing femininity : rewriting gender identity / Lesa Lockford.</t>
        </is>
      </c>
      <c r="F776" t="inlineStr">
        <is>
          <t>No</t>
        </is>
      </c>
      <c r="G776" t="inlineStr">
        <is>
          <t>1</t>
        </is>
      </c>
      <c r="H776" t="inlineStr">
        <is>
          <t>No</t>
        </is>
      </c>
      <c r="I776" t="inlineStr">
        <is>
          <t>No</t>
        </is>
      </c>
      <c r="J776" t="inlineStr">
        <is>
          <t>0</t>
        </is>
      </c>
      <c r="K776" t="inlineStr">
        <is>
          <t>Lockford, Lesa, 1958-</t>
        </is>
      </c>
      <c r="L776" t="inlineStr">
        <is>
          <t>Walnut Creek, CA : Altamira Press, c2004.</t>
        </is>
      </c>
      <c r="M776" t="inlineStr">
        <is>
          <t>2004</t>
        </is>
      </c>
      <c r="O776" t="inlineStr">
        <is>
          <t>eng</t>
        </is>
      </c>
      <c r="P776" t="inlineStr">
        <is>
          <t>cau</t>
        </is>
      </c>
      <c r="Q776" t="inlineStr">
        <is>
          <t>Ethnographic alternatives book series ; v. 17</t>
        </is>
      </c>
      <c r="R776" t="inlineStr">
        <is>
          <t xml:space="preserve">HM </t>
        </is>
      </c>
      <c r="S776" t="n">
        <v>1</v>
      </c>
      <c r="T776" t="n">
        <v>1</v>
      </c>
      <c r="U776" t="inlineStr">
        <is>
          <t>2004-12-13</t>
        </is>
      </c>
      <c r="V776" t="inlineStr">
        <is>
          <t>2004-12-13</t>
        </is>
      </c>
      <c r="W776" t="inlineStr">
        <is>
          <t>2004-12-13</t>
        </is>
      </c>
      <c r="X776" t="inlineStr">
        <is>
          <t>2004-12-13</t>
        </is>
      </c>
      <c r="Y776" t="n">
        <v>248</v>
      </c>
      <c r="Z776" t="n">
        <v>193</v>
      </c>
      <c r="AA776" t="n">
        <v>210</v>
      </c>
      <c r="AB776" t="n">
        <v>3</v>
      </c>
      <c r="AC776" t="n">
        <v>3</v>
      </c>
      <c r="AD776" t="n">
        <v>10</v>
      </c>
      <c r="AE776" t="n">
        <v>11</v>
      </c>
      <c r="AF776" t="n">
        <v>3</v>
      </c>
      <c r="AG776" t="n">
        <v>4</v>
      </c>
      <c r="AH776" t="n">
        <v>4</v>
      </c>
      <c r="AI776" t="n">
        <v>5</v>
      </c>
      <c r="AJ776" t="n">
        <v>4</v>
      </c>
      <c r="AK776" t="n">
        <v>4</v>
      </c>
      <c r="AL776" t="n">
        <v>2</v>
      </c>
      <c r="AM776" t="n">
        <v>2</v>
      </c>
      <c r="AN776" t="n">
        <v>0</v>
      </c>
      <c r="AO776" t="n">
        <v>0</v>
      </c>
      <c r="AP776" t="inlineStr">
        <is>
          <t>No</t>
        </is>
      </c>
      <c r="AQ776" t="inlineStr">
        <is>
          <t>Yes</t>
        </is>
      </c>
      <c r="AR776">
        <f>HYPERLINK("http://catalog.hathitrust.org/Record/008326779","HathiTrust Record")</f>
        <v/>
      </c>
      <c r="AS776">
        <f>HYPERLINK("https://creighton-primo.hosted.exlibrisgroup.com/primo-explore/search?tab=default_tab&amp;search_scope=EVERYTHING&amp;vid=01CRU&amp;lang=en_US&amp;offset=0&amp;query=any,contains,991004419439702656","Catalog Record")</f>
        <v/>
      </c>
      <c r="AT776">
        <f>HYPERLINK("http://www.worldcat.org/oclc/54500216","WorldCat Record")</f>
        <v/>
      </c>
      <c r="AU776" t="inlineStr">
        <is>
          <t>1043682:eng</t>
        </is>
      </c>
      <c r="AV776" t="inlineStr">
        <is>
          <t>54500216</t>
        </is>
      </c>
      <c r="AW776" t="inlineStr">
        <is>
          <t>991004419439702656</t>
        </is>
      </c>
      <c r="AX776" t="inlineStr">
        <is>
          <t>991004419439702656</t>
        </is>
      </c>
      <c r="AY776" t="inlineStr">
        <is>
          <t>2266319780002656</t>
        </is>
      </c>
      <c r="AZ776" t="inlineStr">
        <is>
          <t>BOOK</t>
        </is>
      </c>
      <c r="BB776" t="inlineStr">
        <is>
          <t>9780759100725</t>
        </is>
      </c>
      <c r="BC776" t="inlineStr">
        <is>
          <t>32285005016349</t>
        </is>
      </c>
      <c r="BD776" t="inlineStr">
        <is>
          <t>893788678</t>
        </is>
      </c>
    </row>
    <row r="777">
      <c r="A777" t="inlineStr">
        <is>
          <t>No</t>
        </is>
      </c>
      <c r="B777" t="inlineStr">
        <is>
          <t>HM66 .C73</t>
        </is>
      </c>
      <c r="C777" t="inlineStr">
        <is>
          <t>0                      HM 0066000C  73</t>
        </is>
      </c>
      <c r="D777" t="inlineStr">
        <is>
          <t>Introductory sociology [by] Charles Horton Cooley ... Robert Cooley Angell ... and Lowell Juilliard Carr ...</t>
        </is>
      </c>
      <c r="F777" t="inlineStr">
        <is>
          <t>No</t>
        </is>
      </c>
      <c r="G777" t="inlineStr">
        <is>
          <t>1</t>
        </is>
      </c>
      <c r="H777" t="inlineStr">
        <is>
          <t>No</t>
        </is>
      </c>
      <c r="I777" t="inlineStr">
        <is>
          <t>No</t>
        </is>
      </c>
      <c r="J777" t="inlineStr">
        <is>
          <t>0</t>
        </is>
      </c>
      <c r="K777" t="inlineStr">
        <is>
          <t>Cooley, Charles Horton, 1864-1929.</t>
        </is>
      </c>
      <c r="L777" t="inlineStr">
        <is>
          <t>New York, Chicago [etc.] C. Scribner's Sons [c1933]</t>
        </is>
      </c>
      <c r="M777" t="inlineStr">
        <is>
          <t>1933</t>
        </is>
      </c>
      <c r="O777" t="inlineStr">
        <is>
          <t>eng</t>
        </is>
      </c>
      <c r="P777" t="inlineStr">
        <is>
          <t>nyu</t>
        </is>
      </c>
      <c r="R777" t="inlineStr">
        <is>
          <t xml:space="preserve">HM </t>
        </is>
      </c>
      <c r="S777" t="n">
        <v>2</v>
      </c>
      <c r="T777" t="n">
        <v>2</v>
      </c>
      <c r="U777" t="inlineStr">
        <is>
          <t>2007-11-29</t>
        </is>
      </c>
      <c r="V777" t="inlineStr">
        <is>
          <t>2007-11-29</t>
        </is>
      </c>
      <c r="W777" t="inlineStr">
        <is>
          <t>1997-07-28</t>
        </is>
      </c>
      <c r="X777" t="inlineStr">
        <is>
          <t>1997-07-28</t>
        </is>
      </c>
      <c r="Y777" t="n">
        <v>280</v>
      </c>
      <c r="Z777" t="n">
        <v>235</v>
      </c>
      <c r="AA777" t="n">
        <v>239</v>
      </c>
      <c r="AB777" t="n">
        <v>2</v>
      </c>
      <c r="AC777" t="n">
        <v>2</v>
      </c>
      <c r="AD777" t="n">
        <v>8</v>
      </c>
      <c r="AE777" t="n">
        <v>8</v>
      </c>
      <c r="AF777" t="n">
        <v>2</v>
      </c>
      <c r="AG777" t="n">
        <v>2</v>
      </c>
      <c r="AH777" t="n">
        <v>4</v>
      </c>
      <c r="AI777" t="n">
        <v>4</v>
      </c>
      <c r="AJ777" t="n">
        <v>4</v>
      </c>
      <c r="AK777" t="n">
        <v>4</v>
      </c>
      <c r="AL777" t="n">
        <v>1</v>
      </c>
      <c r="AM777" t="n">
        <v>1</v>
      </c>
      <c r="AN777" t="n">
        <v>0</v>
      </c>
      <c r="AO777" t="n">
        <v>0</v>
      </c>
      <c r="AP777" t="inlineStr">
        <is>
          <t>No</t>
        </is>
      </c>
      <c r="AQ777" t="inlineStr">
        <is>
          <t>Yes</t>
        </is>
      </c>
      <c r="AR777">
        <f>HYPERLINK("http://catalog.hathitrust.org/Record/001108006","HathiTrust Record")</f>
        <v/>
      </c>
      <c r="AS777">
        <f>HYPERLINK("https://creighton-primo.hosted.exlibrisgroup.com/primo-explore/search?tab=default_tab&amp;search_scope=EVERYTHING&amp;vid=01CRU&amp;lang=en_US&amp;offset=0&amp;query=any,contains,991003707679702656","Catalog Record")</f>
        <v/>
      </c>
      <c r="AT777">
        <f>HYPERLINK("http://www.worldcat.org/oclc/1345661","WorldCat Record")</f>
        <v/>
      </c>
      <c r="AU777" t="inlineStr">
        <is>
          <t>2240599:eng</t>
        </is>
      </c>
      <c r="AV777" t="inlineStr">
        <is>
          <t>1345661</t>
        </is>
      </c>
      <c r="AW777" t="inlineStr">
        <is>
          <t>991003707679702656</t>
        </is>
      </c>
      <c r="AX777" t="inlineStr">
        <is>
          <t>991003707679702656</t>
        </is>
      </c>
      <c r="AY777" t="inlineStr">
        <is>
          <t>2260268100002656</t>
        </is>
      </c>
      <c r="AZ777" t="inlineStr">
        <is>
          <t>BOOK</t>
        </is>
      </c>
      <c r="BC777" t="inlineStr">
        <is>
          <t>32285003009411</t>
        </is>
      </c>
      <c r="BD777" t="inlineStr">
        <is>
          <t>893240509</t>
        </is>
      </c>
    </row>
    <row r="778">
      <c r="A778" t="inlineStr">
        <is>
          <t>No</t>
        </is>
      </c>
      <c r="B778" t="inlineStr">
        <is>
          <t>HM661 .S275 2008</t>
        </is>
      </c>
      <c r="C778" t="inlineStr">
        <is>
          <t>0                      HM 0661000S  275         2008</t>
        </is>
      </c>
      <c r="D778" t="inlineStr">
        <is>
          <t>Emotions in command : biology, bureaucracy, and cultural evolution / Frank Kemp Salter ; with a new introduction by the author.</t>
        </is>
      </c>
      <c r="F778" t="inlineStr">
        <is>
          <t>No</t>
        </is>
      </c>
      <c r="G778" t="inlineStr">
        <is>
          <t>1</t>
        </is>
      </c>
      <c r="H778" t="inlineStr">
        <is>
          <t>No</t>
        </is>
      </c>
      <c r="I778" t="inlineStr">
        <is>
          <t>No</t>
        </is>
      </c>
      <c r="J778" t="inlineStr">
        <is>
          <t>0</t>
        </is>
      </c>
      <c r="K778" t="inlineStr">
        <is>
          <t>Salter, Frank K.</t>
        </is>
      </c>
      <c r="L778" t="inlineStr">
        <is>
          <t>New Brunswick : Transaction Publishers, [2008]</t>
        </is>
      </c>
      <c r="M778" t="inlineStr">
        <is>
          <t>2008</t>
        </is>
      </c>
      <c r="O778" t="inlineStr">
        <is>
          <t>eng</t>
        </is>
      </c>
      <c r="P778" t="inlineStr">
        <is>
          <t>nju</t>
        </is>
      </c>
      <c r="R778" t="inlineStr">
        <is>
          <t xml:space="preserve">HM </t>
        </is>
      </c>
      <c r="S778" t="n">
        <v>1</v>
      </c>
      <c r="T778" t="n">
        <v>1</v>
      </c>
      <c r="U778" t="inlineStr">
        <is>
          <t>2008-01-10</t>
        </is>
      </c>
      <c r="V778" t="inlineStr">
        <is>
          <t>2008-01-10</t>
        </is>
      </c>
      <c r="W778" t="inlineStr">
        <is>
          <t>2008-01-10</t>
        </is>
      </c>
      <c r="X778" t="inlineStr">
        <is>
          <t>2008-01-10</t>
        </is>
      </c>
      <c r="Y778" t="n">
        <v>45</v>
      </c>
      <c r="Z778" t="n">
        <v>28</v>
      </c>
      <c r="AA778" t="n">
        <v>45</v>
      </c>
      <c r="AB778" t="n">
        <v>2</v>
      </c>
      <c r="AC778" t="n">
        <v>2</v>
      </c>
      <c r="AD778" t="n">
        <v>2</v>
      </c>
      <c r="AE778" t="n">
        <v>2</v>
      </c>
      <c r="AF778" t="n">
        <v>0</v>
      </c>
      <c r="AG778" t="n">
        <v>0</v>
      </c>
      <c r="AH778" t="n">
        <v>1</v>
      </c>
      <c r="AI778" t="n">
        <v>1</v>
      </c>
      <c r="AJ778" t="n">
        <v>1</v>
      </c>
      <c r="AK778" t="n">
        <v>1</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HYPERLINK("https://creighton-primo.hosted.exlibrisgroup.com/primo-explore/search?tab=default_tab&amp;search_scope=EVERYTHING&amp;vid=01CRU&amp;lang=en_US&amp;offset=0&amp;query=any,contains,991005141189702656","Catalog Record")</f>
        <v/>
      </c>
      <c r="AT778">
        <f>HYPERLINK("http://www.worldcat.org/oclc/171049077","WorldCat Record")</f>
        <v/>
      </c>
      <c r="AU778" t="inlineStr">
        <is>
          <t>230617487:eng</t>
        </is>
      </c>
      <c r="AV778" t="inlineStr">
        <is>
          <t>171049077</t>
        </is>
      </c>
      <c r="AW778" t="inlineStr">
        <is>
          <t>991005141189702656</t>
        </is>
      </c>
      <c r="AX778" t="inlineStr">
        <is>
          <t>991005141189702656</t>
        </is>
      </c>
      <c r="AY778" t="inlineStr">
        <is>
          <t>2256653030002656</t>
        </is>
      </c>
      <c r="AZ778" t="inlineStr">
        <is>
          <t>BOOK</t>
        </is>
      </c>
      <c r="BB778" t="inlineStr">
        <is>
          <t>9781412806718</t>
        </is>
      </c>
      <c r="BC778" t="inlineStr">
        <is>
          <t>32285005376818</t>
        </is>
      </c>
      <c r="BD778" t="inlineStr">
        <is>
          <t>893877010</t>
        </is>
      </c>
    </row>
    <row r="779">
      <c r="A779" t="inlineStr">
        <is>
          <t>No</t>
        </is>
      </c>
      <c r="B779" t="inlineStr">
        <is>
          <t>HM665 .G55 2004</t>
        </is>
      </c>
      <c r="C779" t="inlineStr">
        <is>
          <t>0                      HM 0665000G  55          2004</t>
        </is>
      </c>
      <c r="D779" t="inlineStr">
        <is>
          <t>Social ethics : sociology and the future of society / Charlotte Perkins Gilman ; edited, with an introduction by Michael R. Hill and Mary Jo Deegan.</t>
        </is>
      </c>
      <c r="F779" t="inlineStr">
        <is>
          <t>No</t>
        </is>
      </c>
      <c r="G779" t="inlineStr">
        <is>
          <t>1</t>
        </is>
      </c>
      <c r="H779" t="inlineStr">
        <is>
          <t>No</t>
        </is>
      </c>
      <c r="I779" t="inlineStr">
        <is>
          <t>No</t>
        </is>
      </c>
      <c r="J779" t="inlineStr">
        <is>
          <t>0</t>
        </is>
      </c>
      <c r="K779" t="inlineStr">
        <is>
          <t>Gilman, Charlotte Perkins, 1860-1935.</t>
        </is>
      </c>
      <c r="L779" t="inlineStr">
        <is>
          <t>Westport, Conn. : Praeger, 2004.</t>
        </is>
      </c>
      <c r="M779" t="inlineStr">
        <is>
          <t>2004</t>
        </is>
      </c>
      <c r="O779" t="inlineStr">
        <is>
          <t>eng</t>
        </is>
      </c>
      <c r="P779" t="inlineStr">
        <is>
          <t>ctu</t>
        </is>
      </c>
      <c r="R779" t="inlineStr">
        <is>
          <t xml:space="preserve">HM </t>
        </is>
      </c>
      <c r="S779" t="n">
        <v>3</v>
      </c>
      <c r="T779" t="n">
        <v>3</v>
      </c>
      <c r="U779" t="inlineStr">
        <is>
          <t>2009-11-19</t>
        </is>
      </c>
      <c r="V779" t="inlineStr">
        <is>
          <t>2009-11-19</t>
        </is>
      </c>
      <c r="W779" t="inlineStr">
        <is>
          <t>2006-02-09</t>
        </is>
      </c>
      <c r="X779" t="inlineStr">
        <is>
          <t>2006-02-09</t>
        </is>
      </c>
      <c r="Y779" t="n">
        <v>387</v>
      </c>
      <c r="Z779" t="n">
        <v>331</v>
      </c>
      <c r="AA779" t="n">
        <v>970</v>
      </c>
      <c r="AB779" t="n">
        <v>3</v>
      </c>
      <c r="AC779" t="n">
        <v>8</v>
      </c>
      <c r="AD779" t="n">
        <v>23</v>
      </c>
      <c r="AE779" t="n">
        <v>39</v>
      </c>
      <c r="AF779" t="n">
        <v>11</v>
      </c>
      <c r="AG779" t="n">
        <v>16</v>
      </c>
      <c r="AH779" t="n">
        <v>4</v>
      </c>
      <c r="AI779" t="n">
        <v>7</v>
      </c>
      <c r="AJ779" t="n">
        <v>13</v>
      </c>
      <c r="AK779" t="n">
        <v>16</v>
      </c>
      <c r="AL779" t="n">
        <v>2</v>
      </c>
      <c r="AM779" t="n">
        <v>7</v>
      </c>
      <c r="AN779" t="n">
        <v>0</v>
      </c>
      <c r="AO779" t="n">
        <v>1</v>
      </c>
      <c r="AP779" t="inlineStr">
        <is>
          <t>No</t>
        </is>
      </c>
      <c r="AQ779" t="inlineStr">
        <is>
          <t>No</t>
        </is>
      </c>
      <c r="AS779">
        <f>HYPERLINK("https://creighton-primo.hosted.exlibrisgroup.com/primo-explore/search?tab=default_tab&amp;search_scope=EVERYTHING&amp;vid=01CRU&amp;lang=en_US&amp;offset=0&amp;query=any,contains,991004736689702656","Catalog Record")</f>
        <v/>
      </c>
      <c r="AT779">
        <f>HYPERLINK("http://www.worldcat.org/oclc/52288781","WorldCat Record")</f>
        <v/>
      </c>
      <c r="AU779" t="inlineStr">
        <is>
          <t>802616739:eng</t>
        </is>
      </c>
      <c r="AV779" t="inlineStr">
        <is>
          <t>52288781</t>
        </is>
      </c>
      <c r="AW779" t="inlineStr">
        <is>
          <t>991004736689702656</t>
        </is>
      </c>
      <c r="AX779" t="inlineStr">
        <is>
          <t>991004736689702656</t>
        </is>
      </c>
      <c r="AY779" t="inlineStr">
        <is>
          <t>2265157790002656</t>
        </is>
      </c>
      <c r="AZ779" t="inlineStr">
        <is>
          <t>BOOK</t>
        </is>
      </c>
      <c r="BB779" t="inlineStr">
        <is>
          <t>9780275978860</t>
        </is>
      </c>
      <c r="BC779" t="inlineStr">
        <is>
          <t>32285005163687</t>
        </is>
      </c>
      <c r="BD779" t="inlineStr">
        <is>
          <t>893882873</t>
        </is>
      </c>
    </row>
    <row r="780">
      <c r="A780" t="inlineStr">
        <is>
          <t>No</t>
        </is>
      </c>
      <c r="B780" t="inlineStr">
        <is>
          <t>HM665 .N47 2002</t>
        </is>
      </c>
      <c r="C780" t="inlineStr">
        <is>
          <t>0                      HM 0665000N  47          2002</t>
        </is>
      </c>
      <c r="D780" t="inlineStr">
        <is>
          <t>Respecting persons in theory and practice : essays on moral and political philosophy / Jan Narveson.</t>
        </is>
      </c>
      <c r="F780" t="inlineStr">
        <is>
          <t>No</t>
        </is>
      </c>
      <c r="G780" t="inlineStr">
        <is>
          <t>1</t>
        </is>
      </c>
      <c r="H780" t="inlineStr">
        <is>
          <t>No</t>
        </is>
      </c>
      <c r="I780" t="inlineStr">
        <is>
          <t>No</t>
        </is>
      </c>
      <c r="J780" t="inlineStr">
        <is>
          <t>0</t>
        </is>
      </c>
      <c r="K780" t="inlineStr">
        <is>
          <t>Narveson, Jan, 1936-</t>
        </is>
      </c>
      <c r="L780" t="inlineStr">
        <is>
          <t>Lanham, Md. : Rowman &amp; Littlefield, c2002.</t>
        </is>
      </c>
      <c r="M780" t="inlineStr">
        <is>
          <t>2002</t>
        </is>
      </c>
      <c r="O780" t="inlineStr">
        <is>
          <t>eng</t>
        </is>
      </c>
      <c r="P780" t="inlineStr">
        <is>
          <t>mdu</t>
        </is>
      </c>
      <c r="R780" t="inlineStr">
        <is>
          <t xml:space="preserve">HM </t>
        </is>
      </c>
      <c r="S780" t="n">
        <v>3</v>
      </c>
      <c r="T780" t="n">
        <v>3</v>
      </c>
      <c r="U780" t="inlineStr">
        <is>
          <t>2006-04-18</t>
        </is>
      </c>
      <c r="V780" t="inlineStr">
        <is>
          <t>2006-04-18</t>
        </is>
      </c>
      <c r="W780" t="inlineStr">
        <is>
          <t>2004-10-14</t>
        </is>
      </c>
      <c r="X780" t="inlineStr">
        <is>
          <t>2004-10-14</t>
        </is>
      </c>
      <c r="Y780" t="n">
        <v>193</v>
      </c>
      <c r="Z780" t="n">
        <v>147</v>
      </c>
      <c r="AA780" t="n">
        <v>169</v>
      </c>
      <c r="AB780" t="n">
        <v>1</v>
      </c>
      <c r="AC780" t="n">
        <v>1</v>
      </c>
      <c r="AD780" t="n">
        <v>11</v>
      </c>
      <c r="AE780" t="n">
        <v>11</v>
      </c>
      <c r="AF780" t="n">
        <v>4</v>
      </c>
      <c r="AG780" t="n">
        <v>4</v>
      </c>
      <c r="AH780" t="n">
        <v>6</v>
      </c>
      <c r="AI780" t="n">
        <v>6</v>
      </c>
      <c r="AJ780" t="n">
        <v>6</v>
      </c>
      <c r="AK780" t="n">
        <v>6</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HYPERLINK("https://creighton-primo.hosted.exlibrisgroup.com/primo-explore/search?tab=default_tab&amp;search_scope=EVERYTHING&amp;vid=01CRU&amp;lang=en_US&amp;offset=0&amp;query=any,contains,991004393289702656","Catalog Record")</f>
        <v/>
      </c>
      <c r="AT780">
        <f>HYPERLINK("http://www.worldcat.org/oclc/48429135","WorldCat Record")</f>
        <v/>
      </c>
      <c r="AU780" t="inlineStr">
        <is>
          <t>145185214:eng</t>
        </is>
      </c>
      <c r="AV780" t="inlineStr">
        <is>
          <t>48429135</t>
        </is>
      </c>
      <c r="AW780" t="inlineStr">
        <is>
          <t>991004393289702656</t>
        </is>
      </c>
      <c r="AX780" t="inlineStr">
        <is>
          <t>991004393289702656</t>
        </is>
      </c>
      <c r="AY780" t="inlineStr">
        <is>
          <t>2272683060002656</t>
        </is>
      </c>
      <c r="AZ780" t="inlineStr">
        <is>
          <t>BOOK</t>
        </is>
      </c>
      <c r="BB780" t="inlineStr">
        <is>
          <t>9780742513297</t>
        </is>
      </c>
      <c r="BC780" t="inlineStr">
        <is>
          <t>32285005004345</t>
        </is>
      </c>
      <c r="BD780" t="inlineStr">
        <is>
          <t>893430015</t>
        </is>
      </c>
    </row>
    <row r="781">
      <c r="A781" t="inlineStr">
        <is>
          <t>No</t>
        </is>
      </c>
      <c r="B781" t="inlineStr">
        <is>
          <t>HM665 .S35 2004</t>
        </is>
      </c>
      <c r="C781" t="inlineStr">
        <is>
          <t>0                      HM 0665000S  35          2004</t>
        </is>
      </c>
      <c r="D781" t="inlineStr">
        <is>
          <t>Resisting ethics / Scott Schaffer.</t>
        </is>
      </c>
      <c r="F781" t="inlineStr">
        <is>
          <t>No</t>
        </is>
      </c>
      <c r="G781" t="inlineStr">
        <is>
          <t>1</t>
        </is>
      </c>
      <c r="H781" t="inlineStr">
        <is>
          <t>No</t>
        </is>
      </c>
      <c r="I781" t="inlineStr">
        <is>
          <t>No</t>
        </is>
      </c>
      <c r="J781" t="inlineStr">
        <is>
          <t>0</t>
        </is>
      </c>
      <c r="K781" t="inlineStr">
        <is>
          <t>Schaffer, Scott.</t>
        </is>
      </c>
      <c r="L781" t="inlineStr">
        <is>
          <t>New York : Palgrave Macmillan, 2004.</t>
        </is>
      </c>
      <c r="M781" t="inlineStr">
        <is>
          <t>2004</t>
        </is>
      </c>
      <c r="O781" t="inlineStr">
        <is>
          <t>eng</t>
        </is>
      </c>
      <c r="P781" t="inlineStr">
        <is>
          <t>nyu</t>
        </is>
      </c>
      <c r="R781" t="inlineStr">
        <is>
          <t xml:space="preserve">HM </t>
        </is>
      </c>
      <c r="S781" t="n">
        <v>1</v>
      </c>
      <c r="T781" t="n">
        <v>1</v>
      </c>
      <c r="U781" t="inlineStr">
        <is>
          <t>2006-03-07</t>
        </is>
      </c>
      <c r="V781" t="inlineStr">
        <is>
          <t>2006-03-07</t>
        </is>
      </c>
      <c r="W781" t="inlineStr">
        <is>
          <t>2006-02-09</t>
        </is>
      </c>
      <c r="X781" t="inlineStr">
        <is>
          <t>2006-02-09</t>
        </is>
      </c>
      <c r="Y781" t="n">
        <v>243</v>
      </c>
      <c r="Z781" t="n">
        <v>192</v>
      </c>
      <c r="AA781" t="n">
        <v>227</v>
      </c>
      <c r="AB781" t="n">
        <v>1</v>
      </c>
      <c r="AC781" t="n">
        <v>1</v>
      </c>
      <c r="AD781" t="n">
        <v>6</v>
      </c>
      <c r="AE781" t="n">
        <v>6</v>
      </c>
      <c r="AF781" t="n">
        <v>2</v>
      </c>
      <c r="AG781" t="n">
        <v>2</v>
      </c>
      <c r="AH781" t="n">
        <v>3</v>
      </c>
      <c r="AI781" t="n">
        <v>3</v>
      </c>
      <c r="AJ781" t="n">
        <v>3</v>
      </c>
      <c r="AK781" t="n">
        <v>3</v>
      </c>
      <c r="AL781" t="n">
        <v>0</v>
      </c>
      <c r="AM781" t="n">
        <v>0</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HYPERLINK("https://creighton-primo.hosted.exlibrisgroup.com/primo-explore/search?tab=default_tab&amp;search_scope=EVERYTHING&amp;vid=01CRU&amp;lang=en_US&amp;offset=0&amp;query=any,contains,991004736429702656","Catalog Record")</f>
        <v/>
      </c>
      <c r="AT781">
        <f>HYPERLINK("http://www.worldcat.org/oclc/52799201","WorldCat Record")</f>
        <v/>
      </c>
      <c r="AU781" t="inlineStr">
        <is>
          <t>763527:eng</t>
        </is>
      </c>
      <c r="AV781" t="inlineStr">
        <is>
          <t>52799201</t>
        </is>
      </c>
      <c r="AW781" t="inlineStr">
        <is>
          <t>991004736429702656</t>
        </is>
      </c>
      <c r="AX781" t="inlineStr">
        <is>
          <t>991004736429702656</t>
        </is>
      </c>
      <c r="AY781" t="inlineStr">
        <is>
          <t>2260762410002656</t>
        </is>
      </c>
      <c r="AZ781" t="inlineStr">
        <is>
          <t>BOOK</t>
        </is>
      </c>
      <c r="BB781" t="inlineStr">
        <is>
          <t>9781403964434</t>
        </is>
      </c>
      <c r="BC781" t="inlineStr">
        <is>
          <t>32285005163299</t>
        </is>
      </c>
      <c r="BD781" t="inlineStr">
        <is>
          <t>893436683</t>
        </is>
      </c>
    </row>
    <row r="782">
      <c r="A782" t="inlineStr">
        <is>
          <t>No</t>
        </is>
      </c>
      <c r="B782" t="inlineStr">
        <is>
          <t>HM668 .L46 2005</t>
        </is>
      </c>
      <c r="C782" t="inlineStr">
        <is>
          <t>0                      HM 0668000L  46          2005</t>
        </is>
      </c>
      <c r="D782" t="inlineStr">
        <is>
          <t>World as laboratory : experiments with mice, mazes, and men / Rebecca Lemov.</t>
        </is>
      </c>
      <c r="F782" t="inlineStr">
        <is>
          <t>No</t>
        </is>
      </c>
      <c r="G782" t="inlineStr">
        <is>
          <t>1</t>
        </is>
      </c>
      <c r="H782" t="inlineStr">
        <is>
          <t>No</t>
        </is>
      </c>
      <c r="I782" t="inlineStr">
        <is>
          <t>No</t>
        </is>
      </c>
      <c r="J782" t="inlineStr">
        <is>
          <t>0</t>
        </is>
      </c>
      <c r="K782" t="inlineStr">
        <is>
          <t>Lemov, Rebecca M. (Rebecca Maura)</t>
        </is>
      </c>
      <c r="L782" t="inlineStr">
        <is>
          <t>New York : Hill and Wang, 2005.</t>
        </is>
      </c>
      <c r="M782" t="inlineStr">
        <is>
          <t>2005</t>
        </is>
      </c>
      <c r="N782" t="inlineStr">
        <is>
          <t>1st ed.</t>
        </is>
      </c>
      <c r="O782" t="inlineStr">
        <is>
          <t>eng</t>
        </is>
      </c>
      <c r="P782" t="inlineStr">
        <is>
          <t>nyu</t>
        </is>
      </c>
      <c r="R782" t="inlineStr">
        <is>
          <t xml:space="preserve">HM </t>
        </is>
      </c>
      <c r="S782" t="n">
        <v>2</v>
      </c>
      <c r="T782" t="n">
        <v>2</v>
      </c>
      <c r="U782" t="inlineStr">
        <is>
          <t>2006-04-17</t>
        </is>
      </c>
      <c r="V782" t="inlineStr">
        <is>
          <t>2006-04-17</t>
        </is>
      </c>
      <c r="W782" t="inlineStr">
        <is>
          <t>2006-02-17</t>
        </is>
      </c>
      <c r="X782" t="inlineStr">
        <is>
          <t>2006-02-17</t>
        </is>
      </c>
      <c r="Y782" t="n">
        <v>657</v>
      </c>
      <c r="Z782" t="n">
        <v>594</v>
      </c>
      <c r="AA782" t="n">
        <v>619</v>
      </c>
      <c r="AB782" t="n">
        <v>5</v>
      </c>
      <c r="AC782" t="n">
        <v>5</v>
      </c>
      <c r="AD782" t="n">
        <v>20</v>
      </c>
      <c r="AE782" t="n">
        <v>20</v>
      </c>
      <c r="AF782" t="n">
        <v>7</v>
      </c>
      <c r="AG782" t="n">
        <v>7</v>
      </c>
      <c r="AH782" t="n">
        <v>3</v>
      </c>
      <c r="AI782" t="n">
        <v>3</v>
      </c>
      <c r="AJ782" t="n">
        <v>11</v>
      </c>
      <c r="AK782" t="n">
        <v>11</v>
      </c>
      <c r="AL782" t="n">
        <v>4</v>
      </c>
      <c r="AM782" t="n">
        <v>4</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HYPERLINK("https://creighton-primo.hosted.exlibrisgroup.com/primo-explore/search?tab=default_tab&amp;search_scope=EVERYTHING&amp;vid=01CRU&amp;lang=en_US&amp;offset=0&amp;query=any,contains,991004747839702656","Catalog Record")</f>
        <v/>
      </c>
      <c r="AT782">
        <f>HYPERLINK("http://www.worldcat.org/oclc/58451877","WorldCat Record")</f>
        <v/>
      </c>
      <c r="AU782" t="inlineStr">
        <is>
          <t>198068895:eng</t>
        </is>
      </c>
      <c r="AV782" t="inlineStr">
        <is>
          <t>58451877</t>
        </is>
      </c>
      <c r="AW782" t="inlineStr">
        <is>
          <t>991004747839702656</t>
        </is>
      </c>
      <c r="AX782" t="inlineStr">
        <is>
          <t>991004747839702656</t>
        </is>
      </c>
      <c r="AY782" t="inlineStr">
        <is>
          <t>2268278870002656</t>
        </is>
      </c>
      <c r="AZ782" t="inlineStr">
        <is>
          <t>BOOK</t>
        </is>
      </c>
      <c r="BB782" t="inlineStr">
        <is>
          <t>9780809074648</t>
        </is>
      </c>
      <c r="BC782" t="inlineStr">
        <is>
          <t>32285005161640</t>
        </is>
      </c>
      <c r="BD782" t="inlineStr">
        <is>
          <t>893719306</t>
        </is>
      </c>
    </row>
    <row r="783">
      <c r="A783" t="inlineStr">
        <is>
          <t>No</t>
        </is>
      </c>
      <c r="B783" t="inlineStr">
        <is>
          <t>HM671 .F56 2003</t>
        </is>
      </c>
      <c r="C783" t="inlineStr">
        <is>
          <t>0                      HM 0671000F  56          2003</t>
        </is>
      </c>
      <c r="D783" t="inlineStr">
        <is>
          <t>Just practice : a social justice approach to social work / Janet L. Finn and Maxine Jacobson.</t>
        </is>
      </c>
      <c r="F783" t="inlineStr">
        <is>
          <t>No</t>
        </is>
      </c>
      <c r="G783" t="inlineStr">
        <is>
          <t>1</t>
        </is>
      </c>
      <c r="H783" t="inlineStr">
        <is>
          <t>No</t>
        </is>
      </c>
      <c r="I783" t="inlineStr">
        <is>
          <t>No</t>
        </is>
      </c>
      <c r="J783" t="inlineStr">
        <is>
          <t>0</t>
        </is>
      </c>
      <c r="K783" t="inlineStr">
        <is>
          <t>Finn, Janet L.</t>
        </is>
      </c>
      <c r="L783" t="inlineStr">
        <is>
          <t>Peosta, Iowa : Eddie Bowers Pub. Co., c2003.</t>
        </is>
      </c>
      <c r="M783" t="inlineStr">
        <is>
          <t>2003</t>
        </is>
      </c>
      <c r="O783" t="inlineStr">
        <is>
          <t>eng</t>
        </is>
      </c>
      <c r="P783" t="inlineStr">
        <is>
          <t>iau</t>
        </is>
      </c>
      <c r="R783" t="inlineStr">
        <is>
          <t xml:space="preserve">HM </t>
        </is>
      </c>
      <c r="S783" t="n">
        <v>1</v>
      </c>
      <c r="T783" t="n">
        <v>1</v>
      </c>
      <c r="U783" t="inlineStr">
        <is>
          <t>2005-08-18</t>
        </is>
      </c>
      <c r="V783" t="inlineStr">
        <is>
          <t>2005-08-18</t>
        </is>
      </c>
      <c r="W783" t="inlineStr">
        <is>
          <t>2005-03-31</t>
        </is>
      </c>
      <c r="X783" t="inlineStr">
        <is>
          <t>2005-03-31</t>
        </is>
      </c>
      <c r="Y783" t="n">
        <v>91</v>
      </c>
      <c r="Z783" t="n">
        <v>76</v>
      </c>
      <c r="AA783" t="n">
        <v>142</v>
      </c>
      <c r="AB783" t="n">
        <v>1</v>
      </c>
      <c r="AC783" t="n">
        <v>1</v>
      </c>
      <c r="AD783" t="n">
        <v>4</v>
      </c>
      <c r="AE783" t="n">
        <v>7</v>
      </c>
      <c r="AF783" t="n">
        <v>0</v>
      </c>
      <c r="AG783" t="n">
        <v>1</v>
      </c>
      <c r="AH783" t="n">
        <v>1</v>
      </c>
      <c r="AI783" t="n">
        <v>3</v>
      </c>
      <c r="AJ783" t="n">
        <v>4</v>
      </c>
      <c r="AK783" t="n">
        <v>5</v>
      </c>
      <c r="AL783" t="n">
        <v>0</v>
      </c>
      <c r="AM783" t="n">
        <v>0</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HYPERLINK("https://creighton-primo.hosted.exlibrisgroup.com/primo-explore/search?tab=default_tab&amp;search_scope=EVERYTHING&amp;vid=01CRU&amp;lang=en_US&amp;offset=0&amp;query=any,contains,991004470079702656","Catalog Record")</f>
        <v/>
      </c>
      <c r="AT783">
        <f>HYPERLINK("http://www.worldcat.org/oclc/51946390","WorldCat Record")</f>
        <v/>
      </c>
      <c r="AU783" t="inlineStr">
        <is>
          <t>220646972:eng</t>
        </is>
      </c>
      <c r="AV783" t="inlineStr">
        <is>
          <t>51946390</t>
        </is>
      </c>
      <c r="AW783" t="inlineStr">
        <is>
          <t>991004470079702656</t>
        </is>
      </c>
      <c r="AX783" t="inlineStr">
        <is>
          <t>991004470079702656</t>
        </is>
      </c>
      <c r="AY783" t="inlineStr">
        <is>
          <t>2261635340002656</t>
        </is>
      </c>
      <c r="AZ783" t="inlineStr">
        <is>
          <t>BOOK</t>
        </is>
      </c>
      <c r="BB783" t="inlineStr">
        <is>
          <t>9781578790463</t>
        </is>
      </c>
      <c r="BC783" t="inlineStr">
        <is>
          <t>32285005046650</t>
        </is>
      </c>
      <c r="BD783" t="inlineStr">
        <is>
          <t>893876148</t>
        </is>
      </c>
    </row>
    <row r="784">
      <c r="A784" t="inlineStr">
        <is>
          <t>No</t>
        </is>
      </c>
      <c r="B784" t="inlineStr">
        <is>
          <t>HM671 .M36 2007</t>
        </is>
      </c>
      <c r="C784" t="inlineStr">
        <is>
          <t>0                      HM 0671000M  36          2007</t>
        </is>
      </c>
      <c r="D784" t="inlineStr">
        <is>
          <t>Justice ignited : the dynamics of backfire / Brian Martin with contributions from Truda Gray, Hannah Lendon, and Steve Wright.</t>
        </is>
      </c>
      <c r="F784" t="inlineStr">
        <is>
          <t>No</t>
        </is>
      </c>
      <c r="G784" t="inlineStr">
        <is>
          <t>1</t>
        </is>
      </c>
      <c r="H784" t="inlineStr">
        <is>
          <t>No</t>
        </is>
      </c>
      <c r="I784" t="inlineStr">
        <is>
          <t>No</t>
        </is>
      </c>
      <c r="J784" t="inlineStr">
        <is>
          <t>0</t>
        </is>
      </c>
      <c r="K784" t="inlineStr">
        <is>
          <t>Martin, Brian, 1947-</t>
        </is>
      </c>
      <c r="L784" t="inlineStr">
        <is>
          <t>Lanham [Md.] : Rowman &amp; Littlefield Pub., c2007.</t>
        </is>
      </c>
      <c r="M784" t="inlineStr">
        <is>
          <t>2007</t>
        </is>
      </c>
      <c r="O784" t="inlineStr">
        <is>
          <t>eng</t>
        </is>
      </c>
      <c r="P784" t="inlineStr">
        <is>
          <t>mdu</t>
        </is>
      </c>
      <c r="R784" t="inlineStr">
        <is>
          <t xml:space="preserve">HM </t>
        </is>
      </c>
      <c r="S784" t="n">
        <v>1</v>
      </c>
      <c r="T784" t="n">
        <v>1</v>
      </c>
      <c r="U784" t="inlineStr">
        <is>
          <t>2008-11-06</t>
        </is>
      </c>
      <c r="V784" t="inlineStr">
        <is>
          <t>2008-11-06</t>
        </is>
      </c>
      <c r="W784" t="inlineStr">
        <is>
          <t>2008-11-06</t>
        </is>
      </c>
      <c r="X784" t="inlineStr">
        <is>
          <t>2008-11-06</t>
        </is>
      </c>
      <c r="Y784" t="n">
        <v>244</v>
      </c>
      <c r="Z784" t="n">
        <v>195</v>
      </c>
      <c r="AA784" t="n">
        <v>196</v>
      </c>
      <c r="AB784" t="n">
        <v>2</v>
      </c>
      <c r="AC784" t="n">
        <v>2</v>
      </c>
      <c r="AD784" t="n">
        <v>12</v>
      </c>
      <c r="AE784" t="n">
        <v>12</v>
      </c>
      <c r="AF784" t="n">
        <v>5</v>
      </c>
      <c r="AG784" t="n">
        <v>5</v>
      </c>
      <c r="AH784" t="n">
        <v>3</v>
      </c>
      <c r="AI784" t="n">
        <v>3</v>
      </c>
      <c r="AJ784" t="n">
        <v>8</v>
      </c>
      <c r="AK784" t="n">
        <v>8</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HYPERLINK("https://creighton-primo.hosted.exlibrisgroup.com/primo-explore/search?tab=default_tab&amp;search_scope=EVERYTHING&amp;vid=01CRU&amp;lang=en_US&amp;offset=0&amp;query=any,contains,991005263189702656","Catalog Record")</f>
        <v/>
      </c>
      <c r="AT784">
        <f>HYPERLINK("http://www.worldcat.org/oclc/71288690","WorldCat Record")</f>
        <v/>
      </c>
      <c r="AU784" t="inlineStr">
        <is>
          <t>58246118:eng</t>
        </is>
      </c>
      <c r="AV784" t="inlineStr">
        <is>
          <t>71288690</t>
        </is>
      </c>
      <c r="AW784" t="inlineStr">
        <is>
          <t>991005263189702656</t>
        </is>
      </c>
      <c r="AX784" t="inlineStr">
        <is>
          <t>991005263189702656</t>
        </is>
      </c>
      <c r="AY784" t="inlineStr">
        <is>
          <t>2254787510002656</t>
        </is>
      </c>
      <c r="AZ784" t="inlineStr">
        <is>
          <t>BOOK</t>
        </is>
      </c>
      <c r="BB784" t="inlineStr">
        <is>
          <t>9780742540859</t>
        </is>
      </c>
      <c r="BC784" t="inlineStr">
        <is>
          <t>32285005465835</t>
        </is>
      </c>
      <c r="BD784" t="inlineStr">
        <is>
          <t>893695026</t>
        </is>
      </c>
    </row>
    <row r="785">
      <c r="A785" t="inlineStr">
        <is>
          <t>No</t>
        </is>
      </c>
      <c r="B785" t="inlineStr">
        <is>
          <t>HM671 .S63 2001</t>
        </is>
      </c>
      <c r="C785" t="inlineStr">
        <is>
          <t>0                      HM 0671000S  63          2001</t>
        </is>
      </c>
      <c r="D785" t="inlineStr">
        <is>
          <t>Social and political philosophy : contemporary perspectives / edited by James P. Sterba.</t>
        </is>
      </c>
      <c r="F785" t="inlineStr">
        <is>
          <t>No</t>
        </is>
      </c>
      <c r="G785" t="inlineStr">
        <is>
          <t>1</t>
        </is>
      </c>
      <c r="H785" t="inlineStr">
        <is>
          <t>No</t>
        </is>
      </c>
      <c r="I785" t="inlineStr">
        <is>
          <t>No</t>
        </is>
      </c>
      <c r="J785" t="inlineStr">
        <is>
          <t>0</t>
        </is>
      </c>
      <c r="L785" t="inlineStr">
        <is>
          <t>London ; New York : Routledge, 2001.</t>
        </is>
      </c>
      <c r="M785" t="inlineStr">
        <is>
          <t>2001</t>
        </is>
      </c>
      <c r="O785" t="inlineStr">
        <is>
          <t>eng</t>
        </is>
      </c>
      <c r="P785" t="inlineStr">
        <is>
          <t>enk</t>
        </is>
      </c>
      <c r="R785" t="inlineStr">
        <is>
          <t xml:space="preserve">HM </t>
        </is>
      </c>
      <c r="S785" t="n">
        <v>9</v>
      </c>
      <c r="T785" t="n">
        <v>9</v>
      </c>
      <c r="U785" t="inlineStr">
        <is>
          <t>2007-05-01</t>
        </is>
      </c>
      <c r="V785" t="inlineStr">
        <is>
          <t>2007-05-01</t>
        </is>
      </c>
      <c r="W785" t="inlineStr">
        <is>
          <t>2001-11-08</t>
        </is>
      </c>
      <c r="X785" t="inlineStr">
        <is>
          <t>2001-11-08</t>
        </is>
      </c>
      <c r="Y785" t="n">
        <v>266</v>
      </c>
      <c r="Z785" t="n">
        <v>159</v>
      </c>
      <c r="AA785" t="n">
        <v>195</v>
      </c>
      <c r="AB785" t="n">
        <v>2</v>
      </c>
      <c r="AC785" t="n">
        <v>2</v>
      </c>
      <c r="AD785" t="n">
        <v>9</v>
      </c>
      <c r="AE785" t="n">
        <v>9</v>
      </c>
      <c r="AF785" t="n">
        <v>2</v>
      </c>
      <c r="AG785" t="n">
        <v>2</v>
      </c>
      <c r="AH785" t="n">
        <v>4</v>
      </c>
      <c r="AI785" t="n">
        <v>4</v>
      </c>
      <c r="AJ785" t="n">
        <v>4</v>
      </c>
      <c r="AK785" t="n">
        <v>4</v>
      </c>
      <c r="AL785" t="n">
        <v>1</v>
      </c>
      <c r="AM785" t="n">
        <v>1</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HYPERLINK("https://creighton-primo.hosted.exlibrisgroup.com/primo-explore/search?tab=default_tab&amp;search_scope=EVERYTHING&amp;vid=01CRU&amp;lang=en_US&amp;offset=0&amp;query=any,contains,991003640999702656","Catalog Record")</f>
        <v/>
      </c>
      <c r="AT785">
        <f>HYPERLINK("http://www.worldcat.org/oclc/44952233","WorldCat Record")</f>
        <v/>
      </c>
      <c r="AU785" t="inlineStr">
        <is>
          <t>3769206191:eng</t>
        </is>
      </c>
      <c r="AV785" t="inlineStr">
        <is>
          <t>44952233</t>
        </is>
      </c>
      <c r="AW785" t="inlineStr">
        <is>
          <t>991003640999702656</t>
        </is>
      </c>
      <c r="AX785" t="inlineStr">
        <is>
          <t>991003640999702656</t>
        </is>
      </c>
      <c r="AY785" t="inlineStr">
        <is>
          <t>2256920840002656</t>
        </is>
      </c>
      <c r="AZ785" t="inlineStr">
        <is>
          <t>BOOK</t>
        </is>
      </c>
      <c r="BB785" t="inlineStr">
        <is>
          <t>9780415217958</t>
        </is>
      </c>
      <c r="BC785" t="inlineStr">
        <is>
          <t>32285004419908</t>
        </is>
      </c>
      <c r="BD785" t="inlineStr">
        <is>
          <t>893881382</t>
        </is>
      </c>
    </row>
    <row r="786">
      <c r="A786" t="inlineStr">
        <is>
          <t>No</t>
        </is>
      </c>
      <c r="B786" t="inlineStr">
        <is>
          <t>HM671 .S653 2006</t>
        </is>
      </c>
      <c r="C786" t="inlineStr">
        <is>
          <t>0                      HM 0671000S  653         2006</t>
        </is>
      </c>
      <c r="D786" t="inlineStr">
        <is>
          <t>Social justice and communication scholarship / edited by Omar Swartz.</t>
        </is>
      </c>
      <c r="F786" t="inlineStr">
        <is>
          <t>No</t>
        </is>
      </c>
      <c r="G786" t="inlineStr">
        <is>
          <t>1</t>
        </is>
      </c>
      <c r="H786" t="inlineStr">
        <is>
          <t>No</t>
        </is>
      </c>
      <c r="I786" t="inlineStr">
        <is>
          <t>No</t>
        </is>
      </c>
      <c r="J786" t="inlineStr">
        <is>
          <t>0</t>
        </is>
      </c>
      <c r="L786" t="inlineStr">
        <is>
          <t>Mahwah, N.J. : Lawrence Erlbaum Associates, Publishers, 2006.</t>
        </is>
      </c>
      <c r="M786" t="inlineStr">
        <is>
          <t>2006</t>
        </is>
      </c>
      <c r="O786" t="inlineStr">
        <is>
          <t>eng</t>
        </is>
      </c>
      <c r="P786" t="inlineStr">
        <is>
          <t>nju</t>
        </is>
      </c>
      <c r="Q786" t="inlineStr">
        <is>
          <t>LEA's communication series</t>
        </is>
      </c>
      <c r="R786" t="inlineStr">
        <is>
          <t xml:space="preserve">HM </t>
        </is>
      </c>
      <c r="S786" t="n">
        <v>1</v>
      </c>
      <c r="T786" t="n">
        <v>1</v>
      </c>
      <c r="U786" t="inlineStr">
        <is>
          <t>2009-04-06</t>
        </is>
      </c>
      <c r="V786" t="inlineStr">
        <is>
          <t>2009-04-06</t>
        </is>
      </c>
      <c r="W786" t="inlineStr">
        <is>
          <t>2009-04-06</t>
        </is>
      </c>
      <c r="X786" t="inlineStr">
        <is>
          <t>2009-04-06</t>
        </is>
      </c>
      <c r="Y786" t="n">
        <v>292</v>
      </c>
      <c r="Z786" t="n">
        <v>245</v>
      </c>
      <c r="AA786" t="n">
        <v>269</v>
      </c>
      <c r="AB786" t="n">
        <v>2</v>
      </c>
      <c r="AC786" t="n">
        <v>2</v>
      </c>
      <c r="AD786" t="n">
        <v>16</v>
      </c>
      <c r="AE786" t="n">
        <v>17</v>
      </c>
      <c r="AF786" t="n">
        <v>9</v>
      </c>
      <c r="AG786" t="n">
        <v>9</v>
      </c>
      <c r="AH786" t="n">
        <v>4</v>
      </c>
      <c r="AI786" t="n">
        <v>4</v>
      </c>
      <c r="AJ786" t="n">
        <v>7</v>
      </c>
      <c r="AK786" t="n">
        <v>8</v>
      </c>
      <c r="AL786" t="n">
        <v>1</v>
      </c>
      <c r="AM786" t="n">
        <v>1</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HYPERLINK("https://creighton-primo.hosted.exlibrisgroup.com/primo-explore/search?tab=default_tab&amp;search_scope=EVERYTHING&amp;vid=01CRU&amp;lang=en_US&amp;offset=0&amp;query=any,contains,991005304099702656","Catalog Record")</f>
        <v/>
      </c>
      <c r="AT786">
        <f>HYPERLINK("http://www.worldcat.org/oclc/62282369","WorldCat Record")</f>
        <v/>
      </c>
      <c r="AU786" t="inlineStr">
        <is>
          <t>46666129:eng</t>
        </is>
      </c>
      <c r="AV786" t="inlineStr">
        <is>
          <t>62282369</t>
        </is>
      </c>
      <c r="AW786" t="inlineStr">
        <is>
          <t>991005304099702656</t>
        </is>
      </c>
      <c r="AX786" t="inlineStr">
        <is>
          <t>991005304099702656</t>
        </is>
      </c>
      <c r="AY786" t="inlineStr">
        <is>
          <t>2261906820002656</t>
        </is>
      </c>
      <c r="AZ786" t="inlineStr">
        <is>
          <t>BOOK</t>
        </is>
      </c>
      <c r="BB786" t="inlineStr">
        <is>
          <t>9780805854824</t>
        </is>
      </c>
      <c r="BC786" t="inlineStr">
        <is>
          <t>32285005513717</t>
        </is>
      </c>
      <c r="BD786" t="inlineStr">
        <is>
          <t>893443733</t>
        </is>
      </c>
    </row>
    <row r="787">
      <c r="A787" t="inlineStr">
        <is>
          <t>No</t>
        </is>
      </c>
      <c r="B787" t="inlineStr">
        <is>
          <t>HM671 .V36 2004</t>
        </is>
      </c>
      <c r="C787" t="inlineStr">
        <is>
          <t>0                      HM 0671000V  36          2004</t>
        </is>
      </c>
      <c r="D787" t="inlineStr">
        <is>
          <t>Confronting oppression, restoring justice : from policy analysis to social action / Katherine Van Wormer.</t>
        </is>
      </c>
      <c r="F787" t="inlineStr">
        <is>
          <t>No</t>
        </is>
      </c>
      <c r="G787" t="inlineStr">
        <is>
          <t>1</t>
        </is>
      </c>
      <c r="H787" t="inlineStr">
        <is>
          <t>No</t>
        </is>
      </c>
      <c r="I787" t="inlineStr">
        <is>
          <t>No</t>
        </is>
      </c>
      <c r="J787" t="inlineStr">
        <is>
          <t>0</t>
        </is>
      </c>
      <c r="K787" t="inlineStr">
        <is>
          <t>Van Wormer, Katherine S.</t>
        </is>
      </c>
      <c r="L787" t="inlineStr">
        <is>
          <t>Alexandria, Va. : Council on Social Work Education, c2004.</t>
        </is>
      </c>
      <c r="M787" t="inlineStr">
        <is>
          <t>2004</t>
        </is>
      </c>
      <c r="O787" t="inlineStr">
        <is>
          <t>eng</t>
        </is>
      </c>
      <c r="P787" t="inlineStr">
        <is>
          <t>vau</t>
        </is>
      </c>
      <c r="R787" t="inlineStr">
        <is>
          <t xml:space="preserve">HM </t>
        </is>
      </c>
      <c r="S787" t="n">
        <v>3</v>
      </c>
      <c r="T787" t="n">
        <v>3</v>
      </c>
      <c r="U787" t="inlineStr">
        <is>
          <t>2009-09-23</t>
        </is>
      </c>
      <c r="V787" t="inlineStr">
        <is>
          <t>2009-09-23</t>
        </is>
      </c>
      <c r="W787" t="inlineStr">
        <is>
          <t>2004-11-22</t>
        </is>
      </c>
      <c r="X787" t="inlineStr">
        <is>
          <t>2004-11-22</t>
        </is>
      </c>
      <c r="Y787" t="n">
        <v>219</v>
      </c>
      <c r="Z787" t="n">
        <v>177</v>
      </c>
      <c r="AA787" t="n">
        <v>264</v>
      </c>
      <c r="AB787" t="n">
        <v>4</v>
      </c>
      <c r="AC787" t="n">
        <v>4</v>
      </c>
      <c r="AD787" t="n">
        <v>13</v>
      </c>
      <c r="AE787" t="n">
        <v>17</v>
      </c>
      <c r="AF787" t="n">
        <v>2</v>
      </c>
      <c r="AG787" t="n">
        <v>4</v>
      </c>
      <c r="AH787" t="n">
        <v>4</v>
      </c>
      <c r="AI787" t="n">
        <v>6</v>
      </c>
      <c r="AJ787" t="n">
        <v>7</v>
      </c>
      <c r="AK787" t="n">
        <v>9</v>
      </c>
      <c r="AL787" t="n">
        <v>3</v>
      </c>
      <c r="AM787" t="n">
        <v>3</v>
      </c>
      <c r="AN787" t="n">
        <v>0</v>
      </c>
      <c r="AO787" t="n">
        <v>0</v>
      </c>
      <c r="AP787" t="inlineStr">
        <is>
          <t>No</t>
        </is>
      </c>
      <c r="AQ787" t="inlineStr">
        <is>
          <t>Yes</t>
        </is>
      </c>
      <c r="AR787">
        <f>HYPERLINK("http://catalog.hathitrust.org/Record/005022977","HathiTrust Record")</f>
        <v/>
      </c>
      <c r="AS787">
        <f>HYPERLINK("https://creighton-primo.hosted.exlibrisgroup.com/primo-explore/search?tab=default_tab&amp;search_scope=EVERYTHING&amp;vid=01CRU&amp;lang=en_US&amp;offset=0&amp;query=any,contains,991004365159702656","Catalog Record")</f>
        <v/>
      </c>
      <c r="AT787">
        <f>HYPERLINK("http://www.worldcat.org/oclc/53951227","WorldCat Record")</f>
        <v/>
      </c>
      <c r="AU787" t="inlineStr">
        <is>
          <t>476430168:eng</t>
        </is>
      </c>
      <c r="AV787" t="inlineStr">
        <is>
          <t>53951227</t>
        </is>
      </c>
      <c r="AW787" t="inlineStr">
        <is>
          <t>991004365159702656</t>
        </is>
      </c>
      <c r="AX787" t="inlineStr">
        <is>
          <t>991004365159702656</t>
        </is>
      </c>
      <c r="AY787" t="inlineStr">
        <is>
          <t>2256881610002656</t>
        </is>
      </c>
      <c r="AZ787" t="inlineStr">
        <is>
          <t>BOOK</t>
        </is>
      </c>
      <c r="BB787" t="inlineStr">
        <is>
          <t>9780872931060</t>
        </is>
      </c>
      <c r="BC787" t="inlineStr">
        <is>
          <t>32285005012272</t>
        </is>
      </c>
      <c r="BD787" t="inlineStr">
        <is>
          <t>893869632</t>
        </is>
      </c>
    </row>
    <row r="788">
      <c r="A788" t="inlineStr">
        <is>
          <t>No</t>
        </is>
      </c>
      <c r="B788" t="inlineStr">
        <is>
          <t>HM676 .A45 2003</t>
        </is>
      </c>
      <c r="C788" t="inlineStr">
        <is>
          <t>0                      HM 0676000A  45          2003</t>
        </is>
      </c>
      <c r="D788" t="inlineStr">
        <is>
          <t>Why privacy isn't everything : feminist reflections on personal accountability / Anita L. Allen.</t>
        </is>
      </c>
      <c r="F788" t="inlineStr">
        <is>
          <t>No</t>
        </is>
      </c>
      <c r="G788" t="inlineStr">
        <is>
          <t>1</t>
        </is>
      </c>
      <c r="H788" t="inlineStr">
        <is>
          <t>No</t>
        </is>
      </c>
      <c r="I788" t="inlineStr">
        <is>
          <t>No</t>
        </is>
      </c>
      <c r="J788" t="inlineStr">
        <is>
          <t>0</t>
        </is>
      </c>
      <c r="K788" t="inlineStr">
        <is>
          <t>Allen, Anita L., 1953-</t>
        </is>
      </c>
      <c r="L788" t="inlineStr">
        <is>
          <t>Lanham, Md. : Rowman &amp; Littlefield, c2003.</t>
        </is>
      </c>
      <c r="M788" t="inlineStr">
        <is>
          <t>2003</t>
        </is>
      </c>
      <c r="O788" t="inlineStr">
        <is>
          <t>eng</t>
        </is>
      </c>
      <c r="P788" t="inlineStr">
        <is>
          <t>mdu</t>
        </is>
      </c>
      <c r="Q788" t="inlineStr">
        <is>
          <t>Feminist constructions</t>
        </is>
      </c>
      <c r="R788" t="inlineStr">
        <is>
          <t xml:space="preserve">HM </t>
        </is>
      </c>
      <c r="S788" t="n">
        <v>2</v>
      </c>
      <c r="T788" t="n">
        <v>2</v>
      </c>
      <c r="U788" t="inlineStr">
        <is>
          <t>2006-11-13</t>
        </is>
      </c>
      <c r="V788" t="inlineStr">
        <is>
          <t>2006-11-13</t>
        </is>
      </c>
      <c r="W788" t="inlineStr">
        <is>
          <t>2003-12-08</t>
        </is>
      </c>
      <c r="X788" t="inlineStr">
        <is>
          <t>2003-12-08</t>
        </is>
      </c>
      <c r="Y788" t="n">
        <v>418</v>
      </c>
      <c r="Z788" t="n">
        <v>368</v>
      </c>
      <c r="AA788" t="n">
        <v>393</v>
      </c>
      <c r="AB788" t="n">
        <v>3</v>
      </c>
      <c r="AC788" t="n">
        <v>3</v>
      </c>
      <c r="AD788" t="n">
        <v>23</v>
      </c>
      <c r="AE788" t="n">
        <v>23</v>
      </c>
      <c r="AF788" t="n">
        <v>5</v>
      </c>
      <c r="AG788" t="n">
        <v>5</v>
      </c>
      <c r="AH788" t="n">
        <v>5</v>
      </c>
      <c r="AI788" t="n">
        <v>5</v>
      </c>
      <c r="AJ788" t="n">
        <v>7</v>
      </c>
      <c r="AK788" t="n">
        <v>7</v>
      </c>
      <c r="AL788" t="n">
        <v>2</v>
      </c>
      <c r="AM788" t="n">
        <v>2</v>
      </c>
      <c r="AN788" t="n">
        <v>7</v>
      </c>
      <c r="AO788" t="n">
        <v>7</v>
      </c>
      <c r="AP788" t="inlineStr">
        <is>
          <t>No</t>
        </is>
      </c>
      <c r="AQ788" t="inlineStr">
        <is>
          <t>Yes</t>
        </is>
      </c>
      <c r="AR788">
        <f>HYPERLINK("http://catalog.hathitrust.org/Record/004319829","HathiTrust Record")</f>
        <v/>
      </c>
      <c r="AS788">
        <f>HYPERLINK("https://creighton-primo.hosted.exlibrisgroup.com/primo-explore/search?tab=default_tab&amp;search_scope=EVERYTHING&amp;vid=01CRU&amp;lang=en_US&amp;offset=0&amp;query=any,contains,991004163429702656","Catalog Record")</f>
        <v/>
      </c>
      <c r="AT788">
        <f>HYPERLINK("http://www.worldcat.org/oclc/50725192","WorldCat Record")</f>
        <v/>
      </c>
      <c r="AU788" t="inlineStr">
        <is>
          <t>793344408:eng</t>
        </is>
      </c>
      <c r="AV788" t="inlineStr">
        <is>
          <t>50725192</t>
        </is>
      </c>
      <c r="AW788" t="inlineStr">
        <is>
          <t>991004163429702656</t>
        </is>
      </c>
      <c r="AX788" t="inlineStr">
        <is>
          <t>991004163429702656</t>
        </is>
      </c>
      <c r="AY788" t="inlineStr">
        <is>
          <t>2261665620002656</t>
        </is>
      </c>
      <c r="AZ788" t="inlineStr">
        <is>
          <t>BOOK</t>
        </is>
      </c>
      <c r="BB788" t="inlineStr">
        <is>
          <t>9780742514089</t>
        </is>
      </c>
      <c r="BC788" t="inlineStr">
        <is>
          <t>32285004845359</t>
        </is>
      </c>
      <c r="BD788" t="inlineStr">
        <is>
          <t>893699932</t>
        </is>
      </c>
    </row>
    <row r="789">
      <c r="A789" t="inlineStr">
        <is>
          <t>No</t>
        </is>
      </c>
      <c r="B789" t="inlineStr">
        <is>
          <t>HM681 .E54 2007</t>
        </is>
      </c>
      <c r="C789" t="inlineStr">
        <is>
          <t>0                      HM 0681000E  54          2007</t>
        </is>
      </c>
      <c r="D789" t="inlineStr">
        <is>
          <t>The heart of justice : care ethics and political theory / Daniel Engster.</t>
        </is>
      </c>
      <c r="F789" t="inlineStr">
        <is>
          <t>No</t>
        </is>
      </c>
      <c r="G789" t="inlineStr">
        <is>
          <t>1</t>
        </is>
      </c>
      <c r="H789" t="inlineStr">
        <is>
          <t>No</t>
        </is>
      </c>
      <c r="I789" t="inlineStr">
        <is>
          <t>No</t>
        </is>
      </c>
      <c r="J789" t="inlineStr">
        <is>
          <t>0</t>
        </is>
      </c>
      <c r="K789" t="inlineStr">
        <is>
          <t>Engster, Daniel.</t>
        </is>
      </c>
      <c r="L789" t="inlineStr">
        <is>
          <t>Oxford ; New York : Oxford University Press, 2007.</t>
        </is>
      </c>
      <c r="M789" t="inlineStr">
        <is>
          <t>2007</t>
        </is>
      </c>
      <c r="O789" t="inlineStr">
        <is>
          <t>eng</t>
        </is>
      </c>
      <c r="P789" t="inlineStr">
        <is>
          <t>enk</t>
        </is>
      </c>
      <c r="R789" t="inlineStr">
        <is>
          <t xml:space="preserve">HM </t>
        </is>
      </c>
      <c r="S789" t="n">
        <v>2</v>
      </c>
      <c r="T789" t="n">
        <v>2</v>
      </c>
      <c r="U789" t="inlineStr">
        <is>
          <t>2009-03-06</t>
        </is>
      </c>
      <c r="V789" t="inlineStr">
        <is>
          <t>2009-03-06</t>
        </is>
      </c>
      <c r="W789" t="inlineStr">
        <is>
          <t>2009-02-17</t>
        </is>
      </c>
      <c r="X789" t="inlineStr">
        <is>
          <t>2009-02-17</t>
        </is>
      </c>
      <c r="Y789" t="n">
        <v>294</v>
      </c>
      <c r="Z789" t="n">
        <v>241</v>
      </c>
      <c r="AA789" t="n">
        <v>322</v>
      </c>
      <c r="AB789" t="n">
        <v>1</v>
      </c>
      <c r="AC789" t="n">
        <v>1</v>
      </c>
      <c r="AD789" t="n">
        <v>14</v>
      </c>
      <c r="AE789" t="n">
        <v>19</v>
      </c>
      <c r="AF789" t="n">
        <v>6</v>
      </c>
      <c r="AG789" t="n">
        <v>7</v>
      </c>
      <c r="AH789" t="n">
        <v>4</v>
      </c>
      <c r="AI789" t="n">
        <v>8</v>
      </c>
      <c r="AJ789" t="n">
        <v>7</v>
      </c>
      <c r="AK789" t="n">
        <v>9</v>
      </c>
      <c r="AL789" t="n">
        <v>0</v>
      </c>
      <c r="AM789" t="n">
        <v>0</v>
      </c>
      <c r="AN789" t="n">
        <v>0</v>
      </c>
      <c r="AO789" t="n">
        <v>0</v>
      </c>
      <c r="AP789" t="inlineStr">
        <is>
          <t>No</t>
        </is>
      </c>
      <c r="AQ789" t="inlineStr">
        <is>
          <t>Yes</t>
        </is>
      </c>
      <c r="AR789">
        <f>HYPERLINK("http://catalog.hathitrust.org/Record/005565268","HathiTrust Record")</f>
        <v/>
      </c>
      <c r="AS789">
        <f>HYPERLINK("https://creighton-primo.hosted.exlibrisgroup.com/primo-explore/search?tab=default_tab&amp;search_scope=EVERYTHING&amp;vid=01CRU&amp;lang=en_US&amp;offset=0&amp;query=any,contains,991005292499702656","Catalog Record")</f>
        <v/>
      </c>
      <c r="AT789">
        <f>HYPERLINK("http://www.worldcat.org/oclc/77520611","WorldCat Record")</f>
        <v/>
      </c>
      <c r="AU789" t="inlineStr">
        <is>
          <t>235124339:eng</t>
        </is>
      </c>
      <c r="AV789" t="inlineStr">
        <is>
          <t>77520611</t>
        </is>
      </c>
      <c r="AW789" t="inlineStr">
        <is>
          <t>991005292499702656</t>
        </is>
      </c>
      <c r="AX789" t="inlineStr">
        <is>
          <t>991005292499702656</t>
        </is>
      </c>
      <c r="AY789" t="inlineStr">
        <is>
          <t>2264846160002656</t>
        </is>
      </c>
      <c r="AZ789" t="inlineStr">
        <is>
          <t>BOOK</t>
        </is>
      </c>
      <c r="BB789" t="inlineStr">
        <is>
          <t>9780199214358</t>
        </is>
      </c>
      <c r="BC789" t="inlineStr">
        <is>
          <t>32285005504658</t>
        </is>
      </c>
      <c r="BD789" t="inlineStr">
        <is>
          <t>893437481</t>
        </is>
      </c>
    </row>
    <row r="790">
      <c r="A790" t="inlineStr">
        <is>
          <t>No</t>
        </is>
      </c>
      <c r="B790" t="inlineStr">
        <is>
          <t>HM681 .G55 2006</t>
        </is>
      </c>
      <c r="C790" t="inlineStr">
        <is>
          <t>0                      HM 0681000G  55          2006</t>
        </is>
      </c>
      <c r="D790" t="inlineStr">
        <is>
          <t>Global values 101 : a short course / edited by Kate Holbrook ... [et al.].</t>
        </is>
      </c>
      <c r="F790" t="inlineStr">
        <is>
          <t>No</t>
        </is>
      </c>
      <c r="G790" t="inlineStr">
        <is>
          <t>1</t>
        </is>
      </c>
      <c r="H790" t="inlineStr">
        <is>
          <t>No</t>
        </is>
      </c>
      <c r="I790" t="inlineStr">
        <is>
          <t>No</t>
        </is>
      </c>
      <c r="J790" t="inlineStr">
        <is>
          <t>0</t>
        </is>
      </c>
      <c r="L790" t="inlineStr">
        <is>
          <t>Boston : Beacon Press, c2006.</t>
        </is>
      </c>
      <c r="M790" t="inlineStr">
        <is>
          <t>2006</t>
        </is>
      </c>
      <c r="O790" t="inlineStr">
        <is>
          <t>eng</t>
        </is>
      </c>
      <c r="P790" t="inlineStr">
        <is>
          <t>mau</t>
        </is>
      </c>
      <c r="R790" t="inlineStr">
        <is>
          <t xml:space="preserve">HM </t>
        </is>
      </c>
      <c r="S790" t="n">
        <v>1</v>
      </c>
      <c r="T790" t="n">
        <v>1</v>
      </c>
      <c r="U790" t="inlineStr">
        <is>
          <t>2006-02-14</t>
        </is>
      </c>
      <c r="V790" t="inlineStr">
        <is>
          <t>2006-02-14</t>
        </is>
      </c>
      <c r="W790" t="inlineStr">
        <is>
          <t>2006-02-03</t>
        </is>
      </c>
      <c r="X790" t="inlineStr">
        <is>
          <t>2006-02-03</t>
        </is>
      </c>
      <c r="Y790" t="n">
        <v>541</v>
      </c>
      <c r="Z790" t="n">
        <v>508</v>
      </c>
      <c r="AA790" t="n">
        <v>902</v>
      </c>
      <c r="AB790" t="n">
        <v>4</v>
      </c>
      <c r="AC790" t="n">
        <v>7</v>
      </c>
      <c r="AD790" t="n">
        <v>13</v>
      </c>
      <c r="AE790" t="n">
        <v>30</v>
      </c>
      <c r="AF790" t="n">
        <v>4</v>
      </c>
      <c r="AG790" t="n">
        <v>11</v>
      </c>
      <c r="AH790" t="n">
        <v>2</v>
      </c>
      <c r="AI790" t="n">
        <v>6</v>
      </c>
      <c r="AJ790" t="n">
        <v>6</v>
      </c>
      <c r="AK790" t="n">
        <v>10</v>
      </c>
      <c r="AL790" t="n">
        <v>3</v>
      </c>
      <c r="AM790" t="n">
        <v>6</v>
      </c>
      <c r="AN790" t="n">
        <v>0</v>
      </c>
      <c r="AO790" t="n">
        <v>1</v>
      </c>
      <c r="AP790" t="inlineStr">
        <is>
          <t>No</t>
        </is>
      </c>
      <c r="AQ790" t="inlineStr">
        <is>
          <t>No</t>
        </is>
      </c>
      <c r="AS790">
        <f>HYPERLINK("https://creighton-primo.hosted.exlibrisgroup.com/primo-explore/search?tab=default_tab&amp;search_scope=EVERYTHING&amp;vid=01CRU&amp;lang=en_US&amp;offset=0&amp;query=any,contains,991004732429702656","Catalog Record")</f>
        <v/>
      </c>
      <c r="AT790">
        <f>HYPERLINK("http://www.worldcat.org/oclc/60419459","WorldCat Record")</f>
        <v/>
      </c>
      <c r="AU790" t="inlineStr">
        <is>
          <t>794159384:eng</t>
        </is>
      </c>
      <c r="AV790" t="inlineStr">
        <is>
          <t>60419459</t>
        </is>
      </c>
      <c r="AW790" t="inlineStr">
        <is>
          <t>991004732429702656</t>
        </is>
      </c>
      <c r="AX790" t="inlineStr">
        <is>
          <t>991004732429702656</t>
        </is>
      </c>
      <c r="AY790" t="inlineStr">
        <is>
          <t>2263232400002656</t>
        </is>
      </c>
      <c r="AZ790" t="inlineStr">
        <is>
          <t>BOOK</t>
        </is>
      </c>
      <c r="BB790" t="inlineStr">
        <is>
          <t>9780807003053</t>
        </is>
      </c>
      <c r="BC790" t="inlineStr">
        <is>
          <t>32285005158612</t>
        </is>
      </c>
      <c r="BD790" t="inlineStr">
        <is>
          <t>893807403</t>
        </is>
      </c>
    </row>
    <row r="791">
      <c r="A791" t="inlineStr">
        <is>
          <t>No</t>
        </is>
      </c>
      <c r="B791" t="inlineStr">
        <is>
          <t>HM681 .R45 2001</t>
        </is>
      </c>
      <c r="C791" t="inlineStr">
        <is>
          <t>0                      HM 0681000R  45          2001</t>
        </is>
      </c>
      <c r="D791" t="inlineStr">
        <is>
          <t>The values connection / A. James Reichley.</t>
        </is>
      </c>
      <c r="F791" t="inlineStr">
        <is>
          <t>No</t>
        </is>
      </c>
      <c r="G791" t="inlineStr">
        <is>
          <t>1</t>
        </is>
      </c>
      <c r="H791" t="inlineStr">
        <is>
          <t>No</t>
        </is>
      </c>
      <c r="I791" t="inlineStr">
        <is>
          <t>No</t>
        </is>
      </c>
      <c r="J791" t="inlineStr">
        <is>
          <t>0</t>
        </is>
      </c>
      <c r="K791" t="inlineStr">
        <is>
          <t>Reichley, James.</t>
        </is>
      </c>
      <c r="L791" t="inlineStr">
        <is>
          <t>Lanham, Md. : Rowman &amp; Littlefield Publishers, c2001.</t>
        </is>
      </c>
      <c r="M791" t="inlineStr">
        <is>
          <t>2001</t>
        </is>
      </c>
      <c r="O791" t="inlineStr">
        <is>
          <t>eng</t>
        </is>
      </c>
      <c r="P791" t="inlineStr">
        <is>
          <t>mdu</t>
        </is>
      </c>
      <c r="R791" t="inlineStr">
        <is>
          <t xml:space="preserve">HM </t>
        </is>
      </c>
      <c r="S791" t="n">
        <v>1</v>
      </c>
      <c r="T791" t="n">
        <v>1</v>
      </c>
      <c r="U791" t="inlineStr">
        <is>
          <t>2001-10-17</t>
        </is>
      </c>
      <c r="V791" t="inlineStr">
        <is>
          <t>2001-10-17</t>
        </is>
      </c>
      <c r="W791" t="inlineStr">
        <is>
          <t>2001-10-17</t>
        </is>
      </c>
      <c r="X791" t="inlineStr">
        <is>
          <t>2001-10-17</t>
        </is>
      </c>
      <c r="Y791" t="n">
        <v>313</v>
      </c>
      <c r="Z791" t="n">
        <v>292</v>
      </c>
      <c r="AA791" t="n">
        <v>303</v>
      </c>
      <c r="AB791" t="n">
        <v>3</v>
      </c>
      <c r="AC791" t="n">
        <v>3</v>
      </c>
      <c r="AD791" t="n">
        <v>20</v>
      </c>
      <c r="AE791" t="n">
        <v>21</v>
      </c>
      <c r="AF791" t="n">
        <v>8</v>
      </c>
      <c r="AG791" t="n">
        <v>9</v>
      </c>
      <c r="AH791" t="n">
        <v>7</v>
      </c>
      <c r="AI791" t="n">
        <v>7</v>
      </c>
      <c r="AJ791" t="n">
        <v>9</v>
      </c>
      <c r="AK791" t="n">
        <v>9</v>
      </c>
      <c r="AL791" t="n">
        <v>2</v>
      </c>
      <c r="AM791" t="n">
        <v>2</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HYPERLINK("https://creighton-primo.hosted.exlibrisgroup.com/primo-explore/search?tab=default_tab&amp;search_scope=EVERYTHING&amp;vid=01CRU&amp;lang=en_US&amp;offset=0&amp;query=any,contains,991003621039702656","Catalog Record")</f>
        <v/>
      </c>
      <c r="AT791">
        <f>HYPERLINK("http://www.worldcat.org/oclc/44818598","WorldCat Record")</f>
        <v/>
      </c>
      <c r="AU791" t="inlineStr">
        <is>
          <t>34280281:eng</t>
        </is>
      </c>
      <c r="AV791" t="inlineStr">
        <is>
          <t>44818598</t>
        </is>
      </c>
      <c r="AW791" t="inlineStr">
        <is>
          <t>991003621039702656</t>
        </is>
      </c>
      <c r="AX791" t="inlineStr">
        <is>
          <t>991003621039702656</t>
        </is>
      </c>
      <c r="AY791" t="inlineStr">
        <is>
          <t>2254760530002656</t>
        </is>
      </c>
      <c r="AZ791" t="inlineStr">
        <is>
          <t>BOOK</t>
        </is>
      </c>
      <c r="BB791" t="inlineStr">
        <is>
          <t>9780742509153</t>
        </is>
      </c>
      <c r="BC791" t="inlineStr">
        <is>
          <t>32285004397732</t>
        </is>
      </c>
      <c r="BD791" t="inlineStr">
        <is>
          <t>893518680</t>
        </is>
      </c>
    </row>
    <row r="792">
      <c r="A792" t="inlineStr">
        <is>
          <t>No</t>
        </is>
      </c>
      <c r="B792" t="inlineStr">
        <is>
          <t>HM701 .W45 2000</t>
        </is>
      </c>
      <c r="C792" t="inlineStr">
        <is>
          <t>0                      HM 0701000W  45          2000</t>
        </is>
      </c>
      <c r="D792" t="inlineStr">
        <is>
          <t>A social ontology / David Weissman.</t>
        </is>
      </c>
      <c r="F792" t="inlineStr">
        <is>
          <t>No</t>
        </is>
      </c>
      <c r="G792" t="inlineStr">
        <is>
          <t>1</t>
        </is>
      </c>
      <c r="H792" t="inlineStr">
        <is>
          <t>No</t>
        </is>
      </c>
      <c r="I792" t="inlineStr">
        <is>
          <t>No</t>
        </is>
      </c>
      <c r="J792" t="inlineStr">
        <is>
          <t>0</t>
        </is>
      </c>
      <c r="K792" t="inlineStr">
        <is>
          <t>Weissman, David, 1936-</t>
        </is>
      </c>
      <c r="L792" t="inlineStr">
        <is>
          <t>New Haven : Yale University Press, c2000.</t>
        </is>
      </c>
      <c r="M792" t="inlineStr">
        <is>
          <t>2000</t>
        </is>
      </c>
      <c r="O792" t="inlineStr">
        <is>
          <t>eng</t>
        </is>
      </c>
      <c r="P792" t="inlineStr">
        <is>
          <t>ctu</t>
        </is>
      </c>
      <c r="R792" t="inlineStr">
        <is>
          <t xml:space="preserve">HM </t>
        </is>
      </c>
      <c r="S792" t="n">
        <v>3</v>
      </c>
      <c r="T792" t="n">
        <v>3</v>
      </c>
      <c r="U792" t="inlineStr">
        <is>
          <t>2003-12-23</t>
        </is>
      </c>
      <c r="V792" t="inlineStr">
        <is>
          <t>2003-12-23</t>
        </is>
      </c>
      <c r="W792" t="inlineStr">
        <is>
          <t>2000-11-30</t>
        </is>
      </c>
      <c r="X792" t="inlineStr">
        <is>
          <t>2000-11-30</t>
        </is>
      </c>
      <c r="Y792" t="n">
        <v>312</v>
      </c>
      <c r="Z792" t="n">
        <v>248</v>
      </c>
      <c r="AA792" t="n">
        <v>434</v>
      </c>
      <c r="AB792" t="n">
        <v>1</v>
      </c>
      <c r="AC792" t="n">
        <v>1</v>
      </c>
      <c r="AD792" t="n">
        <v>15</v>
      </c>
      <c r="AE792" t="n">
        <v>25</v>
      </c>
      <c r="AF792" t="n">
        <v>4</v>
      </c>
      <c r="AG792" t="n">
        <v>10</v>
      </c>
      <c r="AH792" t="n">
        <v>6</v>
      </c>
      <c r="AI792" t="n">
        <v>8</v>
      </c>
      <c r="AJ792" t="n">
        <v>9</v>
      </c>
      <c r="AK792" t="n">
        <v>14</v>
      </c>
      <c r="AL792" t="n">
        <v>0</v>
      </c>
      <c r="AM792" t="n">
        <v>0</v>
      </c>
      <c r="AN792" t="n">
        <v>1</v>
      </c>
      <c r="AO792" t="n">
        <v>1</v>
      </c>
      <c r="AP792" t="inlineStr">
        <is>
          <t>No</t>
        </is>
      </c>
      <c r="AQ792" t="inlineStr">
        <is>
          <t>No</t>
        </is>
      </c>
      <c r="AS792">
        <f>HYPERLINK("https://creighton-primo.hosted.exlibrisgroup.com/primo-explore/search?tab=default_tab&amp;search_scope=EVERYTHING&amp;vid=01CRU&amp;lang=en_US&amp;offset=0&amp;query=any,contains,991003358149702656","Catalog Record")</f>
        <v/>
      </c>
      <c r="AT792">
        <f>HYPERLINK("http://www.worldcat.org/oclc/41516435","WorldCat Record")</f>
        <v/>
      </c>
      <c r="AU792" t="inlineStr">
        <is>
          <t>20641181:eng</t>
        </is>
      </c>
      <c r="AV792" t="inlineStr">
        <is>
          <t>41516435</t>
        </is>
      </c>
      <c r="AW792" t="inlineStr">
        <is>
          <t>991003358149702656</t>
        </is>
      </c>
      <c r="AX792" t="inlineStr">
        <is>
          <t>991003358149702656</t>
        </is>
      </c>
      <c r="AY792" t="inlineStr">
        <is>
          <t>2257846160002656</t>
        </is>
      </c>
      <c r="AZ792" t="inlineStr">
        <is>
          <t>BOOK</t>
        </is>
      </c>
      <c r="BB792" t="inlineStr">
        <is>
          <t>9780300079036</t>
        </is>
      </c>
      <c r="BC792" t="inlineStr">
        <is>
          <t>32285004268412</t>
        </is>
      </c>
      <c r="BD792" t="inlineStr">
        <is>
          <t>893258353</t>
        </is>
      </c>
    </row>
    <row r="793">
      <c r="A793" t="inlineStr">
        <is>
          <t>No</t>
        </is>
      </c>
      <c r="B793" t="inlineStr">
        <is>
          <t>HM708 .D46 2002</t>
        </is>
      </c>
      <c r="C793" t="inlineStr">
        <is>
          <t>0                      HM 0708000D  46          2002</t>
        </is>
      </c>
      <c r="D793" t="inlineStr">
        <is>
          <t>Democracies in flux : the evolution of social capital in contemporary society / edited by Robert D. Putnam.</t>
        </is>
      </c>
      <c r="F793" t="inlineStr">
        <is>
          <t>No</t>
        </is>
      </c>
      <c r="G793" t="inlineStr">
        <is>
          <t>1</t>
        </is>
      </c>
      <c r="H793" t="inlineStr">
        <is>
          <t>No</t>
        </is>
      </c>
      <c r="I793" t="inlineStr">
        <is>
          <t>No</t>
        </is>
      </c>
      <c r="J793" t="inlineStr">
        <is>
          <t>0</t>
        </is>
      </c>
      <c r="L793" t="inlineStr">
        <is>
          <t>Oxford ; New York : Oxford University Press, 2002.</t>
        </is>
      </c>
      <c r="M793" t="inlineStr">
        <is>
          <t>2002</t>
        </is>
      </c>
      <c r="O793" t="inlineStr">
        <is>
          <t>eng</t>
        </is>
      </c>
      <c r="P793" t="inlineStr">
        <is>
          <t>nyu</t>
        </is>
      </c>
      <c r="R793" t="inlineStr">
        <is>
          <t xml:space="preserve">HM </t>
        </is>
      </c>
      <c r="S793" t="n">
        <v>4</v>
      </c>
      <c r="T793" t="n">
        <v>4</v>
      </c>
      <c r="U793" t="inlineStr">
        <is>
          <t>2008-03-06</t>
        </is>
      </c>
      <c r="V793" t="inlineStr">
        <is>
          <t>2008-03-06</t>
        </is>
      </c>
      <c r="W793" t="inlineStr">
        <is>
          <t>2003-01-06</t>
        </is>
      </c>
      <c r="X793" t="inlineStr">
        <is>
          <t>2003-01-06</t>
        </is>
      </c>
      <c r="Y793" t="n">
        <v>649</v>
      </c>
      <c r="Z793" t="n">
        <v>485</v>
      </c>
      <c r="AA793" t="n">
        <v>868</v>
      </c>
      <c r="AB793" t="n">
        <v>6</v>
      </c>
      <c r="AC793" t="n">
        <v>9</v>
      </c>
      <c r="AD793" t="n">
        <v>31</v>
      </c>
      <c r="AE793" t="n">
        <v>43</v>
      </c>
      <c r="AF793" t="n">
        <v>13</v>
      </c>
      <c r="AG793" t="n">
        <v>16</v>
      </c>
      <c r="AH793" t="n">
        <v>9</v>
      </c>
      <c r="AI793" t="n">
        <v>10</v>
      </c>
      <c r="AJ793" t="n">
        <v>14</v>
      </c>
      <c r="AK793" t="n">
        <v>18</v>
      </c>
      <c r="AL793" t="n">
        <v>5</v>
      </c>
      <c r="AM793" t="n">
        <v>8</v>
      </c>
      <c r="AN793" t="n">
        <v>0</v>
      </c>
      <c r="AO793" t="n">
        <v>1</v>
      </c>
      <c r="AP793" t="inlineStr">
        <is>
          <t>No</t>
        </is>
      </c>
      <c r="AQ793" t="inlineStr">
        <is>
          <t>No</t>
        </is>
      </c>
      <c r="AS793">
        <f>HYPERLINK("https://creighton-primo.hosted.exlibrisgroup.com/primo-explore/search?tab=default_tab&amp;search_scope=EVERYTHING&amp;vid=01CRU&amp;lang=en_US&amp;offset=0&amp;query=any,contains,991003957799702656","Catalog Record")</f>
        <v/>
      </c>
      <c r="AT793">
        <f>HYPERLINK("http://www.worldcat.org/oclc/47927699","WorldCat Record")</f>
        <v/>
      </c>
      <c r="AU793" t="inlineStr">
        <is>
          <t>1044593691:eng</t>
        </is>
      </c>
      <c r="AV793" t="inlineStr">
        <is>
          <t>47927699</t>
        </is>
      </c>
      <c r="AW793" t="inlineStr">
        <is>
          <t>991003957799702656</t>
        </is>
      </c>
      <c r="AX793" t="inlineStr">
        <is>
          <t>991003957799702656</t>
        </is>
      </c>
      <c r="AY793" t="inlineStr">
        <is>
          <t>2268229630002656</t>
        </is>
      </c>
      <c r="AZ793" t="inlineStr">
        <is>
          <t>BOOK</t>
        </is>
      </c>
      <c r="BB793" t="inlineStr">
        <is>
          <t>9780195150896</t>
        </is>
      </c>
      <c r="BC793" t="inlineStr">
        <is>
          <t>32285004691712</t>
        </is>
      </c>
      <c r="BD793" t="inlineStr">
        <is>
          <t>893435709</t>
        </is>
      </c>
    </row>
    <row r="794">
      <c r="A794" t="inlineStr">
        <is>
          <t>No</t>
        </is>
      </c>
      <c r="B794" t="inlineStr">
        <is>
          <t>HM711 .O73 2009</t>
        </is>
      </c>
      <c r="C794" t="inlineStr">
        <is>
          <t>0                      HM 0711000O  73          2009</t>
        </is>
      </c>
      <c r="D794" t="inlineStr">
        <is>
          <t>Organizational ethnography : studying the complexities of everyday life / edited by Sierk Ybema ... [et al.].</t>
        </is>
      </c>
      <c r="F794" t="inlineStr">
        <is>
          <t>No</t>
        </is>
      </c>
      <c r="G794" t="inlineStr">
        <is>
          <t>1</t>
        </is>
      </c>
      <c r="H794" t="inlineStr">
        <is>
          <t>No</t>
        </is>
      </c>
      <c r="I794" t="inlineStr">
        <is>
          <t>No</t>
        </is>
      </c>
      <c r="J794" t="inlineStr">
        <is>
          <t>0</t>
        </is>
      </c>
      <c r="L794" t="inlineStr">
        <is>
          <t>Los Angeles ; London : SAGE, 2009.</t>
        </is>
      </c>
      <c r="M794" t="inlineStr">
        <is>
          <t>2009</t>
        </is>
      </c>
      <c r="O794" t="inlineStr">
        <is>
          <t>eng</t>
        </is>
      </c>
      <c r="P794" t="inlineStr">
        <is>
          <t>cau</t>
        </is>
      </c>
      <c r="R794" t="inlineStr">
        <is>
          <t xml:space="preserve">HM </t>
        </is>
      </c>
      <c r="S794" t="n">
        <v>2</v>
      </c>
      <c r="T794" t="n">
        <v>2</v>
      </c>
      <c r="U794" t="inlineStr">
        <is>
          <t>2010-07-19</t>
        </is>
      </c>
      <c r="V794" t="inlineStr">
        <is>
          <t>2010-07-19</t>
        </is>
      </c>
      <c r="W794" t="inlineStr">
        <is>
          <t>2010-07-19</t>
        </is>
      </c>
      <c r="X794" t="inlineStr">
        <is>
          <t>2010-07-19</t>
        </is>
      </c>
      <c r="Y794" t="n">
        <v>354</v>
      </c>
      <c r="Z794" t="n">
        <v>226</v>
      </c>
      <c r="AA794" t="n">
        <v>621</v>
      </c>
      <c r="AB794" t="n">
        <v>3</v>
      </c>
      <c r="AC794" t="n">
        <v>5</v>
      </c>
      <c r="AD794" t="n">
        <v>17</v>
      </c>
      <c r="AE794" t="n">
        <v>24</v>
      </c>
      <c r="AF794" t="n">
        <v>7</v>
      </c>
      <c r="AG794" t="n">
        <v>9</v>
      </c>
      <c r="AH794" t="n">
        <v>3</v>
      </c>
      <c r="AI794" t="n">
        <v>4</v>
      </c>
      <c r="AJ794" t="n">
        <v>10</v>
      </c>
      <c r="AK794" t="n">
        <v>13</v>
      </c>
      <c r="AL794" t="n">
        <v>2</v>
      </c>
      <c r="AM794" t="n">
        <v>4</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HYPERLINK("https://creighton-primo.hosted.exlibrisgroup.com/primo-explore/search?tab=default_tab&amp;search_scope=EVERYTHING&amp;vid=01CRU&amp;lang=en_US&amp;offset=0&amp;query=any,contains,991000023659702656","Catalog Record")</f>
        <v/>
      </c>
      <c r="AT794">
        <f>HYPERLINK("http://www.worldcat.org/oclc/271774620","WorldCat Record")</f>
        <v/>
      </c>
      <c r="AU794" t="inlineStr">
        <is>
          <t>825764032:eng</t>
        </is>
      </c>
      <c r="AV794" t="inlineStr">
        <is>
          <t>271774620</t>
        </is>
      </c>
      <c r="AW794" t="inlineStr">
        <is>
          <t>991000023659702656</t>
        </is>
      </c>
      <c r="AX794" t="inlineStr">
        <is>
          <t>991000023659702656</t>
        </is>
      </c>
      <c r="AY794" t="inlineStr">
        <is>
          <t>2263950870002656</t>
        </is>
      </c>
      <c r="AZ794" t="inlineStr">
        <is>
          <t>BOOK</t>
        </is>
      </c>
      <c r="BB794" t="inlineStr">
        <is>
          <t>9781847870452</t>
        </is>
      </c>
      <c r="BC794" t="inlineStr">
        <is>
          <t>32285005590947</t>
        </is>
      </c>
      <c r="BD794" t="inlineStr">
        <is>
          <t>893521322</t>
        </is>
      </c>
    </row>
    <row r="795">
      <c r="A795" t="inlineStr">
        <is>
          <t>No</t>
        </is>
      </c>
      <c r="B795" t="inlineStr">
        <is>
          <t>HM716 .B73 2005</t>
        </is>
      </c>
      <c r="C795" t="inlineStr">
        <is>
          <t>0                      HM 0716000B  73          2005</t>
        </is>
      </c>
      <c r="D795" t="inlineStr">
        <is>
          <t>Social space and governance in urban China : the danwei system from origins to reform / David Bray.</t>
        </is>
      </c>
      <c r="F795" t="inlineStr">
        <is>
          <t>No</t>
        </is>
      </c>
      <c r="G795" t="inlineStr">
        <is>
          <t>1</t>
        </is>
      </c>
      <c r="H795" t="inlineStr">
        <is>
          <t>No</t>
        </is>
      </c>
      <c r="I795" t="inlineStr">
        <is>
          <t>No</t>
        </is>
      </c>
      <c r="J795" t="inlineStr">
        <is>
          <t>0</t>
        </is>
      </c>
      <c r="K795" t="inlineStr">
        <is>
          <t>Bray, David, 1965-</t>
        </is>
      </c>
      <c r="L795" t="inlineStr">
        <is>
          <t>Stanford, Calif. : Stanford University Press, c2005.</t>
        </is>
      </c>
      <c r="M795" t="inlineStr">
        <is>
          <t>2005</t>
        </is>
      </c>
      <c r="O795" t="inlineStr">
        <is>
          <t>eng</t>
        </is>
      </c>
      <c r="P795" t="inlineStr">
        <is>
          <t>cau</t>
        </is>
      </c>
      <c r="R795" t="inlineStr">
        <is>
          <t xml:space="preserve">HM </t>
        </is>
      </c>
      <c r="S795" t="n">
        <v>1</v>
      </c>
      <c r="T795" t="n">
        <v>1</v>
      </c>
      <c r="U795" t="inlineStr">
        <is>
          <t>2005-09-20</t>
        </is>
      </c>
      <c r="V795" t="inlineStr">
        <is>
          <t>2005-09-20</t>
        </is>
      </c>
      <c r="W795" t="inlineStr">
        <is>
          <t>2005-09-20</t>
        </is>
      </c>
      <c r="X795" t="inlineStr">
        <is>
          <t>2005-09-20</t>
        </is>
      </c>
      <c r="Y795" t="n">
        <v>305</v>
      </c>
      <c r="Z795" t="n">
        <v>214</v>
      </c>
      <c r="AA795" t="n">
        <v>214</v>
      </c>
      <c r="AB795" t="n">
        <v>1</v>
      </c>
      <c r="AC795" t="n">
        <v>1</v>
      </c>
      <c r="AD795" t="n">
        <v>9</v>
      </c>
      <c r="AE795" t="n">
        <v>9</v>
      </c>
      <c r="AF795" t="n">
        <v>4</v>
      </c>
      <c r="AG795" t="n">
        <v>4</v>
      </c>
      <c r="AH795" t="n">
        <v>3</v>
      </c>
      <c r="AI795" t="n">
        <v>3</v>
      </c>
      <c r="AJ795" t="n">
        <v>5</v>
      </c>
      <c r="AK795" t="n">
        <v>5</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HYPERLINK("https://creighton-primo.hosted.exlibrisgroup.com/primo-explore/search?tab=default_tab&amp;search_scope=EVERYTHING&amp;vid=01CRU&amp;lang=en_US&amp;offset=0&amp;query=any,contains,991004642479702656","Catalog Record")</f>
        <v/>
      </c>
      <c r="AT795">
        <f>HYPERLINK("http://www.worldcat.org/oclc/55681975","WorldCat Record")</f>
        <v/>
      </c>
      <c r="AU795" t="inlineStr">
        <is>
          <t>1000661:eng</t>
        </is>
      </c>
      <c r="AV795" t="inlineStr">
        <is>
          <t>55681975</t>
        </is>
      </c>
      <c r="AW795" t="inlineStr">
        <is>
          <t>991004642479702656</t>
        </is>
      </c>
      <c r="AX795" t="inlineStr">
        <is>
          <t>991004642479702656</t>
        </is>
      </c>
      <c r="AY795" t="inlineStr">
        <is>
          <t>2271295410002656</t>
        </is>
      </c>
      <c r="AZ795" t="inlineStr">
        <is>
          <t>BOOK</t>
        </is>
      </c>
      <c r="BB795" t="inlineStr">
        <is>
          <t>9780804750387</t>
        </is>
      </c>
      <c r="BC795" t="inlineStr">
        <is>
          <t>32285005084479</t>
        </is>
      </c>
      <c r="BD795" t="inlineStr">
        <is>
          <t>893722532</t>
        </is>
      </c>
    </row>
    <row r="796">
      <c r="A796" t="inlineStr">
        <is>
          <t>No</t>
        </is>
      </c>
      <c r="B796" t="inlineStr">
        <is>
          <t>HM717 .B7813 2005</t>
        </is>
      </c>
      <c r="C796" t="inlineStr">
        <is>
          <t>0                      HM 0717000B  7813        2005</t>
        </is>
      </c>
      <c r="D796" t="inlineStr">
        <is>
          <t>Solidarity : from civic friendship to a global legal community / Hauke Brunkhorst ; translated by Jeffrey Flynn.</t>
        </is>
      </c>
      <c r="F796" t="inlineStr">
        <is>
          <t>No</t>
        </is>
      </c>
      <c r="G796" t="inlineStr">
        <is>
          <t>1</t>
        </is>
      </c>
      <c r="H796" t="inlineStr">
        <is>
          <t>No</t>
        </is>
      </c>
      <c r="I796" t="inlineStr">
        <is>
          <t>No</t>
        </is>
      </c>
      <c r="J796" t="inlineStr">
        <is>
          <t>0</t>
        </is>
      </c>
      <c r="K796" t="inlineStr">
        <is>
          <t>Brunkhorst, Hauke.</t>
        </is>
      </c>
      <c r="L796" t="inlineStr">
        <is>
          <t>Cambridge, Mass. : MIT Press, c2005.</t>
        </is>
      </c>
      <c r="M796" t="inlineStr">
        <is>
          <t>2005</t>
        </is>
      </c>
      <c r="O796" t="inlineStr">
        <is>
          <t>eng</t>
        </is>
      </c>
      <c r="P796" t="inlineStr">
        <is>
          <t>mau</t>
        </is>
      </c>
      <c r="Q796" t="inlineStr">
        <is>
          <t>Studies in contemporary German social thought</t>
        </is>
      </c>
      <c r="R796" t="inlineStr">
        <is>
          <t xml:space="preserve">HM </t>
        </is>
      </c>
      <c r="S796" t="n">
        <v>2</v>
      </c>
      <c r="T796" t="n">
        <v>2</v>
      </c>
      <c r="U796" t="inlineStr">
        <is>
          <t>2006-10-03</t>
        </is>
      </c>
      <c r="V796" t="inlineStr">
        <is>
          <t>2006-10-03</t>
        </is>
      </c>
      <c r="W796" t="inlineStr">
        <is>
          <t>2006-10-03</t>
        </is>
      </c>
      <c r="X796" t="inlineStr">
        <is>
          <t>2006-10-03</t>
        </is>
      </c>
      <c r="Y796" t="n">
        <v>263</v>
      </c>
      <c r="Z796" t="n">
        <v>191</v>
      </c>
      <c r="AA796" t="n">
        <v>447</v>
      </c>
      <c r="AB796" t="n">
        <v>1</v>
      </c>
      <c r="AC796" t="n">
        <v>16</v>
      </c>
      <c r="AD796" t="n">
        <v>14</v>
      </c>
      <c r="AE796" t="n">
        <v>27</v>
      </c>
      <c r="AF796" t="n">
        <v>4</v>
      </c>
      <c r="AG796" t="n">
        <v>7</v>
      </c>
      <c r="AH796" t="n">
        <v>5</v>
      </c>
      <c r="AI796" t="n">
        <v>5</v>
      </c>
      <c r="AJ796" t="n">
        <v>6</v>
      </c>
      <c r="AK796" t="n">
        <v>9</v>
      </c>
      <c r="AL796" t="n">
        <v>0</v>
      </c>
      <c r="AM796" t="n">
        <v>8</v>
      </c>
      <c r="AN796" t="n">
        <v>2</v>
      </c>
      <c r="AO796" t="n">
        <v>2</v>
      </c>
      <c r="AP796" t="inlineStr">
        <is>
          <t>No</t>
        </is>
      </c>
      <c r="AQ796" t="inlineStr">
        <is>
          <t>No</t>
        </is>
      </c>
      <c r="AS796">
        <f>HYPERLINK("https://creighton-primo.hosted.exlibrisgroup.com/primo-explore/search?tab=default_tab&amp;search_scope=EVERYTHING&amp;vid=01CRU&amp;lang=en_US&amp;offset=0&amp;query=any,contains,991004914699702656","Catalog Record")</f>
        <v/>
      </c>
      <c r="AT796">
        <f>HYPERLINK("http://www.worldcat.org/oclc/57236425","WorldCat Record")</f>
        <v/>
      </c>
      <c r="AU796" t="inlineStr">
        <is>
          <t>176217:eng</t>
        </is>
      </c>
      <c r="AV796" t="inlineStr">
        <is>
          <t>57236425</t>
        </is>
      </c>
      <c r="AW796" t="inlineStr">
        <is>
          <t>991004914699702656</t>
        </is>
      </c>
      <c r="AX796" t="inlineStr">
        <is>
          <t>991004914699702656</t>
        </is>
      </c>
      <c r="AY796" t="inlineStr">
        <is>
          <t>2269264580002656</t>
        </is>
      </c>
      <c r="AZ796" t="inlineStr">
        <is>
          <t>BOOK</t>
        </is>
      </c>
      <c r="BB796" t="inlineStr">
        <is>
          <t>9780262025829</t>
        </is>
      </c>
      <c r="BC796" t="inlineStr">
        <is>
          <t>32285005227318</t>
        </is>
      </c>
      <c r="BD796" t="inlineStr">
        <is>
          <t>893526650</t>
        </is>
      </c>
    </row>
    <row r="797">
      <c r="A797" t="inlineStr">
        <is>
          <t>No</t>
        </is>
      </c>
      <c r="B797" t="inlineStr">
        <is>
          <t>HM728 .L55 2001</t>
        </is>
      </c>
      <c r="C797" t="inlineStr">
        <is>
          <t>0                      HM 0728000L  55          2001</t>
        </is>
      </c>
      <c r="D797" t="inlineStr">
        <is>
          <t>The reckless mind : intellectuals in politics / Mark Lilla.</t>
        </is>
      </c>
      <c r="F797" t="inlineStr">
        <is>
          <t>No</t>
        </is>
      </c>
      <c r="G797" t="inlineStr">
        <is>
          <t>1</t>
        </is>
      </c>
      <c r="H797" t="inlineStr">
        <is>
          <t>No</t>
        </is>
      </c>
      <c r="I797" t="inlineStr">
        <is>
          <t>No</t>
        </is>
      </c>
      <c r="J797" t="inlineStr">
        <is>
          <t>0</t>
        </is>
      </c>
      <c r="K797" t="inlineStr">
        <is>
          <t>Lilla, Mark.</t>
        </is>
      </c>
      <c r="L797" t="inlineStr">
        <is>
          <t>New York : New York Review Books, 2001.</t>
        </is>
      </c>
      <c r="M797" t="inlineStr">
        <is>
          <t>2001</t>
        </is>
      </c>
      <c r="O797" t="inlineStr">
        <is>
          <t>eng</t>
        </is>
      </c>
      <c r="P797" t="inlineStr">
        <is>
          <t>nyu</t>
        </is>
      </c>
      <c r="Q797" t="inlineStr">
        <is>
          <t>New York Review books</t>
        </is>
      </c>
      <c r="R797" t="inlineStr">
        <is>
          <t xml:space="preserve">HM </t>
        </is>
      </c>
      <c r="S797" t="n">
        <v>1</v>
      </c>
      <c r="T797" t="n">
        <v>1</v>
      </c>
      <c r="U797" t="inlineStr">
        <is>
          <t>2003-09-29</t>
        </is>
      </c>
      <c r="V797" t="inlineStr">
        <is>
          <t>2003-09-29</t>
        </is>
      </c>
      <c r="W797" t="inlineStr">
        <is>
          <t>2003-09-29</t>
        </is>
      </c>
      <c r="X797" t="inlineStr">
        <is>
          <t>2003-09-29</t>
        </is>
      </c>
      <c r="Y797" t="n">
        <v>610</v>
      </c>
      <c r="Z797" t="n">
        <v>490</v>
      </c>
      <c r="AA797" t="n">
        <v>568</v>
      </c>
      <c r="AB797" t="n">
        <v>3</v>
      </c>
      <c r="AC797" t="n">
        <v>4</v>
      </c>
      <c r="AD797" t="n">
        <v>23</v>
      </c>
      <c r="AE797" t="n">
        <v>26</v>
      </c>
      <c r="AF797" t="n">
        <v>8</v>
      </c>
      <c r="AG797" t="n">
        <v>9</v>
      </c>
      <c r="AH797" t="n">
        <v>7</v>
      </c>
      <c r="AI797" t="n">
        <v>7</v>
      </c>
      <c r="AJ797" t="n">
        <v>12</v>
      </c>
      <c r="AK797" t="n">
        <v>13</v>
      </c>
      <c r="AL797" t="n">
        <v>2</v>
      </c>
      <c r="AM797" t="n">
        <v>3</v>
      </c>
      <c r="AN797" t="n">
        <v>1</v>
      </c>
      <c r="AO797" t="n">
        <v>1</v>
      </c>
      <c r="AP797" t="inlineStr">
        <is>
          <t>No</t>
        </is>
      </c>
      <c r="AQ797" t="inlineStr">
        <is>
          <t>Yes</t>
        </is>
      </c>
      <c r="AR797">
        <f>HYPERLINK("http://catalog.hathitrust.org/Record/003572699","HathiTrust Record")</f>
        <v/>
      </c>
      <c r="AS797">
        <f>HYPERLINK("https://creighton-primo.hosted.exlibrisgroup.com/primo-explore/search?tab=default_tab&amp;search_scope=EVERYTHING&amp;vid=01CRU&amp;lang=en_US&amp;offset=0&amp;query=any,contains,991004124079702656","Catalog Record")</f>
        <v/>
      </c>
      <c r="AT797">
        <f>HYPERLINK("http://www.worldcat.org/oclc/46640589","WorldCat Record")</f>
        <v/>
      </c>
      <c r="AU797" t="inlineStr">
        <is>
          <t>799656:eng</t>
        </is>
      </c>
      <c r="AV797" t="inlineStr">
        <is>
          <t>46640589</t>
        </is>
      </c>
      <c r="AW797" t="inlineStr">
        <is>
          <t>991004124079702656</t>
        </is>
      </c>
      <c r="AX797" t="inlineStr">
        <is>
          <t>991004124079702656</t>
        </is>
      </c>
      <c r="AY797" t="inlineStr">
        <is>
          <t>2266635830002656</t>
        </is>
      </c>
      <c r="AZ797" t="inlineStr">
        <is>
          <t>BOOK</t>
        </is>
      </c>
      <c r="BB797" t="inlineStr">
        <is>
          <t>9780940322769</t>
        </is>
      </c>
      <c r="BC797" t="inlineStr">
        <is>
          <t>32285004785712</t>
        </is>
      </c>
      <c r="BD797" t="inlineStr">
        <is>
          <t>893512841</t>
        </is>
      </c>
    </row>
    <row r="798">
      <c r="A798" t="inlineStr">
        <is>
          <t>No</t>
        </is>
      </c>
      <c r="B798" t="inlineStr">
        <is>
          <t>HM73 .D43 1992</t>
        </is>
      </c>
      <c r="C798" t="inlineStr">
        <is>
          <t>0                      HM 0073000D  43          1992</t>
        </is>
      </c>
      <c r="D798" t="inlineStr">
        <is>
          <t>Decision making : alternatives to rational choice models / edited by Mary Zey.</t>
        </is>
      </c>
      <c r="F798" t="inlineStr">
        <is>
          <t>No</t>
        </is>
      </c>
      <c r="G798" t="inlineStr">
        <is>
          <t>1</t>
        </is>
      </c>
      <c r="H798" t="inlineStr">
        <is>
          <t>No</t>
        </is>
      </c>
      <c r="I798" t="inlineStr">
        <is>
          <t>No</t>
        </is>
      </c>
      <c r="J798" t="inlineStr">
        <is>
          <t>0</t>
        </is>
      </c>
      <c r="L798" t="inlineStr">
        <is>
          <t>Newbury Park, Calif. : Sage, 1992.</t>
        </is>
      </c>
      <c r="M798" t="inlineStr">
        <is>
          <t>1992</t>
        </is>
      </c>
      <c r="O798" t="inlineStr">
        <is>
          <t>eng</t>
        </is>
      </c>
      <c r="P798" t="inlineStr">
        <is>
          <t>cau</t>
        </is>
      </c>
      <c r="R798" t="inlineStr">
        <is>
          <t xml:space="preserve">HM </t>
        </is>
      </c>
      <c r="S798" t="n">
        <v>2</v>
      </c>
      <c r="T798" t="n">
        <v>2</v>
      </c>
      <c r="U798" t="inlineStr">
        <is>
          <t>2005-09-18</t>
        </is>
      </c>
      <c r="V798" t="inlineStr">
        <is>
          <t>2005-09-18</t>
        </is>
      </c>
      <c r="W798" t="inlineStr">
        <is>
          <t>1993-11-30</t>
        </is>
      </c>
      <c r="X798" t="inlineStr">
        <is>
          <t>1993-11-30</t>
        </is>
      </c>
      <c r="Y798" t="n">
        <v>418</v>
      </c>
      <c r="Z798" t="n">
        <v>297</v>
      </c>
      <c r="AA798" t="n">
        <v>303</v>
      </c>
      <c r="AB798" t="n">
        <v>3</v>
      </c>
      <c r="AC798" t="n">
        <v>3</v>
      </c>
      <c r="AD798" t="n">
        <v>19</v>
      </c>
      <c r="AE798" t="n">
        <v>19</v>
      </c>
      <c r="AF798" t="n">
        <v>5</v>
      </c>
      <c r="AG798" t="n">
        <v>5</v>
      </c>
      <c r="AH798" t="n">
        <v>7</v>
      </c>
      <c r="AI798" t="n">
        <v>7</v>
      </c>
      <c r="AJ798" t="n">
        <v>10</v>
      </c>
      <c r="AK798" t="n">
        <v>10</v>
      </c>
      <c r="AL798" t="n">
        <v>2</v>
      </c>
      <c r="AM798" t="n">
        <v>2</v>
      </c>
      <c r="AN798" t="n">
        <v>0</v>
      </c>
      <c r="AO798" t="n">
        <v>0</v>
      </c>
      <c r="AP798" t="inlineStr">
        <is>
          <t>No</t>
        </is>
      </c>
      <c r="AQ798" t="inlineStr">
        <is>
          <t>Yes</t>
        </is>
      </c>
      <c r="AR798">
        <f>HYPERLINK("http://catalog.hathitrust.org/Record/007110195","HathiTrust Record")</f>
        <v/>
      </c>
      <c r="AS798">
        <f>HYPERLINK("https://creighton-primo.hosted.exlibrisgroup.com/primo-explore/search?tab=default_tab&amp;search_scope=EVERYTHING&amp;vid=01CRU&amp;lang=en_US&amp;offset=0&amp;query=any,contains,991002022099702656","Catalog Record")</f>
        <v/>
      </c>
      <c r="AT798">
        <f>HYPERLINK("http://www.worldcat.org/oclc/25714201","WorldCat Record")</f>
        <v/>
      </c>
      <c r="AU798" t="inlineStr">
        <is>
          <t>806739439:eng</t>
        </is>
      </c>
      <c r="AV798" t="inlineStr">
        <is>
          <t>25714201</t>
        </is>
      </c>
      <c r="AW798" t="inlineStr">
        <is>
          <t>991002022099702656</t>
        </is>
      </c>
      <c r="AX798" t="inlineStr">
        <is>
          <t>991002022099702656</t>
        </is>
      </c>
      <c r="AY798" t="inlineStr">
        <is>
          <t>2265637860002656</t>
        </is>
      </c>
      <c r="AZ798" t="inlineStr">
        <is>
          <t>BOOK</t>
        </is>
      </c>
      <c r="BB798" t="inlineStr">
        <is>
          <t>9780803947504</t>
        </is>
      </c>
      <c r="BC798" t="inlineStr">
        <is>
          <t>32285001813806</t>
        </is>
      </c>
      <c r="BD798" t="inlineStr">
        <is>
          <t>893709777</t>
        </is>
      </c>
    </row>
    <row r="799">
      <c r="A799" t="inlineStr">
        <is>
          <t>No</t>
        </is>
      </c>
      <c r="B799" t="inlineStr">
        <is>
          <t>HM73 .F47 1997</t>
        </is>
      </c>
      <c r="C799" t="inlineStr">
        <is>
          <t>0                      HM 0073000F  47          1997</t>
        </is>
      </c>
      <c r="D799" t="inlineStr">
        <is>
          <t>Let's go sociology : travels on the Internet / Joan Ferrante, Angela Vaughn.</t>
        </is>
      </c>
      <c r="F799" t="inlineStr">
        <is>
          <t>No</t>
        </is>
      </c>
      <c r="G799" t="inlineStr">
        <is>
          <t>1</t>
        </is>
      </c>
      <c r="H799" t="inlineStr">
        <is>
          <t>No</t>
        </is>
      </c>
      <c r="I799" t="inlineStr">
        <is>
          <t>No</t>
        </is>
      </c>
      <c r="J799" t="inlineStr">
        <is>
          <t>0</t>
        </is>
      </c>
      <c r="K799" t="inlineStr">
        <is>
          <t>Ferrante, Joan.</t>
        </is>
      </c>
      <c r="L799" t="inlineStr">
        <is>
          <t>Belmont, CA : Wadsworth, c1997.</t>
        </is>
      </c>
      <c r="M799" t="inlineStr">
        <is>
          <t>1997</t>
        </is>
      </c>
      <c r="O799" t="inlineStr">
        <is>
          <t>eng</t>
        </is>
      </c>
      <c r="P799" t="inlineStr">
        <is>
          <t>cau</t>
        </is>
      </c>
      <c r="R799" t="inlineStr">
        <is>
          <t xml:space="preserve">HM </t>
        </is>
      </c>
      <c r="S799" t="n">
        <v>1</v>
      </c>
      <c r="T799" t="n">
        <v>1</v>
      </c>
      <c r="U799" t="inlineStr">
        <is>
          <t>2004-09-12</t>
        </is>
      </c>
      <c r="V799" t="inlineStr">
        <is>
          <t>2004-09-12</t>
        </is>
      </c>
      <c r="W799" t="inlineStr">
        <is>
          <t>1997-07-09</t>
        </is>
      </c>
      <c r="X799" t="inlineStr">
        <is>
          <t>1997-07-09</t>
        </is>
      </c>
      <c r="Y799" t="n">
        <v>56</v>
      </c>
      <c r="Z799" t="n">
        <v>52</v>
      </c>
      <c r="AA799" t="n">
        <v>97</v>
      </c>
      <c r="AB799" t="n">
        <v>1</v>
      </c>
      <c r="AC799" t="n">
        <v>1</v>
      </c>
      <c r="AD799" t="n">
        <v>3</v>
      </c>
      <c r="AE799" t="n">
        <v>4</v>
      </c>
      <c r="AF799" t="n">
        <v>1</v>
      </c>
      <c r="AG799" t="n">
        <v>1</v>
      </c>
      <c r="AH799" t="n">
        <v>0</v>
      </c>
      <c r="AI799" t="n">
        <v>1</v>
      </c>
      <c r="AJ799" t="n">
        <v>2</v>
      </c>
      <c r="AK799" t="n">
        <v>3</v>
      </c>
      <c r="AL799" t="n">
        <v>0</v>
      </c>
      <c r="AM799" t="n">
        <v>0</v>
      </c>
      <c r="AN799" t="n">
        <v>0</v>
      </c>
      <c r="AO799" t="n">
        <v>0</v>
      </c>
      <c r="AP799" t="inlineStr">
        <is>
          <t>No</t>
        </is>
      </c>
      <c r="AQ799" t="inlineStr">
        <is>
          <t>Yes</t>
        </is>
      </c>
      <c r="AR799">
        <f>HYPERLINK("http://catalog.hathitrust.org/Record/007133687","HathiTrust Record")</f>
        <v/>
      </c>
      <c r="AS799">
        <f>HYPERLINK("https://creighton-primo.hosted.exlibrisgroup.com/primo-explore/search?tab=default_tab&amp;search_scope=EVERYTHING&amp;vid=01CRU&amp;lang=en_US&amp;offset=0&amp;query=any,contains,991002866479702656","Catalog Record")</f>
        <v/>
      </c>
      <c r="AT799">
        <f>HYPERLINK("http://www.worldcat.org/oclc/36546718","WorldCat Record")</f>
        <v/>
      </c>
      <c r="AU799" t="inlineStr">
        <is>
          <t>23660492:eng</t>
        </is>
      </c>
      <c r="AV799" t="inlineStr">
        <is>
          <t>36546718</t>
        </is>
      </c>
      <c r="AW799" t="inlineStr">
        <is>
          <t>991002866479702656</t>
        </is>
      </c>
      <c r="AX799" t="inlineStr">
        <is>
          <t>991002866479702656</t>
        </is>
      </c>
      <c r="AY799" t="inlineStr">
        <is>
          <t>2256386880002656</t>
        </is>
      </c>
      <c r="AZ799" t="inlineStr">
        <is>
          <t>BOOK</t>
        </is>
      </c>
      <c r="BB799" t="inlineStr">
        <is>
          <t>9780534531096</t>
        </is>
      </c>
      <c r="BC799" t="inlineStr">
        <is>
          <t>32285002754884</t>
        </is>
      </c>
      <c r="BD799" t="inlineStr">
        <is>
          <t>893317367</t>
        </is>
      </c>
    </row>
    <row r="800">
      <c r="A800" t="inlineStr">
        <is>
          <t>No</t>
        </is>
      </c>
      <c r="B800" t="inlineStr">
        <is>
          <t>HM73 .G76 1984</t>
        </is>
      </c>
      <c r="C800" t="inlineStr">
        <is>
          <t>0                      HM 0073000G  76          1984</t>
        </is>
      </c>
      <c r="D800" t="inlineStr">
        <is>
          <t>Group decision making / edited by Walter C. Swap and associates, Hugo Bedau ... [et al.].</t>
        </is>
      </c>
      <c r="F800" t="inlineStr">
        <is>
          <t>No</t>
        </is>
      </c>
      <c r="G800" t="inlineStr">
        <is>
          <t>1</t>
        </is>
      </c>
      <c r="H800" t="inlineStr">
        <is>
          <t>No</t>
        </is>
      </c>
      <c r="I800" t="inlineStr">
        <is>
          <t>No</t>
        </is>
      </c>
      <c r="J800" t="inlineStr">
        <is>
          <t>0</t>
        </is>
      </c>
      <c r="L800" t="inlineStr">
        <is>
          <t>Beverly Hills : Sage Publications, c1984.</t>
        </is>
      </c>
      <c r="M800" t="inlineStr">
        <is>
          <t>1984</t>
        </is>
      </c>
      <c r="O800" t="inlineStr">
        <is>
          <t>eng</t>
        </is>
      </c>
      <c r="P800" t="inlineStr">
        <is>
          <t>cau</t>
        </is>
      </c>
      <c r="R800" t="inlineStr">
        <is>
          <t xml:space="preserve">HM </t>
        </is>
      </c>
      <c r="S800" t="n">
        <v>2</v>
      </c>
      <c r="T800" t="n">
        <v>2</v>
      </c>
      <c r="U800" t="inlineStr">
        <is>
          <t>2004-04-28</t>
        </is>
      </c>
      <c r="V800" t="inlineStr">
        <is>
          <t>2004-04-28</t>
        </is>
      </c>
      <c r="W800" t="inlineStr">
        <is>
          <t>1992-08-13</t>
        </is>
      </c>
      <c r="X800" t="inlineStr">
        <is>
          <t>1992-08-13</t>
        </is>
      </c>
      <c r="Y800" t="n">
        <v>442</v>
      </c>
      <c r="Z800" t="n">
        <v>338</v>
      </c>
      <c r="AA800" t="n">
        <v>345</v>
      </c>
      <c r="AB800" t="n">
        <v>4</v>
      </c>
      <c r="AC800" t="n">
        <v>4</v>
      </c>
      <c r="AD800" t="n">
        <v>18</v>
      </c>
      <c r="AE800" t="n">
        <v>18</v>
      </c>
      <c r="AF800" t="n">
        <v>6</v>
      </c>
      <c r="AG800" t="n">
        <v>6</v>
      </c>
      <c r="AH800" t="n">
        <v>2</v>
      </c>
      <c r="AI800" t="n">
        <v>2</v>
      </c>
      <c r="AJ800" t="n">
        <v>13</v>
      </c>
      <c r="AK800" t="n">
        <v>13</v>
      </c>
      <c r="AL800" t="n">
        <v>3</v>
      </c>
      <c r="AM800" t="n">
        <v>3</v>
      </c>
      <c r="AN800" t="n">
        <v>0</v>
      </c>
      <c r="AO800" t="n">
        <v>0</v>
      </c>
      <c r="AP800" t="inlineStr">
        <is>
          <t>No</t>
        </is>
      </c>
      <c r="AQ800" t="inlineStr">
        <is>
          <t>Yes</t>
        </is>
      </c>
      <c r="AR800">
        <f>HYPERLINK("http://catalog.hathitrust.org/Record/000207744","HathiTrust Record")</f>
        <v/>
      </c>
      <c r="AS800">
        <f>HYPERLINK("https://creighton-primo.hosted.exlibrisgroup.com/primo-explore/search?tab=default_tab&amp;search_scope=EVERYTHING&amp;vid=01CRU&amp;lang=en_US&amp;offset=0&amp;query=any,contains,991000333419702656","Catalog Record")</f>
        <v/>
      </c>
      <c r="AT800">
        <f>HYPERLINK("http://www.worldcat.org/oclc/10208415","WorldCat Record")</f>
        <v/>
      </c>
      <c r="AU800" t="inlineStr">
        <is>
          <t>408578:eng</t>
        </is>
      </c>
      <c r="AV800" t="inlineStr">
        <is>
          <t>10208415</t>
        </is>
      </c>
      <c r="AW800" t="inlineStr">
        <is>
          <t>991000333419702656</t>
        </is>
      </c>
      <c r="AX800" t="inlineStr">
        <is>
          <t>991000333419702656</t>
        </is>
      </c>
      <c r="AY800" t="inlineStr">
        <is>
          <t>2264345630002656</t>
        </is>
      </c>
      <c r="AZ800" t="inlineStr">
        <is>
          <t>BOOK</t>
        </is>
      </c>
      <c r="BB800" t="inlineStr">
        <is>
          <t>9780803921382</t>
        </is>
      </c>
      <c r="BC800" t="inlineStr">
        <is>
          <t>32285001265155</t>
        </is>
      </c>
      <c r="BD800" t="inlineStr">
        <is>
          <t>893425595</t>
        </is>
      </c>
    </row>
    <row r="801">
      <c r="A801" t="inlineStr">
        <is>
          <t>No</t>
        </is>
      </c>
      <c r="B801" t="inlineStr">
        <is>
          <t>HM73 .H34 1975</t>
        </is>
      </c>
      <c r="C801" t="inlineStr">
        <is>
          <t>0                      HM 0073000H  34          1975</t>
        </is>
      </c>
      <c r="D801" t="inlineStr">
        <is>
          <t>Group discussion and decision making / John Hasling.</t>
        </is>
      </c>
      <c r="F801" t="inlineStr">
        <is>
          <t>No</t>
        </is>
      </c>
      <c r="G801" t="inlineStr">
        <is>
          <t>1</t>
        </is>
      </c>
      <c r="H801" t="inlineStr">
        <is>
          <t>No</t>
        </is>
      </c>
      <c r="I801" t="inlineStr">
        <is>
          <t>No</t>
        </is>
      </c>
      <c r="J801" t="inlineStr">
        <is>
          <t>0</t>
        </is>
      </c>
      <c r="K801" t="inlineStr">
        <is>
          <t>Hasling, John.</t>
        </is>
      </c>
      <c r="L801" t="inlineStr">
        <is>
          <t>New York : Crowell, [1975]</t>
        </is>
      </c>
      <c r="M801" t="inlineStr">
        <is>
          <t>1975</t>
        </is>
      </c>
      <c r="O801" t="inlineStr">
        <is>
          <t>eng</t>
        </is>
      </c>
      <c r="P801" t="inlineStr">
        <is>
          <t>nyu</t>
        </is>
      </c>
      <c r="R801" t="inlineStr">
        <is>
          <t xml:space="preserve">HM </t>
        </is>
      </c>
      <c r="S801" t="n">
        <v>1</v>
      </c>
      <c r="T801" t="n">
        <v>1</v>
      </c>
      <c r="U801" t="inlineStr">
        <is>
          <t>2004-04-28</t>
        </is>
      </c>
      <c r="V801" t="inlineStr">
        <is>
          <t>2004-04-28</t>
        </is>
      </c>
      <c r="W801" t="inlineStr">
        <is>
          <t>1992-08-13</t>
        </is>
      </c>
      <c r="X801" t="inlineStr">
        <is>
          <t>1992-08-13</t>
        </is>
      </c>
      <c r="Y801" t="n">
        <v>238</v>
      </c>
      <c r="Z801" t="n">
        <v>212</v>
      </c>
      <c r="AA801" t="n">
        <v>218</v>
      </c>
      <c r="AB801" t="n">
        <v>2</v>
      </c>
      <c r="AC801" t="n">
        <v>2</v>
      </c>
      <c r="AD801" t="n">
        <v>10</v>
      </c>
      <c r="AE801" t="n">
        <v>10</v>
      </c>
      <c r="AF801" t="n">
        <v>2</v>
      </c>
      <c r="AG801" t="n">
        <v>2</v>
      </c>
      <c r="AH801" t="n">
        <v>3</v>
      </c>
      <c r="AI801" t="n">
        <v>3</v>
      </c>
      <c r="AJ801" t="n">
        <v>7</v>
      </c>
      <c r="AK801" t="n">
        <v>7</v>
      </c>
      <c r="AL801" t="n">
        <v>1</v>
      </c>
      <c r="AM801" t="n">
        <v>1</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HYPERLINK("https://creighton-primo.hosted.exlibrisgroup.com/primo-explore/search?tab=default_tab&amp;search_scope=EVERYTHING&amp;vid=01CRU&amp;lang=en_US&amp;offset=0&amp;query=any,contains,991003553619702656","Catalog Record")</f>
        <v/>
      </c>
      <c r="AT801">
        <f>HYPERLINK("http://www.worldcat.org/oclc/1121083","WorldCat Record")</f>
        <v/>
      </c>
      <c r="AU801" t="inlineStr">
        <is>
          <t>2024884:eng</t>
        </is>
      </c>
      <c r="AV801" t="inlineStr">
        <is>
          <t>1121083</t>
        </is>
      </c>
      <c r="AW801" t="inlineStr">
        <is>
          <t>991003553619702656</t>
        </is>
      </c>
      <c r="AX801" t="inlineStr">
        <is>
          <t>991003553619702656</t>
        </is>
      </c>
      <c r="AY801" t="inlineStr">
        <is>
          <t>2268309980002656</t>
        </is>
      </c>
      <c r="AZ801" t="inlineStr">
        <is>
          <t>BOOK</t>
        </is>
      </c>
      <c r="BB801" t="inlineStr">
        <is>
          <t>9780690008036</t>
        </is>
      </c>
      <c r="BC801" t="inlineStr">
        <is>
          <t>32285001265163</t>
        </is>
      </c>
      <c r="BD801" t="inlineStr">
        <is>
          <t>893252484</t>
        </is>
      </c>
    </row>
    <row r="802">
      <c r="A802" t="inlineStr">
        <is>
          <t>No</t>
        </is>
      </c>
      <c r="B802" t="inlineStr">
        <is>
          <t>HM73 .J37 1991</t>
        </is>
      </c>
      <c r="C802" t="inlineStr">
        <is>
          <t>0                      HM 0073000J  37          1991</t>
        </is>
      </c>
      <c r="D802" t="inlineStr">
        <is>
          <t>On social organization and social control / Morris Janowitz ; edited and with an introduction by James Burk.</t>
        </is>
      </c>
      <c r="F802" t="inlineStr">
        <is>
          <t>No</t>
        </is>
      </c>
      <c r="G802" t="inlineStr">
        <is>
          <t>1</t>
        </is>
      </c>
      <c r="H802" t="inlineStr">
        <is>
          <t>No</t>
        </is>
      </c>
      <c r="I802" t="inlineStr">
        <is>
          <t>No</t>
        </is>
      </c>
      <c r="J802" t="inlineStr">
        <is>
          <t>0</t>
        </is>
      </c>
      <c r="K802" t="inlineStr">
        <is>
          <t>Janowitz, Morris.</t>
        </is>
      </c>
      <c r="L802" t="inlineStr">
        <is>
          <t>Chicago : University of Chicago Press, 1991.</t>
        </is>
      </c>
      <c r="M802" t="inlineStr">
        <is>
          <t>1991</t>
        </is>
      </c>
      <c r="O802" t="inlineStr">
        <is>
          <t>eng</t>
        </is>
      </c>
      <c r="P802" t="inlineStr">
        <is>
          <t>ilu</t>
        </is>
      </c>
      <c r="Q802" t="inlineStr">
        <is>
          <t>The Heritage of sociology</t>
        </is>
      </c>
      <c r="R802" t="inlineStr">
        <is>
          <t xml:space="preserve">HM </t>
        </is>
      </c>
      <c r="S802" t="n">
        <v>2</v>
      </c>
      <c r="T802" t="n">
        <v>2</v>
      </c>
      <c r="U802" t="inlineStr">
        <is>
          <t>2007-12-12</t>
        </is>
      </c>
      <c r="V802" t="inlineStr">
        <is>
          <t>2007-12-12</t>
        </is>
      </c>
      <c r="W802" t="inlineStr">
        <is>
          <t>1992-01-02</t>
        </is>
      </c>
      <c r="X802" t="inlineStr">
        <is>
          <t>1992-01-02</t>
        </is>
      </c>
      <c r="Y802" t="n">
        <v>376</v>
      </c>
      <c r="Z802" t="n">
        <v>278</v>
      </c>
      <c r="AA802" t="n">
        <v>283</v>
      </c>
      <c r="AB802" t="n">
        <v>4</v>
      </c>
      <c r="AC802" t="n">
        <v>4</v>
      </c>
      <c r="AD802" t="n">
        <v>18</v>
      </c>
      <c r="AE802" t="n">
        <v>18</v>
      </c>
      <c r="AF802" t="n">
        <v>5</v>
      </c>
      <c r="AG802" t="n">
        <v>5</v>
      </c>
      <c r="AH802" t="n">
        <v>5</v>
      </c>
      <c r="AI802" t="n">
        <v>5</v>
      </c>
      <c r="AJ802" t="n">
        <v>9</v>
      </c>
      <c r="AK802" t="n">
        <v>9</v>
      </c>
      <c r="AL802" t="n">
        <v>3</v>
      </c>
      <c r="AM802" t="n">
        <v>3</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HYPERLINK("https://creighton-primo.hosted.exlibrisgroup.com/primo-explore/search?tab=default_tab&amp;search_scope=EVERYTHING&amp;vid=01CRU&amp;lang=en_US&amp;offset=0&amp;query=any,contains,991001780379702656","Catalog Record")</f>
        <v/>
      </c>
      <c r="AT802">
        <f>HYPERLINK("http://www.worldcat.org/oclc/22452568","WorldCat Record")</f>
        <v/>
      </c>
      <c r="AU802" t="inlineStr">
        <is>
          <t>23900271:eng</t>
        </is>
      </c>
      <c r="AV802" t="inlineStr">
        <is>
          <t>22452568</t>
        </is>
      </c>
      <c r="AW802" t="inlineStr">
        <is>
          <t>991001780379702656</t>
        </is>
      </c>
      <c r="AX802" t="inlineStr">
        <is>
          <t>991001780379702656</t>
        </is>
      </c>
      <c r="AY802" t="inlineStr">
        <is>
          <t>2260318650002656</t>
        </is>
      </c>
      <c r="AZ802" t="inlineStr">
        <is>
          <t>BOOK</t>
        </is>
      </c>
      <c r="BB802" t="inlineStr">
        <is>
          <t>9780226393032</t>
        </is>
      </c>
      <c r="BC802" t="inlineStr">
        <is>
          <t>32285000862879</t>
        </is>
      </c>
      <c r="BD802" t="inlineStr">
        <is>
          <t>893779073</t>
        </is>
      </c>
    </row>
    <row r="803">
      <c r="A803" t="inlineStr">
        <is>
          <t>No</t>
        </is>
      </c>
      <c r="B803" t="inlineStr">
        <is>
          <t>HM73 .K58 1984</t>
        </is>
      </c>
      <c r="C803" t="inlineStr">
        <is>
          <t>0                      HM 0073000K  58          1984</t>
        </is>
      </c>
      <c r="D803" t="inlineStr">
        <is>
          <t>Paternalism / John Kleinig.</t>
        </is>
      </c>
      <c r="F803" t="inlineStr">
        <is>
          <t>No</t>
        </is>
      </c>
      <c r="G803" t="inlineStr">
        <is>
          <t>1</t>
        </is>
      </c>
      <c r="H803" t="inlineStr">
        <is>
          <t>Yes</t>
        </is>
      </c>
      <c r="I803" t="inlineStr">
        <is>
          <t>No</t>
        </is>
      </c>
      <c r="J803" t="inlineStr">
        <is>
          <t>0</t>
        </is>
      </c>
      <c r="K803" t="inlineStr">
        <is>
          <t>Kleinig, John, 1942-</t>
        </is>
      </c>
      <c r="L803" t="inlineStr">
        <is>
          <t>Totowa, N.J. : Rowman &amp; Allanheld, 1984, c1983.</t>
        </is>
      </c>
      <c r="M803" t="inlineStr">
        <is>
          <t>1984</t>
        </is>
      </c>
      <c r="O803" t="inlineStr">
        <is>
          <t>eng</t>
        </is>
      </c>
      <c r="P803" t="inlineStr">
        <is>
          <t>nju</t>
        </is>
      </c>
      <c r="Q803" t="inlineStr">
        <is>
          <t>Philosophy and society</t>
        </is>
      </c>
      <c r="R803" t="inlineStr">
        <is>
          <t xml:space="preserve">HM </t>
        </is>
      </c>
      <c r="S803" t="n">
        <v>1</v>
      </c>
      <c r="T803" t="n">
        <v>8</v>
      </c>
      <c r="U803" t="inlineStr">
        <is>
          <t>2003-04-09</t>
        </is>
      </c>
      <c r="V803" t="inlineStr">
        <is>
          <t>2004-04-15</t>
        </is>
      </c>
      <c r="W803" t="inlineStr">
        <is>
          <t>1997-06-05</t>
        </is>
      </c>
      <c r="X803" t="inlineStr">
        <is>
          <t>1997-06-05</t>
        </is>
      </c>
      <c r="Y803" t="n">
        <v>426</v>
      </c>
      <c r="Z803" t="n">
        <v>376</v>
      </c>
      <c r="AA803" t="n">
        <v>388</v>
      </c>
      <c r="AB803" t="n">
        <v>5</v>
      </c>
      <c r="AC803" t="n">
        <v>5</v>
      </c>
      <c r="AD803" t="n">
        <v>25</v>
      </c>
      <c r="AE803" t="n">
        <v>25</v>
      </c>
      <c r="AF803" t="n">
        <v>7</v>
      </c>
      <c r="AG803" t="n">
        <v>7</v>
      </c>
      <c r="AH803" t="n">
        <v>5</v>
      </c>
      <c r="AI803" t="n">
        <v>5</v>
      </c>
      <c r="AJ803" t="n">
        <v>11</v>
      </c>
      <c r="AK803" t="n">
        <v>11</v>
      </c>
      <c r="AL803" t="n">
        <v>3</v>
      </c>
      <c r="AM803" t="n">
        <v>3</v>
      </c>
      <c r="AN803" t="n">
        <v>4</v>
      </c>
      <c r="AO803" t="n">
        <v>4</v>
      </c>
      <c r="AP803" t="inlineStr">
        <is>
          <t>No</t>
        </is>
      </c>
      <c r="AQ803" t="inlineStr">
        <is>
          <t>Yes</t>
        </is>
      </c>
      <c r="AR803">
        <f>HYPERLINK("http://catalog.hathitrust.org/Record/007118537","HathiTrust Record")</f>
        <v/>
      </c>
      <c r="AS803">
        <f>HYPERLINK("https://creighton-primo.hosted.exlibrisgroup.com/primo-explore/search?tab=default_tab&amp;search_scope=EVERYTHING&amp;vid=01CRU&amp;lang=en_US&amp;offset=0&amp;query=any,contains,991001765559702656","Catalog Record")</f>
        <v/>
      </c>
      <c r="AT803">
        <f>HYPERLINK("http://www.worldcat.org/oclc/9682665","WorldCat Record")</f>
        <v/>
      </c>
      <c r="AU803" t="inlineStr">
        <is>
          <t>3734958:eng</t>
        </is>
      </c>
      <c r="AV803" t="inlineStr">
        <is>
          <t>9682665</t>
        </is>
      </c>
      <c r="AW803" t="inlineStr">
        <is>
          <t>991001765559702656</t>
        </is>
      </c>
      <c r="AX803" t="inlineStr">
        <is>
          <t>991001765559702656</t>
        </is>
      </c>
      <c r="AY803" t="inlineStr">
        <is>
          <t>2264013670002656</t>
        </is>
      </c>
      <c r="AZ803" t="inlineStr">
        <is>
          <t>BOOK</t>
        </is>
      </c>
      <c r="BB803" t="inlineStr">
        <is>
          <t>9780847672073</t>
        </is>
      </c>
      <c r="BC803" t="inlineStr">
        <is>
          <t>32285002614781</t>
        </is>
      </c>
      <c r="BD803" t="inlineStr">
        <is>
          <t>893879154</t>
        </is>
      </c>
    </row>
    <row r="804">
      <c r="A804" t="inlineStr">
        <is>
          <t>No</t>
        </is>
      </c>
      <c r="B804" t="inlineStr">
        <is>
          <t>HM73 .M567 1983</t>
        </is>
      </c>
      <c r="C804" t="inlineStr">
        <is>
          <t>0                      HM 0073000M  567         1983</t>
        </is>
      </c>
      <c r="D804" t="inlineStr">
        <is>
          <t>The nine American lifestyles : who we are and where we're going / Arnold Mitchell.</t>
        </is>
      </c>
      <c r="F804" t="inlineStr">
        <is>
          <t>No</t>
        </is>
      </c>
      <c r="G804" t="inlineStr">
        <is>
          <t>1</t>
        </is>
      </c>
      <c r="H804" t="inlineStr">
        <is>
          <t>No</t>
        </is>
      </c>
      <c r="I804" t="inlineStr">
        <is>
          <t>No</t>
        </is>
      </c>
      <c r="J804" t="inlineStr">
        <is>
          <t>0</t>
        </is>
      </c>
      <c r="K804" t="inlineStr">
        <is>
          <t>Mitchell, Arnold.</t>
        </is>
      </c>
      <c r="L804" t="inlineStr">
        <is>
          <t>New York : Macmillan, c1983.</t>
        </is>
      </c>
      <c r="M804" t="inlineStr">
        <is>
          <t>1983</t>
        </is>
      </c>
      <c r="O804" t="inlineStr">
        <is>
          <t>eng</t>
        </is>
      </c>
      <c r="P804" t="inlineStr">
        <is>
          <t>nyu</t>
        </is>
      </c>
      <c r="R804" t="inlineStr">
        <is>
          <t xml:space="preserve">HM </t>
        </is>
      </c>
      <c r="S804" t="n">
        <v>10</v>
      </c>
      <c r="T804" t="n">
        <v>10</v>
      </c>
      <c r="U804" t="inlineStr">
        <is>
          <t>1998-02-15</t>
        </is>
      </c>
      <c r="V804" t="inlineStr">
        <is>
          <t>1998-02-15</t>
        </is>
      </c>
      <c r="W804" t="inlineStr">
        <is>
          <t>1992-03-10</t>
        </is>
      </c>
      <c r="X804" t="inlineStr">
        <is>
          <t>1992-03-10</t>
        </is>
      </c>
      <c r="Y804" t="n">
        <v>743</v>
      </c>
      <c r="Z804" t="n">
        <v>686</v>
      </c>
      <c r="AA804" t="n">
        <v>786</v>
      </c>
      <c r="AB804" t="n">
        <v>5</v>
      </c>
      <c r="AC804" t="n">
        <v>6</v>
      </c>
      <c r="AD804" t="n">
        <v>18</v>
      </c>
      <c r="AE804" t="n">
        <v>22</v>
      </c>
      <c r="AF804" t="n">
        <v>8</v>
      </c>
      <c r="AG804" t="n">
        <v>10</v>
      </c>
      <c r="AH804" t="n">
        <v>3</v>
      </c>
      <c r="AI804" t="n">
        <v>4</v>
      </c>
      <c r="AJ804" t="n">
        <v>8</v>
      </c>
      <c r="AK804" t="n">
        <v>10</v>
      </c>
      <c r="AL804" t="n">
        <v>3</v>
      </c>
      <c r="AM804" t="n">
        <v>3</v>
      </c>
      <c r="AN804" t="n">
        <v>0</v>
      </c>
      <c r="AO804" t="n">
        <v>0</v>
      </c>
      <c r="AP804" t="inlineStr">
        <is>
          <t>No</t>
        </is>
      </c>
      <c r="AQ804" t="inlineStr">
        <is>
          <t>Yes</t>
        </is>
      </c>
      <c r="AR804">
        <f>HYPERLINK("http://catalog.hathitrust.org/Record/000197449","HathiTrust Record")</f>
        <v/>
      </c>
      <c r="AS804">
        <f>HYPERLINK("https://creighton-primo.hosted.exlibrisgroup.com/primo-explore/search?tab=default_tab&amp;search_scope=EVERYTHING&amp;vid=01CRU&amp;lang=en_US&amp;offset=0&amp;query=any,contains,991000100869702656","Catalog Record")</f>
        <v/>
      </c>
      <c r="AT804">
        <f>HYPERLINK("http://www.worldcat.org/oclc/8953332","WorldCat Record")</f>
        <v/>
      </c>
      <c r="AU804" t="inlineStr">
        <is>
          <t>399245:eng</t>
        </is>
      </c>
      <c r="AV804" t="inlineStr">
        <is>
          <t>8953332</t>
        </is>
      </c>
      <c r="AW804" t="inlineStr">
        <is>
          <t>991000100869702656</t>
        </is>
      </c>
      <c r="AX804" t="inlineStr">
        <is>
          <t>991000100869702656</t>
        </is>
      </c>
      <c r="AY804" t="inlineStr">
        <is>
          <t>2269691510002656</t>
        </is>
      </c>
      <c r="AZ804" t="inlineStr">
        <is>
          <t>BOOK</t>
        </is>
      </c>
      <c r="BB804" t="inlineStr">
        <is>
          <t>9780025853102</t>
        </is>
      </c>
      <c r="BC804" t="inlineStr">
        <is>
          <t>32285000995984</t>
        </is>
      </c>
      <c r="BD804" t="inlineStr">
        <is>
          <t>893601448</t>
        </is>
      </c>
    </row>
    <row r="805">
      <c r="A805" t="inlineStr">
        <is>
          <t>No</t>
        </is>
      </c>
      <c r="B805" t="inlineStr">
        <is>
          <t>HM73 .N68 1978</t>
        </is>
      </c>
      <c r="C805" t="inlineStr">
        <is>
          <t>0                      HM 0073000N  68          1978</t>
        </is>
      </c>
      <c r="D805" t="inlineStr">
        <is>
          <t>The American vision : an essay on the future of democratic capitalism / Michael Novak.</t>
        </is>
      </c>
      <c r="F805" t="inlineStr">
        <is>
          <t>No</t>
        </is>
      </c>
      <c r="G805" t="inlineStr">
        <is>
          <t>1</t>
        </is>
      </c>
      <c r="H805" t="inlineStr">
        <is>
          <t>No</t>
        </is>
      </c>
      <c r="I805" t="inlineStr">
        <is>
          <t>No</t>
        </is>
      </c>
      <c r="J805" t="inlineStr">
        <is>
          <t>0</t>
        </is>
      </c>
      <c r="K805" t="inlineStr">
        <is>
          <t>Novak, Michael.</t>
        </is>
      </c>
      <c r="L805" t="inlineStr">
        <is>
          <t>Washington : American Enterprise Institute for Public Policy Research, c1978, 1982 printing.</t>
        </is>
      </c>
      <c r="M805" t="inlineStr">
        <is>
          <t>1978</t>
        </is>
      </c>
      <c r="O805" t="inlineStr">
        <is>
          <t>eng</t>
        </is>
      </c>
      <c r="P805" t="inlineStr">
        <is>
          <t>dcu</t>
        </is>
      </c>
      <c r="Q805" t="inlineStr">
        <is>
          <t>AEI studies ; 222</t>
        </is>
      </c>
      <c r="R805" t="inlineStr">
        <is>
          <t xml:space="preserve">HM </t>
        </is>
      </c>
      <c r="S805" t="n">
        <v>1</v>
      </c>
      <c r="T805" t="n">
        <v>1</v>
      </c>
      <c r="U805" t="inlineStr">
        <is>
          <t>2003-04-15</t>
        </is>
      </c>
      <c r="V805" t="inlineStr">
        <is>
          <t>2003-04-15</t>
        </is>
      </c>
      <c r="W805" t="inlineStr">
        <is>
          <t>1992-08-13</t>
        </is>
      </c>
      <c r="X805" t="inlineStr">
        <is>
          <t>1992-08-13</t>
        </is>
      </c>
      <c r="Y805" t="n">
        <v>551</v>
      </c>
      <c r="Z805" t="n">
        <v>499</v>
      </c>
      <c r="AA805" t="n">
        <v>520</v>
      </c>
      <c r="AB805" t="n">
        <v>5</v>
      </c>
      <c r="AC805" t="n">
        <v>5</v>
      </c>
      <c r="AD805" t="n">
        <v>29</v>
      </c>
      <c r="AE805" t="n">
        <v>30</v>
      </c>
      <c r="AF805" t="n">
        <v>9</v>
      </c>
      <c r="AG805" t="n">
        <v>9</v>
      </c>
      <c r="AH805" t="n">
        <v>7</v>
      </c>
      <c r="AI805" t="n">
        <v>7</v>
      </c>
      <c r="AJ805" t="n">
        <v>16</v>
      </c>
      <c r="AK805" t="n">
        <v>16</v>
      </c>
      <c r="AL805" t="n">
        <v>4</v>
      </c>
      <c r="AM805" t="n">
        <v>4</v>
      </c>
      <c r="AN805" t="n">
        <v>2</v>
      </c>
      <c r="AO805" t="n">
        <v>3</v>
      </c>
      <c r="AP805" t="inlineStr">
        <is>
          <t>No</t>
        </is>
      </c>
      <c r="AQ805" t="inlineStr">
        <is>
          <t>No</t>
        </is>
      </c>
      <c r="AS805">
        <f>HYPERLINK("https://creighton-primo.hosted.exlibrisgroup.com/primo-explore/search?tab=default_tab&amp;search_scope=EVERYTHING&amp;vid=01CRU&amp;lang=en_US&amp;offset=0&amp;query=any,contains,991004633759702656","Catalog Record")</f>
        <v/>
      </c>
      <c r="AT805">
        <f>HYPERLINK("http://www.worldcat.org/oclc/4391393","WorldCat Record")</f>
        <v/>
      </c>
      <c r="AU805" t="inlineStr">
        <is>
          <t>3943460780:eng</t>
        </is>
      </c>
      <c r="AV805" t="inlineStr">
        <is>
          <t>4391393</t>
        </is>
      </c>
      <c r="AW805" t="inlineStr">
        <is>
          <t>991004633759702656</t>
        </is>
      </c>
      <c r="AX805" t="inlineStr">
        <is>
          <t>991004633759702656</t>
        </is>
      </c>
      <c r="AY805" t="inlineStr">
        <is>
          <t>2254941010002656</t>
        </is>
      </c>
      <c r="AZ805" t="inlineStr">
        <is>
          <t>BOOK</t>
        </is>
      </c>
      <c r="BB805" t="inlineStr">
        <is>
          <t>9780844733241</t>
        </is>
      </c>
      <c r="BC805" t="inlineStr">
        <is>
          <t>32285001265171</t>
        </is>
      </c>
      <c r="BD805" t="inlineStr">
        <is>
          <t>893895223</t>
        </is>
      </c>
    </row>
    <row r="806">
      <c r="A806" t="inlineStr">
        <is>
          <t>No</t>
        </is>
      </c>
      <c r="B806" t="inlineStr">
        <is>
          <t>HM73 .R53 1997</t>
        </is>
      </c>
      <c r="C806" t="inlineStr">
        <is>
          <t>0                      HM 0073000R  53          1997</t>
        </is>
      </c>
      <c r="D806" t="inlineStr">
        <is>
          <t>Fields of play : constructing an academic life / Laurel Richardson.</t>
        </is>
      </c>
      <c r="F806" t="inlineStr">
        <is>
          <t>No</t>
        </is>
      </c>
      <c r="G806" t="inlineStr">
        <is>
          <t>1</t>
        </is>
      </c>
      <c r="H806" t="inlineStr">
        <is>
          <t>No</t>
        </is>
      </c>
      <c r="I806" t="inlineStr">
        <is>
          <t>No</t>
        </is>
      </c>
      <c r="J806" t="inlineStr">
        <is>
          <t>0</t>
        </is>
      </c>
      <c r="K806" t="inlineStr">
        <is>
          <t>Richardson, Laurel.</t>
        </is>
      </c>
      <c r="L806" t="inlineStr">
        <is>
          <t>New Brunswick, N.J. : Rutgers University Press, c1997.</t>
        </is>
      </c>
      <c r="M806" t="inlineStr">
        <is>
          <t>1997</t>
        </is>
      </c>
      <c r="O806" t="inlineStr">
        <is>
          <t>eng</t>
        </is>
      </c>
      <c r="P806" t="inlineStr">
        <is>
          <t>nju</t>
        </is>
      </c>
      <c r="R806" t="inlineStr">
        <is>
          <t xml:space="preserve">HM </t>
        </is>
      </c>
      <c r="S806" t="n">
        <v>1</v>
      </c>
      <c r="T806" t="n">
        <v>1</v>
      </c>
      <c r="U806" t="inlineStr">
        <is>
          <t>2003-02-16</t>
        </is>
      </c>
      <c r="V806" t="inlineStr">
        <is>
          <t>2003-02-16</t>
        </is>
      </c>
      <c r="W806" t="inlineStr">
        <is>
          <t>1998-05-11</t>
        </is>
      </c>
      <c r="X806" t="inlineStr">
        <is>
          <t>1998-05-11</t>
        </is>
      </c>
      <c r="Y806" t="n">
        <v>383</v>
      </c>
      <c r="Z806" t="n">
        <v>296</v>
      </c>
      <c r="AA806" t="n">
        <v>296</v>
      </c>
      <c r="AB806" t="n">
        <v>3</v>
      </c>
      <c r="AC806" t="n">
        <v>3</v>
      </c>
      <c r="AD806" t="n">
        <v>14</v>
      </c>
      <c r="AE806" t="n">
        <v>14</v>
      </c>
      <c r="AF806" t="n">
        <v>4</v>
      </c>
      <c r="AG806" t="n">
        <v>4</v>
      </c>
      <c r="AH806" t="n">
        <v>4</v>
      </c>
      <c r="AI806" t="n">
        <v>4</v>
      </c>
      <c r="AJ806" t="n">
        <v>7</v>
      </c>
      <c r="AK806" t="n">
        <v>7</v>
      </c>
      <c r="AL806" t="n">
        <v>2</v>
      </c>
      <c r="AM806" t="n">
        <v>2</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HYPERLINK("https://creighton-primo.hosted.exlibrisgroup.com/primo-explore/search?tab=default_tab&amp;search_scope=EVERYTHING&amp;vid=01CRU&amp;lang=en_US&amp;offset=0&amp;query=any,contains,991002645109702656","Catalog Record")</f>
        <v/>
      </c>
      <c r="AT806">
        <f>HYPERLINK("http://www.worldcat.org/oclc/34617808","WorldCat Record")</f>
        <v/>
      </c>
      <c r="AU806" t="inlineStr">
        <is>
          <t>335369633:eng</t>
        </is>
      </c>
      <c r="AV806" t="inlineStr">
        <is>
          <t>34617808</t>
        </is>
      </c>
      <c r="AW806" t="inlineStr">
        <is>
          <t>991002645109702656</t>
        </is>
      </c>
      <c r="AX806" t="inlineStr">
        <is>
          <t>991002645109702656</t>
        </is>
      </c>
      <c r="AY806" t="inlineStr">
        <is>
          <t>2269744200002656</t>
        </is>
      </c>
      <c r="AZ806" t="inlineStr">
        <is>
          <t>BOOK</t>
        </is>
      </c>
      <c r="BB806" t="inlineStr">
        <is>
          <t>9780813523781</t>
        </is>
      </c>
      <c r="BC806" t="inlineStr">
        <is>
          <t>32285003407334</t>
        </is>
      </c>
      <c r="BD806" t="inlineStr">
        <is>
          <t>893691826</t>
        </is>
      </c>
    </row>
    <row r="807">
      <c r="A807" t="inlineStr">
        <is>
          <t>No</t>
        </is>
      </c>
      <c r="B807" t="inlineStr">
        <is>
          <t>HM73 .S358</t>
        </is>
      </c>
      <c r="C807" t="inlineStr">
        <is>
          <t>0                      HM 0073000S  358</t>
        </is>
      </c>
      <c r="D807" t="inlineStr">
        <is>
          <t>Queuing and waiting : studies in the social organization of access and delay / Barry Schwartz.</t>
        </is>
      </c>
      <c r="F807" t="inlineStr">
        <is>
          <t>No</t>
        </is>
      </c>
      <c r="G807" t="inlineStr">
        <is>
          <t>1</t>
        </is>
      </c>
      <c r="H807" t="inlineStr">
        <is>
          <t>No</t>
        </is>
      </c>
      <c r="I807" t="inlineStr">
        <is>
          <t>No</t>
        </is>
      </c>
      <c r="J807" t="inlineStr">
        <is>
          <t>0</t>
        </is>
      </c>
      <c r="K807" t="inlineStr">
        <is>
          <t>Schwartz, Barry, 1938-</t>
        </is>
      </c>
      <c r="L807" t="inlineStr">
        <is>
          <t>Chicago : University of Chicago Press, 1975.</t>
        </is>
      </c>
      <c r="M807" t="inlineStr">
        <is>
          <t>1975</t>
        </is>
      </c>
      <c r="O807" t="inlineStr">
        <is>
          <t>eng</t>
        </is>
      </c>
      <c r="P807" t="inlineStr">
        <is>
          <t>ilu</t>
        </is>
      </c>
      <c r="R807" t="inlineStr">
        <is>
          <t xml:space="preserve">HM </t>
        </is>
      </c>
      <c r="S807" t="n">
        <v>3</v>
      </c>
      <c r="T807" t="n">
        <v>3</v>
      </c>
      <c r="U807" t="inlineStr">
        <is>
          <t>1999-05-18</t>
        </is>
      </c>
      <c r="V807" t="inlineStr">
        <is>
          <t>1999-05-18</t>
        </is>
      </c>
      <c r="W807" t="inlineStr">
        <is>
          <t>1992-01-22</t>
        </is>
      </c>
      <c r="X807" t="inlineStr">
        <is>
          <t>1992-01-22</t>
        </is>
      </c>
      <c r="Y807" t="n">
        <v>596</v>
      </c>
      <c r="Z807" t="n">
        <v>483</v>
      </c>
      <c r="AA807" t="n">
        <v>488</v>
      </c>
      <c r="AB807" t="n">
        <v>5</v>
      </c>
      <c r="AC807" t="n">
        <v>5</v>
      </c>
      <c r="AD807" t="n">
        <v>25</v>
      </c>
      <c r="AE807" t="n">
        <v>25</v>
      </c>
      <c r="AF807" t="n">
        <v>7</v>
      </c>
      <c r="AG807" t="n">
        <v>7</v>
      </c>
      <c r="AH807" t="n">
        <v>6</v>
      </c>
      <c r="AI807" t="n">
        <v>6</v>
      </c>
      <c r="AJ807" t="n">
        <v>13</v>
      </c>
      <c r="AK807" t="n">
        <v>13</v>
      </c>
      <c r="AL807" t="n">
        <v>4</v>
      </c>
      <c r="AM807" t="n">
        <v>4</v>
      </c>
      <c r="AN807" t="n">
        <v>1</v>
      </c>
      <c r="AO807" t="n">
        <v>1</v>
      </c>
      <c r="AP807" t="inlineStr">
        <is>
          <t>No</t>
        </is>
      </c>
      <c r="AQ807" t="inlineStr">
        <is>
          <t>No</t>
        </is>
      </c>
      <c r="AS807">
        <f>HYPERLINK("https://creighton-primo.hosted.exlibrisgroup.com/primo-explore/search?tab=default_tab&amp;search_scope=EVERYTHING&amp;vid=01CRU&amp;lang=en_US&amp;offset=0&amp;query=any,contains,991003691989702656","Catalog Record")</f>
        <v/>
      </c>
      <c r="AT807">
        <f>HYPERLINK("http://www.worldcat.org/oclc/1322934","WorldCat Record")</f>
        <v/>
      </c>
      <c r="AU807" t="inlineStr">
        <is>
          <t>473689869:eng</t>
        </is>
      </c>
      <c r="AV807" t="inlineStr">
        <is>
          <t>1322934</t>
        </is>
      </c>
      <c r="AW807" t="inlineStr">
        <is>
          <t>991003691989702656</t>
        </is>
      </c>
      <c r="AX807" t="inlineStr">
        <is>
          <t>991003691989702656</t>
        </is>
      </c>
      <c r="AY807" t="inlineStr">
        <is>
          <t>2254922200002656</t>
        </is>
      </c>
      <c r="AZ807" t="inlineStr">
        <is>
          <t>BOOK</t>
        </is>
      </c>
      <c r="BB807" t="inlineStr">
        <is>
          <t>9780226742106</t>
        </is>
      </c>
      <c r="BC807" t="inlineStr">
        <is>
          <t>32285000898238</t>
        </is>
      </c>
      <c r="BD807" t="inlineStr">
        <is>
          <t>893605082</t>
        </is>
      </c>
    </row>
    <row r="808">
      <c r="A808" t="inlineStr">
        <is>
          <t>No</t>
        </is>
      </c>
      <c r="B808" t="inlineStr">
        <is>
          <t>HM73 .T47</t>
        </is>
      </c>
      <c r="C808" t="inlineStr">
        <is>
          <t>0                      HM 0073000T  47</t>
        </is>
      </c>
      <c r="D808" t="inlineStr">
        <is>
          <t>Three faces of pluralism : political, ethnic, and religious / edited by Stanislaw Ehrlich and Graham Wootton.</t>
        </is>
      </c>
      <c r="F808" t="inlineStr">
        <is>
          <t>No</t>
        </is>
      </c>
      <c r="G808" t="inlineStr">
        <is>
          <t>1</t>
        </is>
      </c>
      <c r="H808" t="inlineStr">
        <is>
          <t>No</t>
        </is>
      </c>
      <c r="I808" t="inlineStr">
        <is>
          <t>No</t>
        </is>
      </c>
      <c r="J808" t="inlineStr">
        <is>
          <t>0</t>
        </is>
      </c>
      <c r="L808" t="inlineStr">
        <is>
          <t>Farnborough, Eng. : Gower, c1980.</t>
        </is>
      </c>
      <c r="M808" t="inlineStr">
        <is>
          <t>1980</t>
        </is>
      </c>
      <c r="O808" t="inlineStr">
        <is>
          <t>eng</t>
        </is>
      </c>
      <c r="P808" t="inlineStr">
        <is>
          <t>enk</t>
        </is>
      </c>
      <c r="R808" t="inlineStr">
        <is>
          <t xml:space="preserve">HM </t>
        </is>
      </c>
      <c r="S808" t="n">
        <v>3</v>
      </c>
      <c r="T808" t="n">
        <v>3</v>
      </c>
      <c r="U808" t="inlineStr">
        <is>
          <t>2001-11-26</t>
        </is>
      </c>
      <c r="V808" t="inlineStr">
        <is>
          <t>2001-11-26</t>
        </is>
      </c>
      <c r="W808" t="inlineStr">
        <is>
          <t>1992-08-14</t>
        </is>
      </c>
      <c r="X808" t="inlineStr">
        <is>
          <t>1992-08-14</t>
        </is>
      </c>
      <c r="Y808" t="n">
        <v>306</v>
      </c>
      <c r="Z808" t="n">
        <v>172</v>
      </c>
      <c r="AA808" t="n">
        <v>179</v>
      </c>
      <c r="AB808" t="n">
        <v>3</v>
      </c>
      <c r="AC808" t="n">
        <v>3</v>
      </c>
      <c r="AD808" t="n">
        <v>6</v>
      </c>
      <c r="AE808" t="n">
        <v>6</v>
      </c>
      <c r="AF808" t="n">
        <v>0</v>
      </c>
      <c r="AG808" t="n">
        <v>0</v>
      </c>
      <c r="AH808" t="n">
        <v>1</v>
      </c>
      <c r="AI808" t="n">
        <v>1</v>
      </c>
      <c r="AJ808" t="n">
        <v>4</v>
      </c>
      <c r="AK808" t="n">
        <v>4</v>
      </c>
      <c r="AL808" t="n">
        <v>2</v>
      </c>
      <c r="AM808" t="n">
        <v>2</v>
      </c>
      <c r="AN808" t="n">
        <v>0</v>
      </c>
      <c r="AO808" t="n">
        <v>0</v>
      </c>
      <c r="AP808" t="inlineStr">
        <is>
          <t>No</t>
        </is>
      </c>
      <c r="AQ808" t="inlineStr">
        <is>
          <t>Yes</t>
        </is>
      </c>
      <c r="AR808">
        <f>HYPERLINK("http://catalog.hathitrust.org/Record/002193611","HathiTrust Record")</f>
        <v/>
      </c>
      <c r="AS808">
        <f>HYPERLINK("https://creighton-primo.hosted.exlibrisgroup.com/primo-explore/search?tab=default_tab&amp;search_scope=EVERYTHING&amp;vid=01CRU&amp;lang=en_US&amp;offset=0&amp;query=any,contains,991005078889702656","Catalog Record")</f>
        <v/>
      </c>
      <c r="AT808">
        <f>HYPERLINK("http://www.worldcat.org/oclc/7167646","WorldCat Record")</f>
        <v/>
      </c>
      <c r="AU808" t="inlineStr">
        <is>
          <t>890180777:eng</t>
        </is>
      </c>
      <c r="AV808" t="inlineStr">
        <is>
          <t>7167646</t>
        </is>
      </c>
      <c r="AW808" t="inlineStr">
        <is>
          <t>991005078889702656</t>
        </is>
      </c>
      <c r="AX808" t="inlineStr">
        <is>
          <t>991005078889702656</t>
        </is>
      </c>
      <c r="AY808" t="inlineStr">
        <is>
          <t>2270408370002656</t>
        </is>
      </c>
      <c r="AZ808" t="inlineStr">
        <is>
          <t>BOOK</t>
        </is>
      </c>
      <c r="BB808" t="inlineStr">
        <is>
          <t>9780566003134</t>
        </is>
      </c>
      <c r="BC808" t="inlineStr">
        <is>
          <t>32285001265221</t>
        </is>
      </c>
      <c r="BD808" t="inlineStr">
        <is>
          <t>893628521</t>
        </is>
      </c>
    </row>
    <row r="809">
      <c r="A809" t="inlineStr">
        <is>
          <t>No</t>
        </is>
      </c>
      <c r="B809" t="inlineStr">
        <is>
          <t>HM73 .Z43</t>
        </is>
      </c>
      <c r="C809" t="inlineStr">
        <is>
          <t>0                      HM 0073000Z  43</t>
        </is>
      </c>
      <c r="D809" t="inlineStr">
        <is>
          <t>Hidden rhythms : schedules and calendars in social life / Eviatar Zerubavel.</t>
        </is>
      </c>
      <c r="F809" t="inlineStr">
        <is>
          <t>No</t>
        </is>
      </c>
      <c r="G809" t="inlineStr">
        <is>
          <t>1</t>
        </is>
      </c>
      <c r="H809" t="inlineStr">
        <is>
          <t>No</t>
        </is>
      </c>
      <c r="I809" t="inlineStr">
        <is>
          <t>No</t>
        </is>
      </c>
      <c r="J809" t="inlineStr">
        <is>
          <t>0</t>
        </is>
      </c>
      <c r="K809" t="inlineStr">
        <is>
          <t>Zerubavel, Eviatar.</t>
        </is>
      </c>
      <c r="L809" t="inlineStr">
        <is>
          <t>Chicago : University of Chicago Press, 1981.</t>
        </is>
      </c>
      <c r="M809" t="inlineStr">
        <is>
          <t>1981</t>
        </is>
      </c>
      <c r="O809" t="inlineStr">
        <is>
          <t>eng</t>
        </is>
      </c>
      <c r="P809" t="inlineStr">
        <is>
          <t>ilu</t>
        </is>
      </c>
      <c r="R809" t="inlineStr">
        <is>
          <t xml:space="preserve">HM </t>
        </is>
      </c>
      <c r="S809" t="n">
        <v>4</v>
      </c>
      <c r="T809" t="n">
        <v>4</v>
      </c>
      <c r="U809" t="inlineStr">
        <is>
          <t>2008-10-27</t>
        </is>
      </c>
      <c r="V809" t="inlineStr">
        <is>
          <t>2008-10-27</t>
        </is>
      </c>
      <c r="W809" t="inlineStr">
        <is>
          <t>1992-08-14</t>
        </is>
      </c>
      <c r="X809" t="inlineStr">
        <is>
          <t>1992-08-14</t>
        </is>
      </c>
      <c r="Y809" t="n">
        <v>517</v>
      </c>
      <c r="Z809" t="n">
        <v>415</v>
      </c>
      <c r="AA809" t="n">
        <v>486</v>
      </c>
      <c r="AB809" t="n">
        <v>3</v>
      </c>
      <c r="AC809" t="n">
        <v>3</v>
      </c>
      <c r="AD809" t="n">
        <v>21</v>
      </c>
      <c r="AE809" t="n">
        <v>24</v>
      </c>
      <c r="AF809" t="n">
        <v>7</v>
      </c>
      <c r="AG809" t="n">
        <v>9</v>
      </c>
      <c r="AH809" t="n">
        <v>6</v>
      </c>
      <c r="AI809" t="n">
        <v>6</v>
      </c>
      <c r="AJ809" t="n">
        <v>11</v>
      </c>
      <c r="AK809" t="n">
        <v>12</v>
      </c>
      <c r="AL809" t="n">
        <v>2</v>
      </c>
      <c r="AM809" t="n">
        <v>2</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HYPERLINK("https://creighton-primo.hosted.exlibrisgroup.com/primo-explore/search?tab=default_tab&amp;search_scope=EVERYTHING&amp;vid=01CRU&amp;lang=en_US&amp;offset=0&amp;query=any,contains,991005127669702656","Catalog Record")</f>
        <v/>
      </c>
      <c r="AT809">
        <f>HYPERLINK("http://www.worldcat.org/oclc/7554645","WorldCat Record")</f>
        <v/>
      </c>
      <c r="AU809" t="inlineStr">
        <is>
          <t>419588:eng</t>
        </is>
      </c>
      <c r="AV809" t="inlineStr">
        <is>
          <t>7554645</t>
        </is>
      </c>
      <c r="AW809" t="inlineStr">
        <is>
          <t>991005127669702656</t>
        </is>
      </c>
      <c r="AX809" t="inlineStr">
        <is>
          <t>991005127669702656</t>
        </is>
      </c>
      <c r="AY809" t="inlineStr">
        <is>
          <t>2264554580002656</t>
        </is>
      </c>
      <c r="AZ809" t="inlineStr">
        <is>
          <t>BOOK</t>
        </is>
      </c>
      <c r="BB809" t="inlineStr">
        <is>
          <t>9780226981628</t>
        </is>
      </c>
      <c r="BC809" t="inlineStr">
        <is>
          <t>32285001265247</t>
        </is>
      </c>
      <c r="BD809" t="inlineStr">
        <is>
          <t>893600663</t>
        </is>
      </c>
    </row>
    <row r="810">
      <c r="A810" t="inlineStr">
        <is>
          <t>No</t>
        </is>
      </c>
      <c r="B810" t="inlineStr">
        <is>
          <t>HM736 .N35 2004</t>
        </is>
      </c>
      <c r="C810" t="inlineStr">
        <is>
          <t>0                      HM 0736000N  35          2004</t>
        </is>
      </c>
      <c r="D810" t="inlineStr">
        <is>
          <t>Groups : theory and experience / Rodney W. Napier, Matti K. Gershenfeld.</t>
        </is>
      </c>
      <c r="F810" t="inlineStr">
        <is>
          <t>No</t>
        </is>
      </c>
      <c r="G810" t="inlineStr">
        <is>
          <t>1</t>
        </is>
      </c>
      <c r="H810" t="inlineStr">
        <is>
          <t>No</t>
        </is>
      </c>
      <c r="I810" t="inlineStr">
        <is>
          <t>No</t>
        </is>
      </c>
      <c r="J810" t="inlineStr">
        <is>
          <t>0</t>
        </is>
      </c>
      <c r="K810" t="inlineStr">
        <is>
          <t>Napier, Rodney.</t>
        </is>
      </c>
      <c r="L810" t="inlineStr">
        <is>
          <t>Boston : Houghton Mifflin, c2004.</t>
        </is>
      </c>
      <c r="M810" t="inlineStr">
        <is>
          <t>2004</t>
        </is>
      </c>
      <c r="N810" t="inlineStr">
        <is>
          <t>7th ed.</t>
        </is>
      </c>
      <c r="O810" t="inlineStr">
        <is>
          <t>eng</t>
        </is>
      </c>
      <c r="P810" t="inlineStr">
        <is>
          <t>mau</t>
        </is>
      </c>
      <c r="R810" t="inlineStr">
        <is>
          <t xml:space="preserve">HM </t>
        </is>
      </c>
      <c r="S810" t="n">
        <v>2</v>
      </c>
      <c r="T810" t="n">
        <v>2</v>
      </c>
      <c r="U810" t="inlineStr">
        <is>
          <t>2009-09-14</t>
        </is>
      </c>
      <c r="V810" t="inlineStr">
        <is>
          <t>2009-09-14</t>
        </is>
      </c>
      <c r="W810" t="inlineStr">
        <is>
          <t>2004-10-26</t>
        </is>
      </c>
      <c r="X810" t="inlineStr">
        <is>
          <t>2004-10-26</t>
        </is>
      </c>
      <c r="Y810" t="n">
        <v>167</v>
      </c>
      <c r="Z810" t="n">
        <v>88</v>
      </c>
      <c r="AA810" t="n">
        <v>898</v>
      </c>
      <c r="AB810" t="n">
        <v>1</v>
      </c>
      <c r="AC810" t="n">
        <v>7</v>
      </c>
      <c r="AD810" t="n">
        <v>0</v>
      </c>
      <c r="AE810" t="n">
        <v>37</v>
      </c>
      <c r="AF810" t="n">
        <v>0</v>
      </c>
      <c r="AG810" t="n">
        <v>13</v>
      </c>
      <c r="AH810" t="n">
        <v>0</v>
      </c>
      <c r="AI810" t="n">
        <v>7</v>
      </c>
      <c r="AJ810" t="n">
        <v>0</v>
      </c>
      <c r="AK810" t="n">
        <v>18</v>
      </c>
      <c r="AL810" t="n">
        <v>0</v>
      </c>
      <c r="AM810" t="n">
        <v>6</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HYPERLINK("https://creighton-primo.hosted.exlibrisgroup.com/primo-explore/search?tab=default_tab&amp;search_scope=EVERYTHING&amp;vid=01CRU&amp;lang=en_US&amp;offset=0&amp;query=any,contains,991004365169702656","Catalog Record")</f>
        <v/>
      </c>
      <c r="AT810">
        <f>HYPERLINK("http://www.worldcat.org/oclc/52859600","WorldCat Record")</f>
        <v/>
      </c>
      <c r="AU810" t="inlineStr">
        <is>
          <t>1614055:eng</t>
        </is>
      </c>
      <c r="AV810" t="inlineStr">
        <is>
          <t>52859600</t>
        </is>
      </c>
      <c r="AW810" t="inlineStr">
        <is>
          <t>991004365169702656</t>
        </is>
      </c>
      <c r="AX810" t="inlineStr">
        <is>
          <t>991004365169702656</t>
        </is>
      </c>
      <c r="AY810" t="inlineStr">
        <is>
          <t>2263373170002656</t>
        </is>
      </c>
      <c r="AZ810" t="inlineStr">
        <is>
          <t>BOOK</t>
        </is>
      </c>
      <c r="BB810" t="inlineStr">
        <is>
          <t>9780618270446</t>
        </is>
      </c>
      <c r="BC810" t="inlineStr">
        <is>
          <t>32285005006324</t>
        </is>
      </c>
      <c r="BD810" t="inlineStr">
        <is>
          <t>893693857</t>
        </is>
      </c>
    </row>
    <row r="811">
      <c r="A811" t="inlineStr">
        <is>
          <t>No</t>
        </is>
      </c>
      <c r="B811" t="inlineStr">
        <is>
          <t>HM741 .M47 2005</t>
        </is>
      </c>
      <c r="C811" t="inlineStr">
        <is>
          <t>0                      HM 0741000M  47          2005</t>
        </is>
      </c>
      <c r="D811" t="inlineStr">
        <is>
          <t>One phone call away : secrets of a master networker / Jeff W. Meshel ; with Doug Garr.</t>
        </is>
      </c>
      <c r="F811" t="inlineStr">
        <is>
          <t>No</t>
        </is>
      </c>
      <c r="G811" t="inlineStr">
        <is>
          <t>1</t>
        </is>
      </c>
      <c r="H811" t="inlineStr">
        <is>
          <t>No</t>
        </is>
      </c>
      <c r="I811" t="inlineStr">
        <is>
          <t>No</t>
        </is>
      </c>
      <c r="J811" t="inlineStr">
        <is>
          <t>0</t>
        </is>
      </c>
      <c r="K811" t="inlineStr">
        <is>
          <t>Meshel, Jeff.</t>
        </is>
      </c>
      <c r="L811" t="inlineStr">
        <is>
          <t>New York : Portfolio, 2005.</t>
        </is>
      </c>
      <c r="M811" t="inlineStr">
        <is>
          <t>2005</t>
        </is>
      </c>
      <c r="O811" t="inlineStr">
        <is>
          <t>eng</t>
        </is>
      </c>
      <c r="P811" t="inlineStr">
        <is>
          <t>nyu</t>
        </is>
      </c>
      <c r="R811" t="inlineStr">
        <is>
          <t xml:space="preserve">HM </t>
        </is>
      </c>
      <c r="S811" t="n">
        <v>3</v>
      </c>
      <c r="T811" t="n">
        <v>3</v>
      </c>
      <c r="U811" t="inlineStr">
        <is>
          <t>2008-03-12</t>
        </is>
      </c>
      <c r="V811" t="inlineStr">
        <is>
          <t>2008-03-12</t>
        </is>
      </c>
      <c r="W811" t="inlineStr">
        <is>
          <t>2006-11-21</t>
        </is>
      </c>
      <c r="X811" t="inlineStr">
        <is>
          <t>2006-11-21</t>
        </is>
      </c>
      <c r="Y811" t="n">
        <v>368</v>
      </c>
      <c r="Z811" t="n">
        <v>340</v>
      </c>
      <c r="AA811" t="n">
        <v>341</v>
      </c>
      <c r="AB811" t="n">
        <v>2</v>
      </c>
      <c r="AC811" t="n">
        <v>2</v>
      </c>
      <c r="AD811" t="n">
        <v>2</v>
      </c>
      <c r="AE811" t="n">
        <v>2</v>
      </c>
      <c r="AF811" t="n">
        <v>1</v>
      </c>
      <c r="AG811" t="n">
        <v>1</v>
      </c>
      <c r="AH811" t="n">
        <v>1</v>
      </c>
      <c r="AI811" t="n">
        <v>1</v>
      </c>
      <c r="AJ811" t="n">
        <v>2</v>
      </c>
      <c r="AK811" t="n">
        <v>2</v>
      </c>
      <c r="AL811" t="n">
        <v>0</v>
      </c>
      <c r="AM811" t="n">
        <v>0</v>
      </c>
      <c r="AN811" t="n">
        <v>0</v>
      </c>
      <c r="AO811" t="n">
        <v>0</v>
      </c>
      <c r="AP811" t="inlineStr">
        <is>
          <t>No</t>
        </is>
      </c>
      <c r="AQ811" t="inlineStr">
        <is>
          <t>Yes</t>
        </is>
      </c>
      <c r="AR811">
        <f>HYPERLINK("http://catalog.hathitrust.org/Record/007049817","HathiTrust Record")</f>
        <v/>
      </c>
      <c r="AS811">
        <f>HYPERLINK("https://creighton-primo.hosted.exlibrisgroup.com/primo-explore/search?tab=default_tab&amp;search_scope=EVERYTHING&amp;vid=01CRU&amp;lang=en_US&amp;offset=0&amp;query=any,contains,991004960079702656","Catalog Record")</f>
        <v/>
      </c>
      <c r="AT811">
        <f>HYPERLINK("http://www.worldcat.org/oclc/61131863","WorldCat Record")</f>
        <v/>
      </c>
      <c r="AU811" t="inlineStr">
        <is>
          <t>102031100:eng</t>
        </is>
      </c>
      <c r="AV811" t="inlineStr">
        <is>
          <t>61131863</t>
        </is>
      </c>
      <c r="AW811" t="inlineStr">
        <is>
          <t>991004960079702656</t>
        </is>
      </c>
      <c r="AX811" t="inlineStr">
        <is>
          <t>991004960079702656</t>
        </is>
      </c>
      <c r="AY811" t="inlineStr">
        <is>
          <t>2260337180002656</t>
        </is>
      </c>
      <c r="AZ811" t="inlineStr">
        <is>
          <t>BOOK</t>
        </is>
      </c>
      <c r="BB811" t="inlineStr">
        <is>
          <t>9781591840909</t>
        </is>
      </c>
      <c r="BC811" t="inlineStr">
        <is>
          <t>32285005261317</t>
        </is>
      </c>
      <c r="BD811" t="inlineStr">
        <is>
          <t>893412142</t>
        </is>
      </c>
    </row>
    <row r="812">
      <c r="A812" t="inlineStr">
        <is>
          <t>No</t>
        </is>
      </c>
      <c r="B812" t="inlineStr">
        <is>
          <t>HM741 .S585 2009</t>
        </is>
      </c>
      <c r="C812" t="inlineStr">
        <is>
          <t>0                      HM 0741000S  585         2009</t>
        </is>
      </c>
      <c r="D812" t="inlineStr">
        <is>
          <t>Unanticipated gains : origins of network inequality in everyday life / Mario Luis Small.</t>
        </is>
      </c>
      <c r="F812" t="inlineStr">
        <is>
          <t>No</t>
        </is>
      </c>
      <c r="G812" t="inlineStr">
        <is>
          <t>1</t>
        </is>
      </c>
      <c r="H812" t="inlineStr">
        <is>
          <t>No</t>
        </is>
      </c>
      <c r="I812" t="inlineStr">
        <is>
          <t>No</t>
        </is>
      </c>
      <c r="J812" t="inlineStr">
        <is>
          <t>0</t>
        </is>
      </c>
      <c r="K812" t="inlineStr">
        <is>
          <t>Small, Mario Luis.</t>
        </is>
      </c>
      <c r="L812" t="inlineStr">
        <is>
          <t>Oxford ; New York : Oxford University Press, 2009.</t>
        </is>
      </c>
      <c r="M812" t="inlineStr">
        <is>
          <t>2009</t>
        </is>
      </c>
      <c r="O812" t="inlineStr">
        <is>
          <t>eng</t>
        </is>
      </c>
      <c r="P812" t="inlineStr">
        <is>
          <t>enk</t>
        </is>
      </c>
      <c r="R812" t="inlineStr">
        <is>
          <t xml:space="preserve">HM </t>
        </is>
      </c>
      <c r="S812" t="n">
        <v>1</v>
      </c>
      <c r="T812" t="n">
        <v>1</v>
      </c>
      <c r="U812" t="inlineStr">
        <is>
          <t>2009-10-05</t>
        </is>
      </c>
      <c r="V812" t="inlineStr">
        <is>
          <t>2009-10-05</t>
        </is>
      </c>
      <c r="W812" t="inlineStr">
        <is>
          <t>2009-10-05</t>
        </is>
      </c>
      <c r="X812" t="inlineStr">
        <is>
          <t>2009-10-05</t>
        </is>
      </c>
      <c r="Y812" t="n">
        <v>543</v>
      </c>
      <c r="Z812" t="n">
        <v>468</v>
      </c>
      <c r="AA812" t="n">
        <v>848</v>
      </c>
      <c r="AB812" t="n">
        <v>4</v>
      </c>
      <c r="AC812" t="n">
        <v>8</v>
      </c>
      <c r="AD812" t="n">
        <v>27</v>
      </c>
      <c r="AE812" t="n">
        <v>45</v>
      </c>
      <c r="AF812" t="n">
        <v>13</v>
      </c>
      <c r="AG812" t="n">
        <v>18</v>
      </c>
      <c r="AH812" t="n">
        <v>5</v>
      </c>
      <c r="AI812" t="n">
        <v>10</v>
      </c>
      <c r="AJ812" t="n">
        <v>12</v>
      </c>
      <c r="AK812" t="n">
        <v>18</v>
      </c>
      <c r="AL812" t="n">
        <v>3</v>
      </c>
      <c r="AM812" t="n">
        <v>7</v>
      </c>
      <c r="AN812" t="n">
        <v>0</v>
      </c>
      <c r="AO812" t="n">
        <v>1</v>
      </c>
      <c r="AP812" t="inlineStr">
        <is>
          <t>No</t>
        </is>
      </c>
      <c r="AQ812" t="inlineStr">
        <is>
          <t>No</t>
        </is>
      </c>
      <c r="AS812">
        <f>HYPERLINK("https://creighton-primo.hosted.exlibrisgroup.com/primo-explore/search?tab=default_tab&amp;search_scope=EVERYTHING&amp;vid=01CRU&amp;lang=en_US&amp;offset=0&amp;query=any,contains,991005337529702656","Catalog Record")</f>
        <v/>
      </c>
      <c r="AT812">
        <f>HYPERLINK("http://www.worldcat.org/oclc/257556975","WorldCat Record")</f>
        <v/>
      </c>
      <c r="AU812" t="inlineStr">
        <is>
          <t>801842821:eng</t>
        </is>
      </c>
      <c r="AV812" t="inlineStr">
        <is>
          <t>257556975</t>
        </is>
      </c>
      <c r="AW812" t="inlineStr">
        <is>
          <t>991005337529702656</t>
        </is>
      </c>
      <c r="AX812" t="inlineStr">
        <is>
          <t>991005337529702656</t>
        </is>
      </c>
      <c r="AY812" t="inlineStr">
        <is>
          <t>2271999320002656</t>
        </is>
      </c>
      <c r="AZ812" t="inlineStr">
        <is>
          <t>BOOK</t>
        </is>
      </c>
      <c r="BB812" t="inlineStr">
        <is>
          <t>9780195384352</t>
        </is>
      </c>
      <c r="BC812" t="inlineStr">
        <is>
          <t>32285005546501</t>
        </is>
      </c>
      <c r="BD812" t="inlineStr">
        <is>
          <t>893783418</t>
        </is>
      </c>
    </row>
    <row r="813">
      <c r="A813" t="inlineStr">
        <is>
          <t>No</t>
        </is>
      </c>
      <c r="B813" t="inlineStr">
        <is>
          <t>HM741 .S63 2007</t>
        </is>
      </c>
      <c r="C813" t="inlineStr">
        <is>
          <t>0                      HM 0741000S  63          2007</t>
        </is>
      </c>
      <c r="D813" t="inlineStr">
        <is>
          <t>Social network analysis and children's peer relationships / Philip C. Rodkin, Laura D. Hanish, editors.</t>
        </is>
      </c>
      <c r="F813" t="inlineStr">
        <is>
          <t>No</t>
        </is>
      </c>
      <c r="G813" t="inlineStr">
        <is>
          <t>1</t>
        </is>
      </c>
      <c r="H813" t="inlineStr">
        <is>
          <t>No</t>
        </is>
      </c>
      <c r="I813" t="inlineStr">
        <is>
          <t>No</t>
        </is>
      </c>
      <c r="J813" t="inlineStr">
        <is>
          <t>0</t>
        </is>
      </c>
      <c r="L813" t="inlineStr">
        <is>
          <t>San Francisco : Jossey-Bass, c2007.</t>
        </is>
      </c>
      <c r="M813" t="inlineStr">
        <is>
          <t>2008</t>
        </is>
      </c>
      <c r="O813" t="inlineStr">
        <is>
          <t>eng</t>
        </is>
      </c>
      <c r="P813" t="inlineStr">
        <is>
          <t xml:space="preserve">xx </t>
        </is>
      </c>
      <c r="Q813" t="inlineStr">
        <is>
          <t>New directions for child and adolescent development, 1520-3247 ; no. 118</t>
        </is>
      </c>
      <c r="R813" t="inlineStr">
        <is>
          <t xml:space="preserve">HM </t>
        </is>
      </c>
      <c r="S813" t="n">
        <v>1</v>
      </c>
      <c r="T813" t="n">
        <v>1</v>
      </c>
      <c r="U813" t="inlineStr">
        <is>
          <t>2008-05-05</t>
        </is>
      </c>
      <c r="V813" t="inlineStr">
        <is>
          <t>2008-05-05</t>
        </is>
      </c>
      <c r="W813" t="inlineStr">
        <is>
          <t>2008-05-05</t>
        </is>
      </c>
      <c r="X813" t="inlineStr">
        <is>
          <t>2008-05-05</t>
        </is>
      </c>
      <c r="Y813" t="n">
        <v>243</v>
      </c>
      <c r="Z813" t="n">
        <v>198</v>
      </c>
      <c r="AA813" t="n">
        <v>204</v>
      </c>
      <c r="AB813" t="n">
        <v>2</v>
      </c>
      <c r="AC813" t="n">
        <v>2</v>
      </c>
      <c r="AD813" t="n">
        <v>14</v>
      </c>
      <c r="AE813" t="n">
        <v>14</v>
      </c>
      <c r="AF813" t="n">
        <v>6</v>
      </c>
      <c r="AG813" t="n">
        <v>6</v>
      </c>
      <c r="AH813" t="n">
        <v>3</v>
      </c>
      <c r="AI813" t="n">
        <v>3</v>
      </c>
      <c r="AJ813" t="n">
        <v>8</v>
      </c>
      <c r="AK813" t="n">
        <v>8</v>
      </c>
      <c r="AL813" t="n">
        <v>1</v>
      </c>
      <c r="AM813" t="n">
        <v>1</v>
      </c>
      <c r="AN813" t="n">
        <v>0</v>
      </c>
      <c r="AO813" t="n">
        <v>0</v>
      </c>
      <c r="AP813" t="inlineStr">
        <is>
          <t>No</t>
        </is>
      </c>
      <c r="AQ813" t="inlineStr">
        <is>
          <t>Yes</t>
        </is>
      </c>
      <c r="AR813">
        <f>HYPERLINK("http://catalog.hathitrust.org/Record/005663884","HathiTrust Record")</f>
        <v/>
      </c>
      <c r="AS813">
        <f>HYPERLINK("https://creighton-primo.hosted.exlibrisgroup.com/primo-explore/search?tab=default_tab&amp;search_scope=EVERYTHING&amp;vid=01CRU&amp;lang=en_US&amp;offset=0&amp;query=any,contains,991005194829702656","Catalog Record")</f>
        <v/>
      </c>
      <c r="AT813">
        <f>HYPERLINK("http://www.worldcat.org/oclc/176895592","WorldCat Record")</f>
        <v/>
      </c>
      <c r="AU813" t="inlineStr">
        <is>
          <t>355076673:eng</t>
        </is>
      </c>
      <c r="AV813" t="inlineStr">
        <is>
          <t>176895592</t>
        </is>
      </c>
      <c r="AW813" t="inlineStr">
        <is>
          <t>991005194829702656</t>
        </is>
      </c>
      <c r="AX813" t="inlineStr">
        <is>
          <t>991005194829702656</t>
        </is>
      </c>
      <c r="AY813" t="inlineStr">
        <is>
          <t>2263654470002656</t>
        </is>
      </c>
      <c r="AZ813" t="inlineStr">
        <is>
          <t>BOOK</t>
        </is>
      </c>
      <c r="BB813" t="inlineStr">
        <is>
          <t>9780470259665</t>
        </is>
      </c>
      <c r="BC813" t="inlineStr">
        <is>
          <t>32285005405336</t>
        </is>
      </c>
      <c r="BD813" t="inlineStr">
        <is>
          <t>893807969</t>
        </is>
      </c>
    </row>
    <row r="814">
      <c r="A814" t="inlineStr">
        <is>
          <t>No</t>
        </is>
      </c>
      <c r="B814" t="inlineStr">
        <is>
          <t>HM742 .W38 2009</t>
        </is>
      </c>
      <c r="C814" t="inlineStr">
        <is>
          <t>0                      HM 0742000W  38          2009</t>
        </is>
      </c>
      <c r="D814" t="inlineStr">
        <is>
          <t>CauseWired : plugging in, getting involved, changing the world / Tom Watson.</t>
        </is>
      </c>
      <c r="F814" t="inlineStr">
        <is>
          <t>No</t>
        </is>
      </c>
      <c r="G814" t="inlineStr">
        <is>
          <t>1</t>
        </is>
      </c>
      <c r="H814" t="inlineStr">
        <is>
          <t>No</t>
        </is>
      </c>
      <c r="I814" t="inlineStr">
        <is>
          <t>No</t>
        </is>
      </c>
      <c r="J814" t="inlineStr">
        <is>
          <t>0</t>
        </is>
      </c>
      <c r="K814" t="inlineStr">
        <is>
          <t>Watson, Tom, 1962-</t>
        </is>
      </c>
      <c r="L814" t="inlineStr">
        <is>
          <t>Hoboken, N.J. : Wiley, c2009.</t>
        </is>
      </c>
      <c r="M814" t="inlineStr">
        <is>
          <t>2009</t>
        </is>
      </c>
      <c r="O814" t="inlineStr">
        <is>
          <t>eng</t>
        </is>
      </c>
      <c r="P814" t="inlineStr">
        <is>
          <t>nju</t>
        </is>
      </c>
      <c r="R814" t="inlineStr">
        <is>
          <t xml:space="preserve">HM </t>
        </is>
      </c>
      <c r="S814" t="n">
        <v>1</v>
      </c>
      <c r="T814" t="n">
        <v>1</v>
      </c>
      <c r="U814" t="inlineStr">
        <is>
          <t>2010-02-02</t>
        </is>
      </c>
      <c r="V814" t="inlineStr">
        <is>
          <t>2010-02-02</t>
        </is>
      </c>
      <c r="W814" t="inlineStr">
        <is>
          <t>2010-02-02</t>
        </is>
      </c>
      <c r="X814" t="inlineStr">
        <is>
          <t>2010-02-02</t>
        </is>
      </c>
      <c r="Y814" t="n">
        <v>362</v>
      </c>
      <c r="Z814" t="n">
        <v>293</v>
      </c>
      <c r="AA814" t="n">
        <v>365</v>
      </c>
      <c r="AB814" t="n">
        <v>2</v>
      </c>
      <c r="AC814" t="n">
        <v>2</v>
      </c>
      <c r="AD814" t="n">
        <v>12</v>
      </c>
      <c r="AE814" t="n">
        <v>14</v>
      </c>
      <c r="AF814" t="n">
        <v>3</v>
      </c>
      <c r="AG814" t="n">
        <v>4</v>
      </c>
      <c r="AH814" t="n">
        <v>4</v>
      </c>
      <c r="AI814" t="n">
        <v>5</v>
      </c>
      <c r="AJ814" t="n">
        <v>7</v>
      </c>
      <c r="AK814" t="n">
        <v>8</v>
      </c>
      <c r="AL814" t="n">
        <v>1</v>
      </c>
      <c r="AM814" t="n">
        <v>1</v>
      </c>
      <c r="AN814" t="n">
        <v>1</v>
      </c>
      <c r="AO814" t="n">
        <v>1</v>
      </c>
      <c r="AP814" t="inlineStr">
        <is>
          <t>No</t>
        </is>
      </c>
      <c r="AQ814" t="inlineStr">
        <is>
          <t>Yes</t>
        </is>
      </c>
      <c r="AR814">
        <f>HYPERLINK("http://catalog.hathitrust.org/Record/005896377","HathiTrust Record")</f>
        <v/>
      </c>
      <c r="AS814">
        <f>HYPERLINK("https://creighton-primo.hosted.exlibrisgroup.com/primo-explore/search?tab=default_tab&amp;search_scope=EVERYTHING&amp;vid=01CRU&amp;lang=en_US&amp;offset=0&amp;query=any,contains,991005359099702656","Catalog Record")</f>
        <v/>
      </c>
      <c r="AT814">
        <f>HYPERLINK("http://www.worldcat.org/oclc/209788410","WorldCat Record")</f>
        <v/>
      </c>
      <c r="AU814" t="inlineStr">
        <is>
          <t>800033949:eng</t>
        </is>
      </c>
      <c r="AV814" t="inlineStr">
        <is>
          <t>209788410</t>
        </is>
      </c>
      <c r="AW814" t="inlineStr">
        <is>
          <t>991005359099702656</t>
        </is>
      </c>
      <c r="AX814" t="inlineStr">
        <is>
          <t>991005359099702656</t>
        </is>
      </c>
      <c r="AY814" t="inlineStr">
        <is>
          <t>2272481190002656</t>
        </is>
      </c>
      <c r="AZ814" t="inlineStr">
        <is>
          <t>BOOK</t>
        </is>
      </c>
      <c r="BB814" t="inlineStr">
        <is>
          <t>9780470375044</t>
        </is>
      </c>
      <c r="BC814" t="inlineStr">
        <is>
          <t>32285005570543</t>
        </is>
      </c>
      <c r="BD814" t="inlineStr">
        <is>
          <t>893607255</t>
        </is>
      </c>
    </row>
    <row r="815">
      <c r="A815" t="inlineStr">
        <is>
          <t>No</t>
        </is>
      </c>
      <c r="B815" t="inlineStr">
        <is>
          <t>HM753 .B47 2005</t>
        </is>
      </c>
      <c r="C815" t="inlineStr">
        <is>
          <t>0                      HM 0753000B  47          2005</t>
        </is>
      </c>
      <c r="D815" t="inlineStr">
        <is>
          <t>Us and them : understanding your tribal mind / David Berreby.</t>
        </is>
      </c>
      <c r="F815" t="inlineStr">
        <is>
          <t>No</t>
        </is>
      </c>
      <c r="G815" t="inlineStr">
        <is>
          <t>1</t>
        </is>
      </c>
      <c r="H815" t="inlineStr">
        <is>
          <t>No</t>
        </is>
      </c>
      <c r="I815" t="inlineStr">
        <is>
          <t>No</t>
        </is>
      </c>
      <c r="J815" t="inlineStr">
        <is>
          <t>0</t>
        </is>
      </c>
      <c r="K815" t="inlineStr">
        <is>
          <t>Berreby, David.</t>
        </is>
      </c>
      <c r="L815" t="inlineStr">
        <is>
          <t>New York : Little, Brown and Co., 2005.</t>
        </is>
      </c>
      <c r="M815" t="inlineStr">
        <is>
          <t>2005</t>
        </is>
      </c>
      <c r="N815" t="inlineStr">
        <is>
          <t>1st ed.</t>
        </is>
      </c>
      <c r="O815" t="inlineStr">
        <is>
          <t>eng</t>
        </is>
      </c>
      <c r="P815" t="inlineStr">
        <is>
          <t>nyu</t>
        </is>
      </c>
      <c r="R815" t="inlineStr">
        <is>
          <t xml:space="preserve">HM </t>
        </is>
      </c>
      <c r="S815" t="n">
        <v>1</v>
      </c>
      <c r="T815" t="n">
        <v>1</v>
      </c>
      <c r="U815" t="inlineStr">
        <is>
          <t>2006-06-26</t>
        </is>
      </c>
      <c r="V815" t="inlineStr">
        <is>
          <t>2006-06-26</t>
        </is>
      </c>
      <c r="W815" t="inlineStr">
        <is>
          <t>2006-06-26</t>
        </is>
      </c>
      <c r="X815" t="inlineStr">
        <is>
          <t>2006-06-26</t>
        </is>
      </c>
      <c r="Y815" t="n">
        <v>1024</v>
      </c>
      <c r="Z815" t="n">
        <v>935</v>
      </c>
      <c r="AA815" t="n">
        <v>945</v>
      </c>
      <c r="AB815" t="n">
        <v>7</v>
      </c>
      <c r="AC815" t="n">
        <v>7</v>
      </c>
      <c r="AD815" t="n">
        <v>28</v>
      </c>
      <c r="AE815" t="n">
        <v>28</v>
      </c>
      <c r="AF815" t="n">
        <v>11</v>
      </c>
      <c r="AG815" t="n">
        <v>11</v>
      </c>
      <c r="AH815" t="n">
        <v>5</v>
      </c>
      <c r="AI815" t="n">
        <v>5</v>
      </c>
      <c r="AJ815" t="n">
        <v>12</v>
      </c>
      <c r="AK815" t="n">
        <v>12</v>
      </c>
      <c r="AL815" t="n">
        <v>6</v>
      </c>
      <c r="AM815" t="n">
        <v>6</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HYPERLINK("https://creighton-primo.hosted.exlibrisgroup.com/primo-explore/search?tab=default_tab&amp;search_scope=EVERYTHING&amp;vid=01CRU&amp;lang=en_US&amp;offset=0&amp;query=any,contains,991004834639702656","Catalog Record")</f>
        <v/>
      </c>
      <c r="AT815">
        <f>HYPERLINK("http://www.worldcat.org/oclc/57675739","WorldCat Record")</f>
        <v/>
      </c>
      <c r="AU815" t="inlineStr">
        <is>
          <t>1004003:eng</t>
        </is>
      </c>
      <c r="AV815" t="inlineStr">
        <is>
          <t>57675739</t>
        </is>
      </c>
      <c r="AW815" t="inlineStr">
        <is>
          <t>991004834639702656</t>
        </is>
      </c>
      <c r="AX815" t="inlineStr">
        <is>
          <t>991004834639702656</t>
        </is>
      </c>
      <c r="AY815" t="inlineStr">
        <is>
          <t>2271990730002656</t>
        </is>
      </c>
      <c r="AZ815" t="inlineStr">
        <is>
          <t>BOOK</t>
        </is>
      </c>
      <c r="BB815" t="inlineStr">
        <is>
          <t>9780316090308</t>
        </is>
      </c>
      <c r="BC815" t="inlineStr">
        <is>
          <t>32285005192405</t>
        </is>
      </c>
      <c r="BD815" t="inlineStr">
        <is>
          <t>893600286</t>
        </is>
      </c>
    </row>
    <row r="816">
      <c r="A816" t="inlineStr">
        <is>
          <t>No</t>
        </is>
      </c>
      <c r="B816" t="inlineStr">
        <is>
          <t>HM753 .C76 2004</t>
        </is>
      </c>
      <c r="C816" t="inlineStr">
        <is>
          <t>0                      HM 0753000C  76          2004</t>
        </is>
      </c>
      <c r="D816" t="inlineStr">
        <is>
          <t>Globalization and belonging : the politics of identity in a changing world / Sheila L. Croucher.</t>
        </is>
      </c>
      <c r="F816" t="inlineStr">
        <is>
          <t>No</t>
        </is>
      </c>
      <c r="G816" t="inlineStr">
        <is>
          <t>1</t>
        </is>
      </c>
      <c r="H816" t="inlineStr">
        <is>
          <t>No</t>
        </is>
      </c>
      <c r="I816" t="inlineStr">
        <is>
          <t>No</t>
        </is>
      </c>
      <c r="J816" t="inlineStr">
        <is>
          <t>0</t>
        </is>
      </c>
      <c r="K816" t="inlineStr">
        <is>
          <t>Croucher, Sheila L.</t>
        </is>
      </c>
      <c r="L816" t="inlineStr">
        <is>
          <t>Lanham, Md. : Rowman &amp; Littlefield, c2004.</t>
        </is>
      </c>
      <c r="M816" t="inlineStr">
        <is>
          <t>2004</t>
        </is>
      </c>
      <c r="O816" t="inlineStr">
        <is>
          <t>eng</t>
        </is>
      </c>
      <c r="P816" t="inlineStr">
        <is>
          <t>mdu</t>
        </is>
      </c>
      <c r="Q816" t="inlineStr">
        <is>
          <t>New millennium books in international studies</t>
        </is>
      </c>
      <c r="R816" t="inlineStr">
        <is>
          <t xml:space="preserve">HM </t>
        </is>
      </c>
      <c r="S816" t="n">
        <v>1</v>
      </c>
      <c r="T816" t="n">
        <v>1</v>
      </c>
      <c r="U816" t="inlineStr">
        <is>
          <t>2005-11-19</t>
        </is>
      </c>
      <c r="V816" t="inlineStr">
        <is>
          <t>2005-11-19</t>
        </is>
      </c>
      <c r="W816" t="inlineStr">
        <is>
          <t>2005-11-19</t>
        </is>
      </c>
      <c r="X816" t="inlineStr">
        <is>
          <t>2005-11-19</t>
        </is>
      </c>
      <c r="Y816" t="n">
        <v>459</v>
      </c>
      <c r="Z816" t="n">
        <v>346</v>
      </c>
      <c r="AA816" t="n">
        <v>410</v>
      </c>
      <c r="AB816" t="n">
        <v>3</v>
      </c>
      <c r="AC816" t="n">
        <v>4</v>
      </c>
      <c r="AD816" t="n">
        <v>20</v>
      </c>
      <c r="AE816" t="n">
        <v>27</v>
      </c>
      <c r="AF816" t="n">
        <v>9</v>
      </c>
      <c r="AG816" t="n">
        <v>13</v>
      </c>
      <c r="AH816" t="n">
        <v>3</v>
      </c>
      <c r="AI816" t="n">
        <v>6</v>
      </c>
      <c r="AJ816" t="n">
        <v>10</v>
      </c>
      <c r="AK816" t="n">
        <v>13</v>
      </c>
      <c r="AL816" t="n">
        <v>2</v>
      </c>
      <c r="AM816" t="n">
        <v>2</v>
      </c>
      <c r="AN816" t="n">
        <v>1</v>
      </c>
      <c r="AO816" t="n">
        <v>1</v>
      </c>
      <c r="AP816" t="inlineStr">
        <is>
          <t>No</t>
        </is>
      </c>
      <c r="AQ816" t="inlineStr">
        <is>
          <t>Yes</t>
        </is>
      </c>
      <c r="AR816">
        <f>HYPERLINK("http://catalog.hathitrust.org/Record/004336018","HathiTrust Record")</f>
        <v/>
      </c>
      <c r="AS816">
        <f>HYPERLINK("https://creighton-primo.hosted.exlibrisgroup.com/primo-explore/search?tab=default_tab&amp;search_scope=EVERYTHING&amp;vid=01CRU&amp;lang=en_US&amp;offset=0&amp;query=any,contains,991004689129702656","Catalog Record")</f>
        <v/>
      </c>
      <c r="AT816">
        <f>HYPERLINK("http://www.worldcat.org/oclc/52047496","WorldCat Record")</f>
        <v/>
      </c>
      <c r="AU816" t="inlineStr">
        <is>
          <t>795466049:eng</t>
        </is>
      </c>
      <c r="AV816" t="inlineStr">
        <is>
          <t>52047496</t>
        </is>
      </c>
      <c r="AW816" t="inlineStr">
        <is>
          <t>991004689129702656</t>
        </is>
      </c>
      <c r="AX816" t="inlineStr">
        <is>
          <t>991004689129702656</t>
        </is>
      </c>
      <c r="AY816" t="inlineStr">
        <is>
          <t>2269940300002656</t>
        </is>
      </c>
      <c r="AZ816" t="inlineStr">
        <is>
          <t>BOOK</t>
        </is>
      </c>
      <c r="BB816" t="inlineStr">
        <is>
          <t>9780742516786</t>
        </is>
      </c>
      <c r="BC816" t="inlineStr">
        <is>
          <t>32285005148480</t>
        </is>
      </c>
      <c r="BD816" t="inlineStr">
        <is>
          <t>893776322</t>
        </is>
      </c>
    </row>
    <row r="817">
      <c r="A817" t="inlineStr">
        <is>
          <t>No</t>
        </is>
      </c>
      <c r="B817" t="inlineStr">
        <is>
          <t>HM753 .P37 2008</t>
        </is>
      </c>
      <c r="C817" t="inlineStr">
        <is>
          <t>0                      HM 0753000P  37          2008</t>
        </is>
      </c>
      <c r="D817" t="inlineStr">
        <is>
          <t>A new politics of identity : political principles for an interdependent world / Bhikhu Parekh.</t>
        </is>
      </c>
      <c r="F817" t="inlineStr">
        <is>
          <t>No</t>
        </is>
      </c>
      <c r="G817" t="inlineStr">
        <is>
          <t>1</t>
        </is>
      </c>
      <c r="H817" t="inlineStr">
        <is>
          <t>No</t>
        </is>
      </c>
      <c r="I817" t="inlineStr">
        <is>
          <t>No</t>
        </is>
      </c>
      <c r="J817" t="inlineStr">
        <is>
          <t>0</t>
        </is>
      </c>
      <c r="K817" t="inlineStr">
        <is>
          <t>Parekh, Bhikhu C.</t>
        </is>
      </c>
      <c r="L817" t="inlineStr">
        <is>
          <t>Basingstoke ; New York : Palgrave Macmillan, 2008.</t>
        </is>
      </c>
      <c r="M817" t="inlineStr">
        <is>
          <t>2008</t>
        </is>
      </c>
      <c r="O817" t="inlineStr">
        <is>
          <t>eng</t>
        </is>
      </c>
      <c r="P817" t="inlineStr">
        <is>
          <t>enk</t>
        </is>
      </c>
      <c r="R817" t="inlineStr">
        <is>
          <t xml:space="preserve">HM </t>
        </is>
      </c>
      <c r="S817" t="n">
        <v>1</v>
      </c>
      <c r="T817" t="n">
        <v>1</v>
      </c>
      <c r="U817" t="inlineStr">
        <is>
          <t>2009-03-05</t>
        </is>
      </c>
      <c r="V817" t="inlineStr">
        <is>
          <t>2009-03-05</t>
        </is>
      </c>
      <c r="W817" t="inlineStr">
        <is>
          <t>2009-03-05</t>
        </is>
      </c>
      <c r="X817" t="inlineStr">
        <is>
          <t>2009-03-05</t>
        </is>
      </c>
      <c r="Y817" t="n">
        <v>393</v>
      </c>
      <c r="Z817" t="n">
        <v>225</v>
      </c>
      <c r="AA817" t="n">
        <v>237</v>
      </c>
      <c r="AB817" t="n">
        <v>1</v>
      </c>
      <c r="AC817" t="n">
        <v>1</v>
      </c>
      <c r="AD817" t="n">
        <v>13</v>
      </c>
      <c r="AE817" t="n">
        <v>13</v>
      </c>
      <c r="AF817" t="n">
        <v>5</v>
      </c>
      <c r="AG817" t="n">
        <v>5</v>
      </c>
      <c r="AH817" t="n">
        <v>3</v>
      </c>
      <c r="AI817" t="n">
        <v>3</v>
      </c>
      <c r="AJ817" t="n">
        <v>8</v>
      </c>
      <c r="AK817" t="n">
        <v>8</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HYPERLINK("https://creighton-primo.hosted.exlibrisgroup.com/primo-explore/search?tab=default_tab&amp;search_scope=EVERYTHING&amp;vid=01CRU&amp;lang=en_US&amp;offset=0&amp;query=any,contains,991005297969702656","Catalog Record")</f>
        <v/>
      </c>
      <c r="AT817">
        <f>HYPERLINK("http://www.worldcat.org/oclc/221961032","WorldCat Record")</f>
        <v/>
      </c>
      <c r="AU817" t="inlineStr">
        <is>
          <t>364647205:eng</t>
        </is>
      </c>
      <c r="AV817" t="inlineStr">
        <is>
          <t>221961032</t>
        </is>
      </c>
      <c r="AW817" t="inlineStr">
        <is>
          <t>991005297969702656</t>
        </is>
      </c>
      <c r="AX817" t="inlineStr">
        <is>
          <t>991005297969702656</t>
        </is>
      </c>
      <c r="AY817" t="inlineStr">
        <is>
          <t>2265182410002656</t>
        </is>
      </c>
      <c r="AZ817" t="inlineStr">
        <is>
          <t>BOOK</t>
        </is>
      </c>
      <c r="BB817" t="inlineStr">
        <is>
          <t>9781403906465</t>
        </is>
      </c>
      <c r="BC817" t="inlineStr">
        <is>
          <t>32285005507420</t>
        </is>
      </c>
      <c r="BD817" t="inlineStr">
        <is>
          <t>893230496</t>
        </is>
      </c>
    </row>
    <row r="818">
      <c r="A818" t="inlineStr">
        <is>
          <t>No</t>
        </is>
      </c>
      <c r="B818" t="inlineStr">
        <is>
          <t>HM753 .T39 2002</t>
        </is>
      </c>
      <c r="C818" t="inlineStr">
        <is>
          <t>0                      HM 0753000T  39          2002</t>
        </is>
      </c>
      <c r="D818" t="inlineStr">
        <is>
          <t>The quest for identity : from minority groups to generation Xers / Donald M. Taylor.</t>
        </is>
      </c>
      <c r="F818" t="inlineStr">
        <is>
          <t>No</t>
        </is>
      </c>
      <c r="G818" t="inlineStr">
        <is>
          <t>1</t>
        </is>
      </c>
      <c r="H818" t="inlineStr">
        <is>
          <t>No</t>
        </is>
      </c>
      <c r="I818" t="inlineStr">
        <is>
          <t>No</t>
        </is>
      </c>
      <c r="J818" t="inlineStr">
        <is>
          <t>0</t>
        </is>
      </c>
      <c r="K818" t="inlineStr">
        <is>
          <t>Taylor, Donald M.</t>
        </is>
      </c>
      <c r="L818" t="inlineStr">
        <is>
          <t>Westport, Conn. : Praeger, c2002.</t>
        </is>
      </c>
      <c r="M818" t="inlineStr">
        <is>
          <t>2002</t>
        </is>
      </c>
      <c r="O818" t="inlineStr">
        <is>
          <t>eng</t>
        </is>
      </c>
      <c r="P818" t="inlineStr">
        <is>
          <t>ctu</t>
        </is>
      </c>
      <c r="R818" t="inlineStr">
        <is>
          <t xml:space="preserve">HM </t>
        </is>
      </c>
      <c r="S818" t="n">
        <v>2</v>
      </c>
      <c r="T818" t="n">
        <v>2</v>
      </c>
      <c r="U818" t="inlineStr">
        <is>
          <t>2009-03-25</t>
        </is>
      </c>
      <c r="V818" t="inlineStr">
        <is>
          <t>2009-03-25</t>
        </is>
      </c>
      <c r="W818" t="inlineStr">
        <is>
          <t>2005-05-11</t>
        </is>
      </c>
      <c r="X818" t="inlineStr">
        <is>
          <t>2005-05-11</t>
        </is>
      </c>
      <c r="Y818" t="n">
        <v>758</v>
      </c>
      <c r="Z818" t="n">
        <v>687</v>
      </c>
      <c r="AA818" t="n">
        <v>1544</v>
      </c>
      <c r="AB818" t="n">
        <v>5</v>
      </c>
      <c r="AC818" t="n">
        <v>29</v>
      </c>
      <c r="AD818" t="n">
        <v>37</v>
      </c>
      <c r="AE818" t="n">
        <v>53</v>
      </c>
      <c r="AF818" t="n">
        <v>16</v>
      </c>
      <c r="AG818" t="n">
        <v>21</v>
      </c>
      <c r="AH818" t="n">
        <v>8</v>
      </c>
      <c r="AI818" t="n">
        <v>8</v>
      </c>
      <c r="AJ818" t="n">
        <v>19</v>
      </c>
      <c r="AK818" t="n">
        <v>21</v>
      </c>
      <c r="AL818" t="n">
        <v>4</v>
      </c>
      <c r="AM818" t="n">
        <v>14</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HYPERLINK("https://creighton-primo.hosted.exlibrisgroup.com/primo-explore/search?tab=default_tab&amp;search_scope=EVERYTHING&amp;vid=01CRU&amp;lang=en_US&amp;offset=0&amp;query=any,contains,991004543559702656","Catalog Record")</f>
        <v/>
      </c>
      <c r="AT818">
        <f>HYPERLINK("http://www.worldcat.org/oclc/49225790","WorldCat Record")</f>
        <v/>
      </c>
      <c r="AU818" t="inlineStr">
        <is>
          <t>995748:eng</t>
        </is>
      </c>
      <c r="AV818" t="inlineStr">
        <is>
          <t>49225790</t>
        </is>
      </c>
      <c r="AW818" t="inlineStr">
        <is>
          <t>991004543559702656</t>
        </is>
      </c>
      <c r="AX818" t="inlineStr">
        <is>
          <t>991004543559702656</t>
        </is>
      </c>
      <c r="AY818" t="inlineStr">
        <is>
          <t>2265867980002656</t>
        </is>
      </c>
      <c r="AZ818" t="inlineStr">
        <is>
          <t>BOOK</t>
        </is>
      </c>
      <c r="BB818" t="inlineStr">
        <is>
          <t>9780275973094</t>
        </is>
      </c>
      <c r="BC818" t="inlineStr">
        <is>
          <t>32285005037444</t>
        </is>
      </c>
      <c r="BD818" t="inlineStr">
        <is>
          <t>893319373</t>
        </is>
      </c>
    </row>
    <row r="819">
      <c r="A819" t="inlineStr">
        <is>
          <t>No</t>
        </is>
      </c>
      <c r="B819" t="inlineStr">
        <is>
          <t>HM758 .C65 2004</t>
        </is>
      </c>
      <c r="C819" t="inlineStr">
        <is>
          <t>0                      HM 0758000C  65          2004</t>
        </is>
      </c>
      <c r="D819" t="inlineStr">
        <is>
          <t>The communitarian reader : beyond the essentials / edited by Amitai Etzioni, Andrew Volmert, and Elanit Rothschild.</t>
        </is>
      </c>
      <c r="F819" t="inlineStr">
        <is>
          <t>No</t>
        </is>
      </c>
      <c r="G819" t="inlineStr">
        <is>
          <t>1</t>
        </is>
      </c>
      <c r="H819" t="inlineStr">
        <is>
          <t>No</t>
        </is>
      </c>
      <c r="I819" t="inlineStr">
        <is>
          <t>No</t>
        </is>
      </c>
      <c r="J819" t="inlineStr">
        <is>
          <t>0</t>
        </is>
      </c>
      <c r="L819" t="inlineStr">
        <is>
          <t>Lanham, Md. : Rowman &amp; Littlefield Publishers, c2004.</t>
        </is>
      </c>
      <c r="M819" t="inlineStr">
        <is>
          <t>2004</t>
        </is>
      </c>
      <c r="O819" t="inlineStr">
        <is>
          <t>eng</t>
        </is>
      </c>
      <c r="P819" t="inlineStr">
        <is>
          <t>mdu</t>
        </is>
      </c>
      <c r="Q819" t="inlineStr">
        <is>
          <t>Rights and responsibilities</t>
        </is>
      </c>
      <c r="R819" t="inlineStr">
        <is>
          <t xml:space="preserve">HM </t>
        </is>
      </c>
      <c r="S819" t="n">
        <v>2</v>
      </c>
      <c r="T819" t="n">
        <v>2</v>
      </c>
      <c r="U819" t="inlineStr">
        <is>
          <t>2005-02-01</t>
        </is>
      </c>
      <c r="V819" t="inlineStr">
        <is>
          <t>2005-02-01</t>
        </is>
      </c>
      <c r="W819" t="inlineStr">
        <is>
          <t>2005-02-01</t>
        </is>
      </c>
      <c r="X819" t="inlineStr">
        <is>
          <t>2005-02-01</t>
        </is>
      </c>
      <c r="Y819" t="n">
        <v>175</v>
      </c>
      <c r="Z819" t="n">
        <v>131</v>
      </c>
      <c r="AA819" t="n">
        <v>131</v>
      </c>
      <c r="AB819" t="n">
        <v>2</v>
      </c>
      <c r="AC819" t="n">
        <v>2</v>
      </c>
      <c r="AD819" t="n">
        <v>10</v>
      </c>
      <c r="AE819" t="n">
        <v>10</v>
      </c>
      <c r="AF819" t="n">
        <v>5</v>
      </c>
      <c r="AG819" t="n">
        <v>5</v>
      </c>
      <c r="AH819" t="n">
        <v>4</v>
      </c>
      <c r="AI819" t="n">
        <v>4</v>
      </c>
      <c r="AJ819" t="n">
        <v>4</v>
      </c>
      <c r="AK819" t="n">
        <v>4</v>
      </c>
      <c r="AL819" t="n">
        <v>1</v>
      </c>
      <c r="AM819" t="n">
        <v>1</v>
      </c>
      <c r="AN819" t="n">
        <v>1</v>
      </c>
      <c r="AO819" t="n">
        <v>1</v>
      </c>
      <c r="AP819" t="inlineStr">
        <is>
          <t>No</t>
        </is>
      </c>
      <c r="AQ819" t="inlineStr">
        <is>
          <t>No</t>
        </is>
      </c>
      <c r="AS819">
        <f>HYPERLINK("https://creighton-primo.hosted.exlibrisgroup.com/primo-explore/search?tab=default_tab&amp;search_scope=EVERYTHING&amp;vid=01CRU&amp;lang=en_US&amp;offset=0&amp;query=any,contains,991004373679702656","Catalog Record")</f>
        <v/>
      </c>
      <c r="AT819">
        <f>HYPERLINK("http://www.worldcat.org/oclc/54803637","WorldCat Record")</f>
        <v/>
      </c>
      <c r="AU819" t="inlineStr">
        <is>
          <t>892182059:eng</t>
        </is>
      </c>
      <c r="AV819" t="inlineStr">
        <is>
          <t>54803637</t>
        </is>
      </c>
      <c r="AW819" t="inlineStr">
        <is>
          <t>991004373679702656</t>
        </is>
      </c>
      <c r="AX819" t="inlineStr">
        <is>
          <t>991004373679702656</t>
        </is>
      </c>
      <c r="AY819" t="inlineStr">
        <is>
          <t>2266218660002656</t>
        </is>
      </c>
      <c r="AZ819" t="inlineStr">
        <is>
          <t>BOOK</t>
        </is>
      </c>
      <c r="BB819" t="inlineStr">
        <is>
          <t>9780742542181</t>
        </is>
      </c>
      <c r="BC819" t="inlineStr">
        <is>
          <t>32285005023303</t>
        </is>
      </c>
      <c r="BD819" t="inlineStr">
        <is>
          <t>893687652</t>
        </is>
      </c>
    </row>
    <row r="820">
      <c r="A820" t="inlineStr">
        <is>
          <t>No</t>
        </is>
      </c>
      <c r="B820" t="inlineStr">
        <is>
          <t>HM766 .B85 2001</t>
        </is>
      </c>
      <c r="C820" t="inlineStr">
        <is>
          <t>0                      HM 0766000B  85          2001</t>
        </is>
      </c>
      <c r="D820" t="inlineStr">
        <is>
          <t>Building community capacity / Robert J. Chaskin ... [et al.].</t>
        </is>
      </c>
      <c r="F820" t="inlineStr">
        <is>
          <t>No</t>
        </is>
      </c>
      <c r="G820" t="inlineStr">
        <is>
          <t>1</t>
        </is>
      </c>
      <c r="H820" t="inlineStr">
        <is>
          <t>No</t>
        </is>
      </c>
      <c r="I820" t="inlineStr">
        <is>
          <t>No</t>
        </is>
      </c>
      <c r="J820" t="inlineStr">
        <is>
          <t>0</t>
        </is>
      </c>
      <c r="L820" t="inlineStr">
        <is>
          <t>New York : A. de Gruyter, c2001.</t>
        </is>
      </c>
      <c r="M820" t="inlineStr">
        <is>
          <t>2001</t>
        </is>
      </c>
      <c r="O820" t="inlineStr">
        <is>
          <t>eng</t>
        </is>
      </c>
      <c r="P820" t="inlineStr">
        <is>
          <t>nyu</t>
        </is>
      </c>
      <c r="Q820" t="inlineStr">
        <is>
          <t>Modern applications of social work</t>
        </is>
      </c>
      <c r="R820" t="inlineStr">
        <is>
          <t xml:space="preserve">HM </t>
        </is>
      </c>
      <c r="S820" t="n">
        <v>5</v>
      </c>
      <c r="T820" t="n">
        <v>5</v>
      </c>
      <c r="U820" t="inlineStr">
        <is>
          <t>2006-12-19</t>
        </is>
      </c>
      <c r="V820" t="inlineStr">
        <is>
          <t>2006-12-19</t>
        </is>
      </c>
      <c r="W820" t="inlineStr">
        <is>
          <t>2001-09-25</t>
        </is>
      </c>
      <c r="X820" t="inlineStr">
        <is>
          <t>2001-09-25</t>
        </is>
      </c>
      <c r="Y820" t="n">
        <v>335</v>
      </c>
      <c r="Z820" t="n">
        <v>261</v>
      </c>
      <c r="AA820" t="n">
        <v>417</v>
      </c>
      <c r="AB820" t="n">
        <v>4</v>
      </c>
      <c r="AC820" t="n">
        <v>4</v>
      </c>
      <c r="AD820" t="n">
        <v>10</v>
      </c>
      <c r="AE820" t="n">
        <v>12</v>
      </c>
      <c r="AF820" t="n">
        <v>1</v>
      </c>
      <c r="AG820" t="n">
        <v>2</v>
      </c>
      <c r="AH820" t="n">
        <v>3</v>
      </c>
      <c r="AI820" t="n">
        <v>4</v>
      </c>
      <c r="AJ820" t="n">
        <v>4</v>
      </c>
      <c r="AK820" t="n">
        <v>4</v>
      </c>
      <c r="AL820" t="n">
        <v>3</v>
      </c>
      <c r="AM820" t="n">
        <v>3</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HYPERLINK("https://creighton-primo.hosted.exlibrisgroup.com/primo-explore/search?tab=default_tab&amp;search_scope=EVERYTHING&amp;vid=01CRU&amp;lang=en_US&amp;offset=0&amp;query=any,contains,991003620879702656","Catalog Record")</f>
        <v/>
      </c>
      <c r="AT820">
        <f>HYPERLINK("http://www.worldcat.org/oclc/45023176","WorldCat Record")</f>
        <v/>
      </c>
      <c r="AU820" t="inlineStr">
        <is>
          <t>56591581:eng</t>
        </is>
      </c>
      <c r="AV820" t="inlineStr">
        <is>
          <t>45023176</t>
        </is>
      </c>
      <c r="AW820" t="inlineStr">
        <is>
          <t>991003620879702656</t>
        </is>
      </c>
      <c r="AX820" t="inlineStr">
        <is>
          <t>991003620879702656</t>
        </is>
      </c>
      <c r="AY820" t="inlineStr">
        <is>
          <t>2261149020002656</t>
        </is>
      </c>
      <c r="AZ820" t="inlineStr">
        <is>
          <t>BOOK</t>
        </is>
      </c>
      <c r="BB820" t="inlineStr">
        <is>
          <t>9780202306391</t>
        </is>
      </c>
      <c r="BC820" t="inlineStr">
        <is>
          <t>32285004392972</t>
        </is>
      </c>
      <c r="BD820" t="inlineStr">
        <is>
          <t>893604999</t>
        </is>
      </c>
    </row>
    <row r="821">
      <c r="A821" t="inlineStr">
        <is>
          <t>No</t>
        </is>
      </c>
      <c r="B821" t="inlineStr">
        <is>
          <t>HM766 .H37 2002</t>
        </is>
      </c>
      <c r="C821" t="inlineStr">
        <is>
          <t>0                      HM 0766000H  37          2002</t>
        </is>
      </c>
      <c r="D821" t="inlineStr">
        <is>
          <t>Analytical skills for community organization practice / Donna Hardina.</t>
        </is>
      </c>
      <c r="F821" t="inlineStr">
        <is>
          <t>No</t>
        </is>
      </c>
      <c r="G821" t="inlineStr">
        <is>
          <t>1</t>
        </is>
      </c>
      <c r="H821" t="inlineStr">
        <is>
          <t>No</t>
        </is>
      </c>
      <c r="I821" t="inlineStr">
        <is>
          <t>No</t>
        </is>
      </c>
      <c r="J821" t="inlineStr">
        <is>
          <t>0</t>
        </is>
      </c>
      <c r="K821" t="inlineStr">
        <is>
          <t>Hardina, Donna.</t>
        </is>
      </c>
      <c r="L821" t="inlineStr">
        <is>
          <t>New York : Columbia University Press, c2002.</t>
        </is>
      </c>
      <c r="M821" t="inlineStr">
        <is>
          <t>2002</t>
        </is>
      </c>
      <c r="O821" t="inlineStr">
        <is>
          <t>eng</t>
        </is>
      </c>
      <c r="P821" t="inlineStr">
        <is>
          <t>nyu</t>
        </is>
      </c>
      <c r="R821" t="inlineStr">
        <is>
          <t xml:space="preserve">HM </t>
        </is>
      </c>
      <c r="S821" t="n">
        <v>9</v>
      </c>
      <c r="T821" t="n">
        <v>9</v>
      </c>
      <c r="U821" t="inlineStr">
        <is>
          <t>2008-03-06</t>
        </is>
      </c>
      <c r="V821" t="inlineStr">
        <is>
          <t>2008-03-06</t>
        </is>
      </c>
      <c r="W821" t="inlineStr">
        <is>
          <t>2004-02-03</t>
        </is>
      </c>
      <c r="X821" t="inlineStr">
        <is>
          <t>2004-02-03</t>
        </is>
      </c>
      <c r="Y821" t="n">
        <v>226</v>
      </c>
      <c r="Z821" t="n">
        <v>170</v>
      </c>
      <c r="AA821" t="n">
        <v>591</v>
      </c>
      <c r="AB821" t="n">
        <v>2</v>
      </c>
      <c r="AC821" t="n">
        <v>3</v>
      </c>
      <c r="AD821" t="n">
        <v>11</v>
      </c>
      <c r="AE821" t="n">
        <v>14</v>
      </c>
      <c r="AF821" t="n">
        <v>3</v>
      </c>
      <c r="AG821" t="n">
        <v>4</v>
      </c>
      <c r="AH821" t="n">
        <v>4</v>
      </c>
      <c r="AI821" t="n">
        <v>5</v>
      </c>
      <c r="AJ821" t="n">
        <v>6</v>
      </c>
      <c r="AK821" t="n">
        <v>7</v>
      </c>
      <c r="AL821" t="n">
        <v>1</v>
      </c>
      <c r="AM821" t="n">
        <v>2</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HYPERLINK("https://creighton-primo.hosted.exlibrisgroup.com/primo-explore/search?tab=default_tab&amp;search_scope=EVERYTHING&amp;vid=01CRU&amp;lang=en_US&amp;offset=0&amp;query=any,contains,991004190289702656","Catalog Record")</f>
        <v/>
      </c>
      <c r="AT821">
        <f>HYPERLINK("http://www.worldcat.org/oclc/48620293","WorldCat Record")</f>
        <v/>
      </c>
      <c r="AU821" t="inlineStr">
        <is>
          <t>1063993:eng</t>
        </is>
      </c>
      <c r="AV821" t="inlineStr">
        <is>
          <t>48620293</t>
        </is>
      </c>
      <c r="AW821" t="inlineStr">
        <is>
          <t>991004190289702656</t>
        </is>
      </c>
      <c r="AX821" t="inlineStr">
        <is>
          <t>991004190289702656</t>
        </is>
      </c>
      <c r="AY821" t="inlineStr">
        <is>
          <t>2257794000002656</t>
        </is>
      </c>
      <c r="AZ821" t="inlineStr">
        <is>
          <t>BOOK</t>
        </is>
      </c>
      <c r="BB821" t="inlineStr">
        <is>
          <t>9780231121804</t>
        </is>
      </c>
      <c r="BC821" t="inlineStr">
        <is>
          <t>32285004636618</t>
        </is>
      </c>
      <c r="BD821" t="inlineStr">
        <is>
          <t>893618359</t>
        </is>
      </c>
    </row>
    <row r="822">
      <c r="A822" t="inlineStr">
        <is>
          <t>No</t>
        </is>
      </c>
      <c r="B822" t="inlineStr">
        <is>
          <t>HM766 .P95 2009</t>
        </is>
      </c>
      <c r="C822" t="inlineStr">
        <is>
          <t>0                      HM 0766000P  95          2009</t>
        </is>
      </c>
      <c r="D822" t="inlineStr">
        <is>
          <t>Progressive community organizing : a critical approach for a globalizing world / Loretta Pyles.</t>
        </is>
      </c>
      <c r="F822" t="inlineStr">
        <is>
          <t>No</t>
        </is>
      </c>
      <c r="G822" t="inlineStr">
        <is>
          <t>1</t>
        </is>
      </c>
      <c r="H822" t="inlineStr">
        <is>
          <t>No</t>
        </is>
      </c>
      <c r="I822" t="inlineStr">
        <is>
          <t>No</t>
        </is>
      </c>
      <c r="J822" t="inlineStr">
        <is>
          <t>0</t>
        </is>
      </c>
      <c r="K822" t="inlineStr">
        <is>
          <t>Pyles, Loretta.</t>
        </is>
      </c>
      <c r="L822" t="inlineStr">
        <is>
          <t>New York : Routledge, c2009.</t>
        </is>
      </c>
      <c r="M822" t="inlineStr">
        <is>
          <t>2009</t>
        </is>
      </c>
      <c r="O822" t="inlineStr">
        <is>
          <t>eng</t>
        </is>
      </c>
      <c r="P822" t="inlineStr">
        <is>
          <t>nyu</t>
        </is>
      </c>
      <c r="R822" t="inlineStr">
        <is>
          <t xml:space="preserve">HM </t>
        </is>
      </c>
      <c r="S822" t="n">
        <v>4</v>
      </c>
      <c r="T822" t="n">
        <v>4</v>
      </c>
      <c r="U822" t="inlineStr">
        <is>
          <t>2009-06-01</t>
        </is>
      </c>
      <c r="V822" t="inlineStr">
        <is>
          <t>2009-06-01</t>
        </is>
      </c>
      <c r="W822" t="inlineStr">
        <is>
          <t>2009-03-09</t>
        </is>
      </c>
      <c r="X822" t="inlineStr">
        <is>
          <t>2009-03-09</t>
        </is>
      </c>
      <c r="Y822" t="n">
        <v>152</v>
      </c>
      <c r="Z822" t="n">
        <v>95</v>
      </c>
      <c r="AA822" t="n">
        <v>160</v>
      </c>
      <c r="AB822" t="n">
        <v>1</v>
      </c>
      <c r="AC822" t="n">
        <v>1</v>
      </c>
      <c r="AD822" t="n">
        <v>5</v>
      </c>
      <c r="AE822" t="n">
        <v>7</v>
      </c>
      <c r="AF822" t="n">
        <v>2</v>
      </c>
      <c r="AG822" t="n">
        <v>2</v>
      </c>
      <c r="AH822" t="n">
        <v>2</v>
      </c>
      <c r="AI822" t="n">
        <v>3</v>
      </c>
      <c r="AJ822" t="n">
        <v>4</v>
      </c>
      <c r="AK822" t="n">
        <v>5</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HYPERLINK("https://creighton-primo.hosted.exlibrisgroup.com/primo-explore/search?tab=default_tab&amp;search_scope=EVERYTHING&amp;vid=01CRU&amp;lang=en_US&amp;offset=0&amp;query=any,contains,991005299619702656","Catalog Record")</f>
        <v/>
      </c>
      <c r="AT822">
        <f>HYPERLINK("http://www.worldcat.org/oclc/233591970","WorldCat Record")</f>
        <v/>
      </c>
      <c r="AU822" t="inlineStr">
        <is>
          <t>803177601:eng</t>
        </is>
      </c>
      <c r="AV822" t="inlineStr">
        <is>
          <t>233591970</t>
        </is>
      </c>
      <c r="AW822" t="inlineStr">
        <is>
          <t>991005299619702656</t>
        </is>
      </c>
      <c r="AX822" t="inlineStr">
        <is>
          <t>991005299619702656</t>
        </is>
      </c>
      <c r="AY822" t="inlineStr">
        <is>
          <t>2256169490002656</t>
        </is>
      </c>
      <c r="AZ822" t="inlineStr">
        <is>
          <t>BOOK</t>
        </is>
      </c>
      <c r="BB822" t="inlineStr">
        <is>
          <t>9780415957809</t>
        </is>
      </c>
      <c r="BC822" t="inlineStr">
        <is>
          <t>32285005508071</t>
        </is>
      </c>
      <c r="BD822" t="inlineStr">
        <is>
          <t>893254793</t>
        </is>
      </c>
    </row>
    <row r="823">
      <c r="A823" t="inlineStr">
        <is>
          <t>No</t>
        </is>
      </c>
      <c r="B823" t="inlineStr">
        <is>
          <t>HM766 .S66 2004</t>
        </is>
      </c>
      <c r="C823" t="inlineStr">
        <is>
          <t>0                      HM 0766000S  66          2004</t>
        </is>
      </c>
      <c r="D823" t="inlineStr">
        <is>
          <t>Democracy in action : community organizing and urban change / Kristina Smock.</t>
        </is>
      </c>
      <c r="F823" t="inlineStr">
        <is>
          <t>No</t>
        </is>
      </c>
      <c r="G823" t="inlineStr">
        <is>
          <t>1</t>
        </is>
      </c>
      <c r="H823" t="inlineStr">
        <is>
          <t>No</t>
        </is>
      </c>
      <c r="I823" t="inlineStr">
        <is>
          <t>No</t>
        </is>
      </c>
      <c r="J823" t="inlineStr">
        <is>
          <t>0</t>
        </is>
      </c>
      <c r="K823" t="inlineStr">
        <is>
          <t>Smock, Kristina.</t>
        </is>
      </c>
      <c r="L823" t="inlineStr">
        <is>
          <t>New York : Columbia University Press, c2004.</t>
        </is>
      </c>
      <c r="M823" t="inlineStr">
        <is>
          <t>2004</t>
        </is>
      </c>
      <c r="O823" t="inlineStr">
        <is>
          <t>eng</t>
        </is>
      </c>
      <c r="P823" t="inlineStr">
        <is>
          <t>nyu</t>
        </is>
      </c>
      <c r="R823" t="inlineStr">
        <is>
          <t xml:space="preserve">HM </t>
        </is>
      </c>
      <c r="S823" t="n">
        <v>7</v>
      </c>
      <c r="T823" t="n">
        <v>7</v>
      </c>
      <c r="U823" t="inlineStr">
        <is>
          <t>2009-04-20</t>
        </is>
      </c>
      <c r="V823" t="inlineStr">
        <is>
          <t>2009-04-20</t>
        </is>
      </c>
      <c r="W823" t="inlineStr">
        <is>
          <t>2005-12-07</t>
        </is>
      </c>
      <c r="X823" t="inlineStr">
        <is>
          <t>2005-12-07</t>
        </is>
      </c>
      <c r="Y823" t="n">
        <v>331</v>
      </c>
      <c r="Z823" t="n">
        <v>272</v>
      </c>
      <c r="AA823" t="n">
        <v>272</v>
      </c>
      <c r="AB823" t="n">
        <v>1</v>
      </c>
      <c r="AC823" t="n">
        <v>1</v>
      </c>
      <c r="AD823" t="n">
        <v>13</v>
      </c>
      <c r="AE823" t="n">
        <v>13</v>
      </c>
      <c r="AF823" t="n">
        <v>6</v>
      </c>
      <c r="AG823" t="n">
        <v>6</v>
      </c>
      <c r="AH823" t="n">
        <v>3</v>
      </c>
      <c r="AI823" t="n">
        <v>3</v>
      </c>
      <c r="AJ823" t="n">
        <v>7</v>
      </c>
      <c r="AK823" t="n">
        <v>7</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HYPERLINK("https://creighton-primo.hosted.exlibrisgroup.com/primo-explore/search?tab=default_tab&amp;search_scope=EVERYTHING&amp;vid=01CRU&amp;lang=en_US&amp;offset=0&amp;query=any,contains,991004690649702656","Catalog Record")</f>
        <v/>
      </c>
      <c r="AT823">
        <f>HYPERLINK("http://www.worldcat.org/oclc/52887549","WorldCat Record")</f>
        <v/>
      </c>
      <c r="AU823" t="inlineStr">
        <is>
          <t>196156101:eng</t>
        </is>
      </c>
      <c r="AV823" t="inlineStr">
        <is>
          <t>52887549</t>
        </is>
      </c>
      <c r="AW823" t="inlineStr">
        <is>
          <t>991004690649702656</t>
        </is>
      </c>
      <c r="AX823" t="inlineStr">
        <is>
          <t>991004690649702656</t>
        </is>
      </c>
      <c r="AY823" t="inlineStr">
        <is>
          <t>2272297450002656</t>
        </is>
      </c>
      <c r="AZ823" t="inlineStr">
        <is>
          <t>BOOK</t>
        </is>
      </c>
      <c r="BB823" t="inlineStr">
        <is>
          <t>9780231126724</t>
        </is>
      </c>
      <c r="BC823" t="inlineStr">
        <is>
          <t>32285005151591</t>
        </is>
      </c>
      <c r="BD823" t="inlineStr">
        <is>
          <t>893789004</t>
        </is>
      </c>
    </row>
    <row r="824">
      <c r="A824" t="inlineStr">
        <is>
          <t>No</t>
        </is>
      </c>
      <c r="B824" t="inlineStr">
        <is>
          <t>HM786 .A84 2004</t>
        </is>
      </c>
      <c r="C824" t="inlineStr">
        <is>
          <t>0                      HM 0786000A  84          2004</t>
        </is>
      </c>
      <c r="D824" t="inlineStr">
        <is>
          <t>Reworking gender : a feminist communicology of organization / by Karen Lee Ashcraft, Dennis K. Mumby.</t>
        </is>
      </c>
      <c r="F824" t="inlineStr">
        <is>
          <t>No</t>
        </is>
      </c>
      <c r="G824" t="inlineStr">
        <is>
          <t>1</t>
        </is>
      </c>
      <c r="H824" t="inlineStr">
        <is>
          <t>No</t>
        </is>
      </c>
      <c r="I824" t="inlineStr">
        <is>
          <t>No</t>
        </is>
      </c>
      <c r="J824" t="inlineStr">
        <is>
          <t>0</t>
        </is>
      </c>
      <c r="K824" t="inlineStr">
        <is>
          <t>Ashcraft, Karen Lee.</t>
        </is>
      </c>
      <c r="L824" t="inlineStr">
        <is>
          <t>Thousand Oaks, CA : Sage, c2004.</t>
        </is>
      </c>
      <c r="M824" t="inlineStr">
        <is>
          <t>2004</t>
        </is>
      </c>
      <c r="O824" t="inlineStr">
        <is>
          <t>eng</t>
        </is>
      </c>
      <c r="P824" t="inlineStr">
        <is>
          <t>cau</t>
        </is>
      </c>
      <c r="R824" t="inlineStr">
        <is>
          <t xml:space="preserve">HM </t>
        </is>
      </c>
      <c r="S824" t="n">
        <v>1</v>
      </c>
      <c r="T824" t="n">
        <v>1</v>
      </c>
      <c r="U824" t="inlineStr">
        <is>
          <t>2004-04-20</t>
        </is>
      </c>
      <c r="V824" t="inlineStr">
        <is>
          <t>2004-04-20</t>
        </is>
      </c>
      <c r="W824" t="inlineStr">
        <is>
          <t>2004-04-20</t>
        </is>
      </c>
      <c r="X824" t="inlineStr">
        <is>
          <t>2004-04-20</t>
        </is>
      </c>
      <c r="Y824" t="n">
        <v>362</v>
      </c>
      <c r="Z824" t="n">
        <v>285</v>
      </c>
      <c r="AA824" t="n">
        <v>411</v>
      </c>
      <c r="AB824" t="n">
        <v>5</v>
      </c>
      <c r="AC824" t="n">
        <v>7</v>
      </c>
      <c r="AD824" t="n">
        <v>17</v>
      </c>
      <c r="AE824" t="n">
        <v>26</v>
      </c>
      <c r="AF824" t="n">
        <v>7</v>
      </c>
      <c r="AG824" t="n">
        <v>11</v>
      </c>
      <c r="AH824" t="n">
        <v>3</v>
      </c>
      <c r="AI824" t="n">
        <v>6</v>
      </c>
      <c r="AJ824" t="n">
        <v>7</v>
      </c>
      <c r="AK824" t="n">
        <v>9</v>
      </c>
      <c r="AL824" t="n">
        <v>4</v>
      </c>
      <c r="AM824" t="n">
        <v>6</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HYPERLINK("https://creighton-primo.hosted.exlibrisgroup.com/primo-explore/search?tab=default_tab&amp;search_scope=EVERYTHING&amp;vid=01CRU&amp;lang=en_US&amp;offset=0&amp;query=any,contains,991004268929702656","Catalog Record")</f>
        <v/>
      </c>
      <c r="AT824">
        <f>HYPERLINK("http://www.worldcat.org/oclc/52727393","WorldCat Record")</f>
        <v/>
      </c>
      <c r="AU824" t="inlineStr">
        <is>
          <t>756545:eng</t>
        </is>
      </c>
      <c r="AV824" t="inlineStr">
        <is>
          <t>52727393</t>
        </is>
      </c>
      <c r="AW824" t="inlineStr">
        <is>
          <t>991004268929702656</t>
        </is>
      </c>
      <c r="AX824" t="inlineStr">
        <is>
          <t>991004268929702656</t>
        </is>
      </c>
      <c r="AY824" t="inlineStr">
        <is>
          <t>2256673670002656</t>
        </is>
      </c>
      <c r="AZ824" t="inlineStr">
        <is>
          <t>BOOK</t>
        </is>
      </c>
      <c r="BB824" t="inlineStr">
        <is>
          <t>9780761953548</t>
        </is>
      </c>
      <c r="BC824" t="inlineStr">
        <is>
          <t>32285004900576</t>
        </is>
      </c>
      <c r="BD824" t="inlineStr">
        <is>
          <t>893894776</t>
        </is>
      </c>
    </row>
    <row r="825">
      <c r="A825" t="inlineStr">
        <is>
          <t>No</t>
        </is>
      </c>
      <c r="B825" t="inlineStr">
        <is>
          <t>HM786 .S5618 2005</t>
        </is>
      </c>
      <c r="C825" t="inlineStr">
        <is>
          <t>0                      HM 0786000S  5618        2005</t>
        </is>
      </c>
      <c r="D825" t="inlineStr">
        <is>
          <t>Organizing and organizations / Stephen Fineman, David Sims, Yiannis Gabriel.</t>
        </is>
      </c>
      <c r="F825" t="inlineStr">
        <is>
          <t>No</t>
        </is>
      </c>
      <c r="G825" t="inlineStr">
        <is>
          <t>1</t>
        </is>
      </c>
      <c r="H825" t="inlineStr">
        <is>
          <t>No</t>
        </is>
      </c>
      <c r="I825" t="inlineStr">
        <is>
          <t>No</t>
        </is>
      </c>
      <c r="J825" t="inlineStr">
        <is>
          <t>0</t>
        </is>
      </c>
      <c r="K825" t="inlineStr">
        <is>
          <t>Fineman, Stephen.</t>
        </is>
      </c>
      <c r="L825" t="inlineStr">
        <is>
          <t>London ; Thousand Oaks : SAGE, 2005.</t>
        </is>
      </c>
      <c r="M825" t="inlineStr">
        <is>
          <t>2005</t>
        </is>
      </c>
      <c r="N825" t="inlineStr">
        <is>
          <t>3rd ed.</t>
        </is>
      </c>
      <c r="O825" t="inlineStr">
        <is>
          <t>eng</t>
        </is>
      </c>
      <c r="P825" t="inlineStr">
        <is>
          <t>enk</t>
        </is>
      </c>
      <c r="R825" t="inlineStr">
        <is>
          <t xml:space="preserve">HM </t>
        </is>
      </c>
      <c r="S825" t="n">
        <v>2</v>
      </c>
      <c r="T825" t="n">
        <v>2</v>
      </c>
      <c r="U825" t="inlineStr">
        <is>
          <t>2008-09-24</t>
        </is>
      </c>
      <c r="V825" t="inlineStr">
        <is>
          <t>2008-09-24</t>
        </is>
      </c>
      <c r="W825" t="inlineStr">
        <is>
          <t>2006-04-03</t>
        </is>
      </c>
      <c r="X825" t="inlineStr">
        <is>
          <t>2006-04-03</t>
        </is>
      </c>
      <c r="Y825" t="n">
        <v>187</v>
      </c>
      <c r="Z825" t="n">
        <v>75</v>
      </c>
      <c r="AA825" t="n">
        <v>291</v>
      </c>
      <c r="AB825" t="n">
        <v>2</v>
      </c>
      <c r="AC825" t="n">
        <v>5</v>
      </c>
      <c r="AD825" t="n">
        <v>5</v>
      </c>
      <c r="AE825" t="n">
        <v>24</v>
      </c>
      <c r="AF825" t="n">
        <v>1</v>
      </c>
      <c r="AG825" t="n">
        <v>7</v>
      </c>
      <c r="AH825" t="n">
        <v>1</v>
      </c>
      <c r="AI825" t="n">
        <v>8</v>
      </c>
      <c r="AJ825" t="n">
        <v>2</v>
      </c>
      <c r="AK825" t="n">
        <v>14</v>
      </c>
      <c r="AL825" t="n">
        <v>1</v>
      </c>
      <c r="AM825" t="n">
        <v>4</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HYPERLINK("https://creighton-primo.hosted.exlibrisgroup.com/primo-explore/search?tab=default_tab&amp;search_scope=EVERYTHING&amp;vid=01CRU&amp;lang=en_US&amp;offset=0&amp;query=any,contains,991004765429702656","Catalog Record")</f>
        <v/>
      </c>
      <c r="AT825">
        <f>HYPERLINK("http://www.worldcat.org/oclc/60835260","WorldCat Record")</f>
        <v/>
      </c>
      <c r="AU825" t="inlineStr">
        <is>
          <t>324406327:eng</t>
        </is>
      </c>
      <c r="AV825" t="inlineStr">
        <is>
          <t>60835260</t>
        </is>
      </c>
      <c r="AW825" t="inlineStr">
        <is>
          <t>991004765429702656</t>
        </is>
      </c>
      <c r="AX825" t="inlineStr">
        <is>
          <t>991004765429702656</t>
        </is>
      </c>
      <c r="AY825" t="inlineStr">
        <is>
          <t>2265544900002656</t>
        </is>
      </c>
      <c r="AZ825" t="inlineStr">
        <is>
          <t>BOOK</t>
        </is>
      </c>
      <c r="BB825" t="inlineStr">
        <is>
          <t>9781412901291</t>
        </is>
      </c>
      <c r="BC825" t="inlineStr">
        <is>
          <t>32285005169031</t>
        </is>
      </c>
      <c r="BD825" t="inlineStr">
        <is>
          <t>893901728</t>
        </is>
      </c>
    </row>
    <row r="826">
      <c r="A826" t="inlineStr">
        <is>
          <t>No</t>
        </is>
      </c>
      <c r="B826" t="inlineStr">
        <is>
          <t>HM811 .C87 2000</t>
        </is>
      </c>
      <c r="C826" t="inlineStr">
        <is>
          <t>0                      HM 0811000C  87          2000</t>
        </is>
      </c>
      <c r="D826" t="inlineStr">
        <is>
          <t>The relativity of deviance / John Curra.</t>
        </is>
      </c>
      <c r="F826" t="inlineStr">
        <is>
          <t>No</t>
        </is>
      </c>
      <c r="G826" t="inlineStr">
        <is>
          <t>1</t>
        </is>
      </c>
      <c r="H826" t="inlineStr">
        <is>
          <t>No</t>
        </is>
      </c>
      <c r="I826" t="inlineStr">
        <is>
          <t>No</t>
        </is>
      </c>
      <c r="J826" t="inlineStr">
        <is>
          <t>0</t>
        </is>
      </c>
      <c r="K826" t="inlineStr">
        <is>
          <t>Curra, John.</t>
        </is>
      </c>
      <c r="L826" t="inlineStr">
        <is>
          <t>Thousand Oaks, CA : Sage Publications, Inc., c2000.</t>
        </is>
      </c>
      <c r="M826" t="inlineStr">
        <is>
          <t>2000</t>
        </is>
      </c>
      <c r="O826" t="inlineStr">
        <is>
          <t>eng</t>
        </is>
      </c>
      <c r="P826" t="inlineStr">
        <is>
          <t>cau</t>
        </is>
      </c>
      <c r="R826" t="inlineStr">
        <is>
          <t xml:space="preserve">HM </t>
        </is>
      </c>
      <c r="S826" t="n">
        <v>8</v>
      </c>
      <c r="T826" t="n">
        <v>8</v>
      </c>
      <c r="U826" t="inlineStr">
        <is>
          <t>2008-12-05</t>
        </is>
      </c>
      <c r="V826" t="inlineStr">
        <is>
          <t>2008-12-05</t>
        </is>
      </c>
      <c r="W826" t="inlineStr">
        <is>
          <t>2000-10-18</t>
        </is>
      </c>
      <c r="X826" t="inlineStr">
        <is>
          <t>2000-10-18</t>
        </is>
      </c>
      <c r="Y826" t="n">
        <v>354</v>
      </c>
      <c r="Z826" t="n">
        <v>282</v>
      </c>
      <c r="AA826" t="n">
        <v>720</v>
      </c>
      <c r="AB826" t="n">
        <v>4</v>
      </c>
      <c r="AC826" t="n">
        <v>6</v>
      </c>
      <c r="AD826" t="n">
        <v>16</v>
      </c>
      <c r="AE826" t="n">
        <v>27</v>
      </c>
      <c r="AF826" t="n">
        <v>5</v>
      </c>
      <c r="AG826" t="n">
        <v>6</v>
      </c>
      <c r="AH826" t="n">
        <v>3</v>
      </c>
      <c r="AI826" t="n">
        <v>5</v>
      </c>
      <c r="AJ826" t="n">
        <v>9</v>
      </c>
      <c r="AK826" t="n">
        <v>15</v>
      </c>
      <c r="AL826" t="n">
        <v>3</v>
      </c>
      <c r="AM826" t="n">
        <v>5</v>
      </c>
      <c r="AN826" t="n">
        <v>0</v>
      </c>
      <c r="AO826" t="n">
        <v>1</v>
      </c>
      <c r="AP826" t="inlineStr">
        <is>
          <t>No</t>
        </is>
      </c>
      <c r="AQ826" t="inlineStr">
        <is>
          <t>No</t>
        </is>
      </c>
      <c r="AS826">
        <f>HYPERLINK("https://creighton-primo.hosted.exlibrisgroup.com/primo-explore/search?tab=default_tab&amp;search_scope=EVERYTHING&amp;vid=01CRU&amp;lang=en_US&amp;offset=0&amp;query=any,contains,991003325599702656","Catalog Record")</f>
        <v/>
      </c>
      <c r="AT826">
        <f>HYPERLINK("http://www.worldcat.org/oclc/41131627","WorldCat Record")</f>
        <v/>
      </c>
      <c r="AU826" t="inlineStr">
        <is>
          <t>19902700:eng</t>
        </is>
      </c>
      <c r="AV826" t="inlineStr">
        <is>
          <t>41131627</t>
        </is>
      </c>
      <c r="AW826" t="inlineStr">
        <is>
          <t>991003325599702656</t>
        </is>
      </c>
      <c r="AX826" t="inlineStr">
        <is>
          <t>991003325599702656</t>
        </is>
      </c>
      <c r="AY826" t="inlineStr">
        <is>
          <t>2270064480002656</t>
        </is>
      </c>
      <c r="AZ826" t="inlineStr">
        <is>
          <t>BOOK</t>
        </is>
      </c>
      <c r="BB826" t="inlineStr">
        <is>
          <t>9780761907770</t>
        </is>
      </c>
      <c r="BC826" t="inlineStr">
        <is>
          <t>32285003768685</t>
        </is>
      </c>
      <c r="BD826" t="inlineStr">
        <is>
          <t>893511833</t>
        </is>
      </c>
    </row>
    <row r="827">
      <c r="A827" t="inlineStr">
        <is>
          <t>No</t>
        </is>
      </c>
      <c r="B827" t="inlineStr">
        <is>
          <t>HM821 .E67 2001</t>
        </is>
      </c>
      <c r="C827" t="inlineStr">
        <is>
          <t>0                      HM 0821000E  67          2001</t>
        </is>
      </c>
      <c r="D827" t="inlineStr">
        <is>
          <t>Ensayos sobre la discriminación / Alain Touraine ... [et al.].</t>
        </is>
      </c>
      <c r="F827" t="inlineStr">
        <is>
          <t>No</t>
        </is>
      </c>
      <c r="G827" t="inlineStr">
        <is>
          <t>1</t>
        </is>
      </c>
      <c r="H827" t="inlineStr">
        <is>
          <t>No</t>
        </is>
      </c>
      <c r="I827" t="inlineStr">
        <is>
          <t>No</t>
        </is>
      </c>
      <c r="J827" t="inlineStr">
        <is>
          <t>0</t>
        </is>
      </c>
      <c r="L827" t="inlineStr">
        <is>
          <t>Santo Domingo, República Dominicana : Comisión Permanente de la Feria del Libro, 2001.</t>
        </is>
      </c>
      <c r="M827" t="inlineStr">
        <is>
          <t>2001</t>
        </is>
      </c>
      <c r="O827" t="inlineStr">
        <is>
          <t>spa</t>
        </is>
      </c>
      <c r="P827" t="inlineStr">
        <is>
          <t xml:space="preserve">dr </t>
        </is>
      </c>
      <c r="R827" t="inlineStr">
        <is>
          <t xml:space="preserve">HM </t>
        </is>
      </c>
      <c r="S827" t="n">
        <v>1</v>
      </c>
      <c r="T827" t="n">
        <v>1</v>
      </c>
      <c r="U827" t="inlineStr">
        <is>
          <t>2002-02-20</t>
        </is>
      </c>
      <c r="V827" t="inlineStr">
        <is>
          <t>2002-02-20</t>
        </is>
      </c>
      <c r="W827" t="inlineStr">
        <is>
          <t>2002-02-20</t>
        </is>
      </c>
      <c r="X827" t="inlineStr">
        <is>
          <t>2002-02-20</t>
        </is>
      </c>
      <c r="Y827" t="n">
        <v>31</v>
      </c>
      <c r="Z827" t="n">
        <v>28</v>
      </c>
      <c r="AA827" t="n">
        <v>30</v>
      </c>
      <c r="AB827" t="n">
        <v>1</v>
      </c>
      <c r="AC827" t="n">
        <v>1</v>
      </c>
      <c r="AD827" t="n">
        <v>2</v>
      </c>
      <c r="AE827" t="n">
        <v>2</v>
      </c>
      <c r="AF827" t="n">
        <v>0</v>
      </c>
      <c r="AG827" t="n">
        <v>0</v>
      </c>
      <c r="AH827" t="n">
        <v>2</v>
      </c>
      <c r="AI827" t="n">
        <v>2</v>
      </c>
      <c r="AJ827" t="n">
        <v>0</v>
      </c>
      <c r="AK827" t="n">
        <v>0</v>
      </c>
      <c r="AL827" t="n">
        <v>0</v>
      </c>
      <c r="AM827" t="n">
        <v>0</v>
      </c>
      <c r="AN827" t="n">
        <v>0</v>
      </c>
      <c r="AO827" t="n">
        <v>0</v>
      </c>
      <c r="AP827" t="inlineStr">
        <is>
          <t>No</t>
        </is>
      </c>
      <c r="AQ827" t="inlineStr">
        <is>
          <t>Yes</t>
        </is>
      </c>
      <c r="AR827">
        <f>HYPERLINK("http://catalog.hathitrust.org/Record/004216068","HathiTrust Record")</f>
        <v/>
      </c>
      <c r="AS827">
        <f>HYPERLINK("https://creighton-primo.hosted.exlibrisgroup.com/primo-explore/search?tab=default_tab&amp;search_scope=EVERYTHING&amp;vid=01CRU&amp;lang=en_US&amp;offset=0&amp;query=any,contains,991003743639702656","Catalog Record")</f>
        <v/>
      </c>
      <c r="AT827">
        <f>HYPERLINK("http://www.worldcat.org/oclc/48528433","WorldCat Record")</f>
        <v/>
      </c>
      <c r="AU827" t="inlineStr">
        <is>
          <t>37658926:spa</t>
        </is>
      </c>
      <c r="AV827" t="inlineStr">
        <is>
          <t>48528433</t>
        </is>
      </c>
      <c r="AW827" t="inlineStr">
        <is>
          <t>991003743639702656</t>
        </is>
      </c>
      <c r="AX827" t="inlineStr">
        <is>
          <t>991003743639702656</t>
        </is>
      </c>
      <c r="AY827" t="inlineStr">
        <is>
          <t>2257819050002656</t>
        </is>
      </c>
      <c r="AZ827" t="inlineStr">
        <is>
          <t>BOOK</t>
        </is>
      </c>
      <c r="BB827" t="inlineStr">
        <is>
          <t>9789993442059</t>
        </is>
      </c>
      <c r="BC827" t="inlineStr">
        <is>
          <t>32285004456298</t>
        </is>
      </c>
      <c r="BD827" t="inlineStr">
        <is>
          <t>893499641</t>
        </is>
      </c>
    </row>
    <row r="828">
      <c r="A828" t="inlineStr">
        <is>
          <t>No</t>
        </is>
      </c>
      <c r="B828" t="inlineStr">
        <is>
          <t>HM821 .F85 2003</t>
        </is>
      </c>
      <c r="C828" t="inlineStr">
        <is>
          <t>0                      HM 0821000F  85          2003</t>
        </is>
      </c>
      <c r="D828" t="inlineStr">
        <is>
          <t>Somebodies and nobodies : overcoming the abuse of rank / Robert W. Fuller.</t>
        </is>
      </c>
      <c r="F828" t="inlineStr">
        <is>
          <t>No</t>
        </is>
      </c>
      <c r="G828" t="inlineStr">
        <is>
          <t>1</t>
        </is>
      </c>
      <c r="H828" t="inlineStr">
        <is>
          <t>No</t>
        </is>
      </c>
      <c r="I828" t="inlineStr">
        <is>
          <t>No</t>
        </is>
      </c>
      <c r="J828" t="inlineStr">
        <is>
          <t>0</t>
        </is>
      </c>
      <c r="K828" t="inlineStr">
        <is>
          <t>Fuller, Robert W. (Robert Works), 1936-</t>
        </is>
      </c>
      <c r="L828" t="inlineStr">
        <is>
          <t>Gabriola Island, Canada : New Society Publishers, c2003.</t>
        </is>
      </c>
      <c r="M828" t="inlineStr">
        <is>
          <t>2003</t>
        </is>
      </c>
      <c r="O828" t="inlineStr">
        <is>
          <t>eng</t>
        </is>
      </c>
      <c r="P828" t="inlineStr">
        <is>
          <t>bcc</t>
        </is>
      </c>
      <c r="R828" t="inlineStr">
        <is>
          <t xml:space="preserve">HM </t>
        </is>
      </c>
      <c r="S828" t="n">
        <v>2</v>
      </c>
      <c r="T828" t="n">
        <v>2</v>
      </c>
      <c r="U828" t="inlineStr">
        <is>
          <t>2010-01-23</t>
        </is>
      </c>
      <c r="V828" t="inlineStr">
        <is>
          <t>2010-01-23</t>
        </is>
      </c>
      <c r="W828" t="inlineStr">
        <is>
          <t>2004-02-12</t>
        </is>
      </c>
      <c r="X828" t="inlineStr">
        <is>
          <t>2004-02-12</t>
        </is>
      </c>
      <c r="Y828" t="n">
        <v>489</v>
      </c>
      <c r="Z828" t="n">
        <v>413</v>
      </c>
      <c r="AA828" t="n">
        <v>645</v>
      </c>
      <c r="AB828" t="n">
        <v>6</v>
      </c>
      <c r="AC828" t="n">
        <v>6</v>
      </c>
      <c r="AD828" t="n">
        <v>19</v>
      </c>
      <c r="AE828" t="n">
        <v>24</v>
      </c>
      <c r="AF828" t="n">
        <v>6</v>
      </c>
      <c r="AG828" t="n">
        <v>10</v>
      </c>
      <c r="AH828" t="n">
        <v>4</v>
      </c>
      <c r="AI828" t="n">
        <v>5</v>
      </c>
      <c r="AJ828" t="n">
        <v>6</v>
      </c>
      <c r="AK828" t="n">
        <v>7</v>
      </c>
      <c r="AL828" t="n">
        <v>5</v>
      </c>
      <c r="AM828" t="n">
        <v>5</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HYPERLINK("https://creighton-primo.hosted.exlibrisgroup.com/primo-explore/search?tab=default_tab&amp;search_scope=EVERYTHING&amp;vid=01CRU&amp;lang=en_US&amp;offset=0&amp;query=any,contains,991004213869702656","Catalog Record")</f>
        <v/>
      </c>
      <c r="AT828">
        <f>HYPERLINK("http://www.worldcat.org/oclc/51630764","WorldCat Record")</f>
        <v/>
      </c>
      <c r="AU828" t="inlineStr">
        <is>
          <t>837306143:eng</t>
        </is>
      </c>
      <c r="AV828" t="inlineStr">
        <is>
          <t>51630764</t>
        </is>
      </c>
      <c r="AW828" t="inlineStr">
        <is>
          <t>991004213869702656</t>
        </is>
      </c>
      <c r="AX828" t="inlineStr">
        <is>
          <t>991004213869702656</t>
        </is>
      </c>
      <c r="AY828" t="inlineStr">
        <is>
          <t>2255343340002656</t>
        </is>
      </c>
      <c r="AZ828" t="inlineStr">
        <is>
          <t>BOOK</t>
        </is>
      </c>
      <c r="BB828" t="inlineStr">
        <is>
          <t>9780865714861</t>
        </is>
      </c>
      <c r="BC828" t="inlineStr">
        <is>
          <t>32285004638176</t>
        </is>
      </c>
      <c r="BD828" t="inlineStr">
        <is>
          <t>893343583</t>
        </is>
      </c>
    </row>
    <row r="829">
      <c r="A829" t="inlineStr">
        <is>
          <t>No</t>
        </is>
      </c>
      <c r="B829" t="inlineStr">
        <is>
          <t>HM821 .O67 2004</t>
        </is>
      </c>
      <c r="C829" t="inlineStr">
        <is>
          <t>0                      HM 0821000O  67          2004</t>
        </is>
      </c>
      <c r="D829" t="inlineStr">
        <is>
          <t>Oppression, privilege, and resistance : theoretical perspectives on racism, sexism, and heterosexism / [edited by] Lisa Heldke, Peg O'Connor.</t>
        </is>
      </c>
      <c r="F829" t="inlineStr">
        <is>
          <t>No</t>
        </is>
      </c>
      <c r="G829" t="inlineStr">
        <is>
          <t>1</t>
        </is>
      </c>
      <c r="H829" t="inlineStr">
        <is>
          <t>No</t>
        </is>
      </c>
      <c r="I829" t="inlineStr">
        <is>
          <t>No</t>
        </is>
      </c>
      <c r="J829" t="inlineStr">
        <is>
          <t>0</t>
        </is>
      </c>
      <c r="L829" t="inlineStr">
        <is>
          <t>Boston : McGraw-Hill, c2004.</t>
        </is>
      </c>
      <c r="M829" t="inlineStr">
        <is>
          <t>2004</t>
        </is>
      </c>
      <c r="O829" t="inlineStr">
        <is>
          <t>eng</t>
        </is>
      </c>
      <c r="P829" t="inlineStr">
        <is>
          <t>mau</t>
        </is>
      </c>
      <c r="R829" t="inlineStr">
        <is>
          <t xml:space="preserve">HM </t>
        </is>
      </c>
      <c r="S829" t="n">
        <v>6</v>
      </c>
      <c r="T829" t="n">
        <v>6</v>
      </c>
      <c r="U829" t="inlineStr">
        <is>
          <t>2009-09-28</t>
        </is>
      </c>
      <c r="V829" t="inlineStr">
        <is>
          <t>2009-09-28</t>
        </is>
      </c>
      <c r="W829" t="inlineStr">
        <is>
          <t>2004-05-25</t>
        </is>
      </c>
      <c r="X829" t="inlineStr">
        <is>
          <t>2004-05-25</t>
        </is>
      </c>
      <c r="Y829" t="n">
        <v>166</v>
      </c>
      <c r="Z829" t="n">
        <v>120</v>
      </c>
      <c r="AA829" t="n">
        <v>121</v>
      </c>
      <c r="AB829" t="n">
        <v>2</v>
      </c>
      <c r="AC829" t="n">
        <v>2</v>
      </c>
      <c r="AD829" t="n">
        <v>8</v>
      </c>
      <c r="AE829" t="n">
        <v>8</v>
      </c>
      <c r="AF829" t="n">
        <v>3</v>
      </c>
      <c r="AG829" t="n">
        <v>3</v>
      </c>
      <c r="AH829" t="n">
        <v>2</v>
      </c>
      <c r="AI829" t="n">
        <v>2</v>
      </c>
      <c r="AJ829" t="n">
        <v>3</v>
      </c>
      <c r="AK829" t="n">
        <v>3</v>
      </c>
      <c r="AL829" t="n">
        <v>1</v>
      </c>
      <c r="AM829" t="n">
        <v>1</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HYPERLINK("https://creighton-primo.hosted.exlibrisgroup.com/primo-explore/search?tab=default_tab&amp;search_scope=EVERYTHING&amp;vid=01CRU&amp;lang=en_US&amp;offset=0&amp;query=any,contains,991004174899702656","Catalog Record")</f>
        <v/>
      </c>
      <c r="AT829">
        <f>HYPERLINK("http://www.worldcat.org/oclc/53287748","WorldCat Record")</f>
        <v/>
      </c>
      <c r="AU829" t="inlineStr">
        <is>
          <t>796458823:eng</t>
        </is>
      </c>
      <c r="AV829" t="inlineStr">
        <is>
          <t>53287748</t>
        </is>
      </c>
      <c r="AW829" t="inlineStr">
        <is>
          <t>991004174899702656</t>
        </is>
      </c>
      <c r="AX829" t="inlineStr">
        <is>
          <t>991004174899702656</t>
        </is>
      </c>
      <c r="AY829" t="inlineStr">
        <is>
          <t>2256402110002656</t>
        </is>
      </c>
      <c r="AZ829" t="inlineStr">
        <is>
          <t>BOOK</t>
        </is>
      </c>
      <c r="BB829" t="inlineStr">
        <is>
          <t>9780072882438</t>
        </is>
      </c>
      <c r="BC829" t="inlineStr">
        <is>
          <t>32285004907159</t>
        </is>
      </c>
      <c r="BD829" t="inlineStr">
        <is>
          <t>893794562</t>
        </is>
      </c>
    </row>
    <row r="830">
      <c r="A830" t="inlineStr">
        <is>
          <t>No</t>
        </is>
      </c>
      <c r="B830" t="inlineStr">
        <is>
          <t>HM831 .O58 2000</t>
        </is>
      </c>
      <c r="C830" t="inlineStr">
        <is>
          <t>0                      HM 0831000O  58          2000</t>
        </is>
      </c>
      <c r="D830" t="inlineStr">
        <is>
          <t>Our world in transition : making sense of a changing world / Diarmuid O'Murchú.</t>
        </is>
      </c>
      <c r="F830" t="inlineStr">
        <is>
          <t>No</t>
        </is>
      </c>
      <c r="G830" t="inlineStr">
        <is>
          <t>1</t>
        </is>
      </c>
      <c r="H830" t="inlineStr">
        <is>
          <t>No</t>
        </is>
      </c>
      <c r="I830" t="inlineStr">
        <is>
          <t>No</t>
        </is>
      </c>
      <c r="J830" t="inlineStr">
        <is>
          <t>0</t>
        </is>
      </c>
      <c r="K830" t="inlineStr">
        <is>
          <t>Ó Murchú, Diarmuid</t>
        </is>
      </c>
      <c r="L830" t="inlineStr">
        <is>
          <t>New York : Crossroad Pub. Co., 2000, c1995.</t>
        </is>
      </c>
      <c r="M830" t="inlineStr">
        <is>
          <t>2000</t>
        </is>
      </c>
      <c r="O830" t="inlineStr">
        <is>
          <t>eng</t>
        </is>
      </c>
      <c r="P830" t="inlineStr">
        <is>
          <t>nyu</t>
        </is>
      </c>
      <c r="R830" t="inlineStr">
        <is>
          <t xml:space="preserve">HM </t>
        </is>
      </c>
      <c r="S830" t="n">
        <v>5</v>
      </c>
      <c r="T830" t="n">
        <v>5</v>
      </c>
      <c r="U830" t="inlineStr">
        <is>
          <t>2008-01-17</t>
        </is>
      </c>
      <c r="V830" t="inlineStr">
        <is>
          <t>2008-01-17</t>
        </is>
      </c>
      <c r="W830" t="inlineStr">
        <is>
          <t>2001-04-17</t>
        </is>
      </c>
      <c r="X830" t="inlineStr">
        <is>
          <t>2001-04-17</t>
        </is>
      </c>
      <c r="Y830" t="n">
        <v>105</v>
      </c>
      <c r="Z830" t="n">
        <v>87</v>
      </c>
      <c r="AA830" t="n">
        <v>96</v>
      </c>
      <c r="AB830" t="n">
        <v>1</v>
      </c>
      <c r="AC830" t="n">
        <v>1</v>
      </c>
      <c r="AD830" t="n">
        <v>8</v>
      </c>
      <c r="AE830" t="n">
        <v>8</v>
      </c>
      <c r="AF830" t="n">
        <v>2</v>
      </c>
      <c r="AG830" t="n">
        <v>2</v>
      </c>
      <c r="AH830" t="n">
        <v>2</v>
      </c>
      <c r="AI830" t="n">
        <v>2</v>
      </c>
      <c r="AJ830" t="n">
        <v>6</v>
      </c>
      <c r="AK830" t="n">
        <v>6</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HYPERLINK("https://creighton-primo.hosted.exlibrisgroup.com/primo-explore/search?tab=default_tab&amp;search_scope=EVERYTHING&amp;vid=01CRU&amp;lang=en_US&amp;offset=0&amp;query=any,contains,991003526919702656","Catalog Record")</f>
        <v/>
      </c>
      <c r="AT830">
        <f>HYPERLINK("http://www.worldcat.org/oclc/45670583","WorldCat Record")</f>
        <v/>
      </c>
      <c r="AU830" t="inlineStr">
        <is>
          <t>836733803:eng</t>
        </is>
      </c>
      <c r="AV830" t="inlineStr">
        <is>
          <t>45670583</t>
        </is>
      </c>
      <c r="AW830" t="inlineStr">
        <is>
          <t>991003526919702656</t>
        </is>
      </c>
      <c r="AX830" t="inlineStr">
        <is>
          <t>991003526919702656</t>
        </is>
      </c>
      <c r="AY830" t="inlineStr">
        <is>
          <t>2261731300002656</t>
        </is>
      </c>
      <c r="AZ830" t="inlineStr">
        <is>
          <t>BOOK</t>
        </is>
      </c>
      <c r="BB830" t="inlineStr">
        <is>
          <t>9780824518622</t>
        </is>
      </c>
      <c r="BC830" t="inlineStr">
        <is>
          <t>32285004312830</t>
        </is>
      </c>
      <c r="BD830" t="inlineStr">
        <is>
          <t>893258518</t>
        </is>
      </c>
    </row>
    <row r="831">
      <c r="A831" t="inlineStr">
        <is>
          <t>No</t>
        </is>
      </c>
      <c r="B831" t="inlineStr">
        <is>
          <t>HM831 .P65 2000</t>
        </is>
      </c>
      <c r="C831" t="inlineStr">
        <is>
          <t>0                      HM 0831000P  65          2000</t>
        </is>
      </c>
      <c r="D831" t="inlineStr">
        <is>
          <t>The politics of change : globalization, ideology, and critique / edited by Werner Bonefeld, Kosmas Psychopedis.</t>
        </is>
      </c>
      <c r="F831" t="inlineStr">
        <is>
          <t>No</t>
        </is>
      </c>
      <c r="G831" t="inlineStr">
        <is>
          <t>1</t>
        </is>
      </c>
      <c r="H831" t="inlineStr">
        <is>
          <t>No</t>
        </is>
      </c>
      <c r="I831" t="inlineStr">
        <is>
          <t>No</t>
        </is>
      </c>
      <c r="J831" t="inlineStr">
        <is>
          <t>0</t>
        </is>
      </c>
      <c r="L831" t="inlineStr">
        <is>
          <t>Houndmills, Basingstoke, Hampshire ; New York : Palgrave, 2000.</t>
        </is>
      </c>
      <c r="M831" t="inlineStr">
        <is>
          <t>2000</t>
        </is>
      </c>
      <c r="O831" t="inlineStr">
        <is>
          <t>eng</t>
        </is>
      </c>
      <c r="P831" t="inlineStr">
        <is>
          <t>enk</t>
        </is>
      </c>
      <c r="R831" t="inlineStr">
        <is>
          <t xml:space="preserve">HM </t>
        </is>
      </c>
      <c r="S831" t="n">
        <v>3</v>
      </c>
      <c r="T831" t="n">
        <v>3</v>
      </c>
      <c r="U831" t="inlineStr">
        <is>
          <t>2003-05-02</t>
        </is>
      </c>
      <c r="V831" t="inlineStr">
        <is>
          <t>2003-05-02</t>
        </is>
      </c>
      <c r="W831" t="inlineStr">
        <is>
          <t>2003-03-25</t>
        </is>
      </c>
      <c r="X831" t="inlineStr">
        <is>
          <t>2003-03-25</t>
        </is>
      </c>
      <c r="Y831" t="n">
        <v>219</v>
      </c>
      <c r="Z831" t="n">
        <v>154</v>
      </c>
      <c r="AA831" t="n">
        <v>196</v>
      </c>
      <c r="AB831" t="n">
        <v>2</v>
      </c>
      <c r="AC831" t="n">
        <v>2</v>
      </c>
      <c r="AD831" t="n">
        <v>9</v>
      </c>
      <c r="AE831" t="n">
        <v>11</v>
      </c>
      <c r="AF831" t="n">
        <v>0</v>
      </c>
      <c r="AG831" t="n">
        <v>1</v>
      </c>
      <c r="AH831" t="n">
        <v>5</v>
      </c>
      <c r="AI831" t="n">
        <v>5</v>
      </c>
      <c r="AJ831" t="n">
        <v>5</v>
      </c>
      <c r="AK831" t="n">
        <v>7</v>
      </c>
      <c r="AL831" t="n">
        <v>1</v>
      </c>
      <c r="AM831" t="n">
        <v>1</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HYPERLINK("https://creighton-primo.hosted.exlibrisgroup.com/primo-explore/search?tab=default_tab&amp;search_scope=EVERYTHING&amp;vid=01CRU&amp;lang=en_US&amp;offset=0&amp;query=any,contains,991004029889702656","Catalog Record")</f>
        <v/>
      </c>
      <c r="AT831">
        <f>HYPERLINK("http://www.worldcat.org/oclc/44167091","WorldCat Record")</f>
        <v/>
      </c>
      <c r="AU831" t="inlineStr">
        <is>
          <t>1044428128:eng</t>
        </is>
      </c>
      <c r="AV831" t="inlineStr">
        <is>
          <t>44167091</t>
        </is>
      </c>
      <c r="AW831" t="inlineStr">
        <is>
          <t>991004029889702656</t>
        </is>
      </c>
      <c r="AX831" t="inlineStr">
        <is>
          <t>991004029889702656</t>
        </is>
      </c>
      <c r="AY831" t="inlineStr">
        <is>
          <t>2263853420002656</t>
        </is>
      </c>
      <c r="AZ831" t="inlineStr">
        <is>
          <t>BOOK</t>
        </is>
      </c>
      <c r="BB831" t="inlineStr">
        <is>
          <t>9780312235598</t>
        </is>
      </c>
      <c r="BC831" t="inlineStr">
        <is>
          <t>32285004686472</t>
        </is>
      </c>
      <c r="BD831" t="inlineStr">
        <is>
          <t>893411022</t>
        </is>
      </c>
    </row>
    <row r="832">
      <c r="A832" t="inlineStr">
        <is>
          <t>No</t>
        </is>
      </c>
      <c r="B832" t="inlineStr">
        <is>
          <t>HM841 .S47 2000</t>
        </is>
      </c>
      <c r="C832" t="inlineStr">
        <is>
          <t>0                      HM 0841000S  47          2000</t>
        </is>
      </c>
      <c r="D832" t="inlineStr">
        <is>
          <t>Bound : living in the globalized world / Scott Sernau.</t>
        </is>
      </c>
      <c r="F832" t="inlineStr">
        <is>
          <t>No</t>
        </is>
      </c>
      <c r="G832" t="inlineStr">
        <is>
          <t>1</t>
        </is>
      </c>
      <c r="H832" t="inlineStr">
        <is>
          <t>No</t>
        </is>
      </c>
      <c r="I832" t="inlineStr">
        <is>
          <t>No</t>
        </is>
      </c>
      <c r="J832" t="inlineStr">
        <is>
          <t>0</t>
        </is>
      </c>
      <c r="K832" t="inlineStr">
        <is>
          <t>Sernau, Scott.</t>
        </is>
      </c>
      <c r="L832" t="inlineStr">
        <is>
          <t>Bloomfield, Conn. : Kumarian Press, 2000.</t>
        </is>
      </c>
      <c r="M832" t="inlineStr">
        <is>
          <t>2000</t>
        </is>
      </c>
      <c r="O832" t="inlineStr">
        <is>
          <t>eng</t>
        </is>
      </c>
      <c r="P832" t="inlineStr">
        <is>
          <t>ctu</t>
        </is>
      </c>
      <c r="R832" t="inlineStr">
        <is>
          <t xml:space="preserve">HM </t>
        </is>
      </c>
      <c r="S832" t="n">
        <v>2</v>
      </c>
      <c r="T832" t="n">
        <v>2</v>
      </c>
      <c r="U832" t="inlineStr">
        <is>
          <t>2001-01-30</t>
        </is>
      </c>
      <c r="V832" t="inlineStr">
        <is>
          <t>2001-01-30</t>
        </is>
      </c>
      <c r="W832" t="inlineStr">
        <is>
          <t>2001-01-10</t>
        </is>
      </c>
      <c r="X832" t="inlineStr">
        <is>
          <t>2001-01-10</t>
        </is>
      </c>
      <c r="Y832" t="n">
        <v>349</v>
      </c>
      <c r="Z832" t="n">
        <v>299</v>
      </c>
      <c r="AA832" t="n">
        <v>329</v>
      </c>
      <c r="AB832" t="n">
        <v>2</v>
      </c>
      <c r="AC832" t="n">
        <v>2</v>
      </c>
      <c r="AD832" t="n">
        <v>15</v>
      </c>
      <c r="AE832" t="n">
        <v>17</v>
      </c>
      <c r="AF832" t="n">
        <v>4</v>
      </c>
      <c r="AG832" t="n">
        <v>6</v>
      </c>
      <c r="AH832" t="n">
        <v>6</v>
      </c>
      <c r="AI832" t="n">
        <v>7</v>
      </c>
      <c r="AJ832" t="n">
        <v>8</v>
      </c>
      <c r="AK832" t="n">
        <v>8</v>
      </c>
      <c r="AL832" t="n">
        <v>1</v>
      </c>
      <c r="AM832" t="n">
        <v>1</v>
      </c>
      <c r="AN832" t="n">
        <v>0</v>
      </c>
      <c r="AO832" t="n">
        <v>0</v>
      </c>
      <c r="AP832" t="inlineStr">
        <is>
          <t>No</t>
        </is>
      </c>
      <c r="AQ832" t="inlineStr">
        <is>
          <t>Yes</t>
        </is>
      </c>
      <c r="AR832">
        <f>HYPERLINK("http://catalog.hathitrust.org/Record/004135281","HathiTrust Record")</f>
        <v/>
      </c>
      <c r="AS832">
        <f>HYPERLINK("https://creighton-primo.hosted.exlibrisgroup.com/primo-explore/search?tab=default_tab&amp;search_scope=EVERYTHING&amp;vid=01CRU&amp;lang=en_US&amp;offset=0&amp;query=any,contains,991003450759702656","Catalog Record")</f>
        <v/>
      </c>
      <c r="AT832">
        <f>HYPERLINK("http://www.worldcat.org/oclc/44174277","WorldCat Record")</f>
        <v/>
      </c>
      <c r="AU832" t="inlineStr">
        <is>
          <t>2053220:eng</t>
        </is>
      </c>
      <c r="AV832" t="inlineStr">
        <is>
          <t>44174277</t>
        </is>
      </c>
      <c r="AW832" t="inlineStr">
        <is>
          <t>991003450759702656</t>
        </is>
      </c>
      <c r="AX832" t="inlineStr">
        <is>
          <t>991003450759702656</t>
        </is>
      </c>
      <c r="AY832" t="inlineStr">
        <is>
          <t>2259131310002656</t>
        </is>
      </c>
      <c r="AZ832" t="inlineStr">
        <is>
          <t>BOOK</t>
        </is>
      </c>
      <c r="BB832" t="inlineStr">
        <is>
          <t>9781565491120</t>
        </is>
      </c>
      <c r="BC832" t="inlineStr">
        <is>
          <t>32285004282140</t>
        </is>
      </c>
      <c r="BD832" t="inlineStr">
        <is>
          <t>893240208</t>
        </is>
      </c>
    </row>
    <row r="833">
      <c r="A833" t="inlineStr">
        <is>
          <t>No</t>
        </is>
      </c>
      <c r="B833" t="inlineStr">
        <is>
          <t>HM846 .E57 2001</t>
        </is>
      </c>
      <c r="C833" t="inlineStr">
        <is>
          <t>0                      HM 0846000E  57          2001</t>
        </is>
      </c>
      <c r="D833" t="inlineStr">
        <is>
          <t>As the future catches you : how genomics &amp; other forces are changing your life, work, health &amp; wealth / Juan Enriquez.</t>
        </is>
      </c>
      <c r="F833" t="inlineStr">
        <is>
          <t>No</t>
        </is>
      </c>
      <c r="G833" t="inlineStr">
        <is>
          <t>1</t>
        </is>
      </c>
      <c r="H833" t="inlineStr">
        <is>
          <t>No</t>
        </is>
      </c>
      <c r="I833" t="inlineStr">
        <is>
          <t>No</t>
        </is>
      </c>
      <c r="J833" t="inlineStr">
        <is>
          <t>0</t>
        </is>
      </c>
      <c r="K833" t="inlineStr">
        <is>
          <t>Enriquez, Juan, 1959-</t>
        </is>
      </c>
      <c r="L833" t="inlineStr">
        <is>
          <t>New York : Crown Business, c2001.</t>
        </is>
      </c>
      <c r="M833" t="inlineStr">
        <is>
          <t>2001</t>
        </is>
      </c>
      <c r="O833" t="inlineStr">
        <is>
          <t>eng</t>
        </is>
      </c>
      <c r="P833" t="inlineStr">
        <is>
          <t>nyu</t>
        </is>
      </c>
      <c r="R833" t="inlineStr">
        <is>
          <t xml:space="preserve">HM </t>
        </is>
      </c>
      <c r="S833" t="n">
        <v>7</v>
      </c>
      <c r="T833" t="n">
        <v>7</v>
      </c>
      <c r="U833" t="inlineStr">
        <is>
          <t>2010-03-30</t>
        </is>
      </c>
      <c r="V833" t="inlineStr">
        <is>
          <t>2010-03-30</t>
        </is>
      </c>
      <c r="W833" t="inlineStr">
        <is>
          <t>2002-01-09</t>
        </is>
      </c>
      <c r="X833" t="inlineStr">
        <is>
          <t>2002-01-09</t>
        </is>
      </c>
      <c r="Y833" t="n">
        <v>536</v>
      </c>
      <c r="Z833" t="n">
        <v>457</v>
      </c>
      <c r="AA833" t="n">
        <v>591</v>
      </c>
      <c r="AB833" t="n">
        <v>4</v>
      </c>
      <c r="AC833" t="n">
        <v>5</v>
      </c>
      <c r="AD833" t="n">
        <v>15</v>
      </c>
      <c r="AE833" t="n">
        <v>18</v>
      </c>
      <c r="AF833" t="n">
        <v>3</v>
      </c>
      <c r="AG833" t="n">
        <v>4</v>
      </c>
      <c r="AH833" t="n">
        <v>3</v>
      </c>
      <c r="AI833" t="n">
        <v>5</v>
      </c>
      <c r="AJ833" t="n">
        <v>8</v>
      </c>
      <c r="AK833" t="n">
        <v>9</v>
      </c>
      <c r="AL833" t="n">
        <v>3</v>
      </c>
      <c r="AM833" t="n">
        <v>4</v>
      </c>
      <c r="AN833" t="n">
        <v>1</v>
      </c>
      <c r="AO833" t="n">
        <v>1</v>
      </c>
      <c r="AP833" t="inlineStr">
        <is>
          <t>No</t>
        </is>
      </c>
      <c r="AQ833" t="inlineStr">
        <is>
          <t>No</t>
        </is>
      </c>
      <c r="AS833">
        <f>HYPERLINK("https://creighton-primo.hosted.exlibrisgroup.com/primo-explore/search?tab=default_tab&amp;search_scope=EVERYTHING&amp;vid=01CRU&amp;lang=en_US&amp;offset=0&amp;query=any,contains,991003684999702656","Catalog Record")</f>
        <v/>
      </c>
      <c r="AT833">
        <f>HYPERLINK("http://www.worldcat.org/oclc/46366322","WorldCat Record")</f>
        <v/>
      </c>
      <c r="AU833" t="inlineStr">
        <is>
          <t>18903572:eng</t>
        </is>
      </c>
      <c r="AV833" t="inlineStr">
        <is>
          <t>46366322</t>
        </is>
      </c>
      <c r="AW833" t="inlineStr">
        <is>
          <t>991003684999702656</t>
        </is>
      </c>
      <c r="AX833" t="inlineStr">
        <is>
          <t>991003684999702656</t>
        </is>
      </c>
      <c r="AY833" t="inlineStr">
        <is>
          <t>2255496150002656</t>
        </is>
      </c>
      <c r="AZ833" t="inlineStr">
        <is>
          <t>BOOK</t>
        </is>
      </c>
      <c r="BB833" t="inlineStr">
        <is>
          <t>9780609609033</t>
        </is>
      </c>
      <c r="BC833" t="inlineStr">
        <is>
          <t>32285004446018</t>
        </is>
      </c>
      <c r="BD833" t="inlineStr">
        <is>
          <t>893693033</t>
        </is>
      </c>
    </row>
    <row r="834">
      <c r="A834" t="inlineStr">
        <is>
          <t>No</t>
        </is>
      </c>
      <c r="B834" t="inlineStr">
        <is>
          <t>HM846 .W43 2006</t>
        </is>
      </c>
      <c r="C834" t="inlineStr">
        <is>
          <t>0                      HM 0846000W  43          2006</t>
        </is>
      </c>
      <c r="D834" t="inlineStr">
        <is>
          <t>Prisoners of technology : time to get unplugged / by Lisa J. Whaley.</t>
        </is>
      </c>
      <c r="F834" t="inlineStr">
        <is>
          <t>No</t>
        </is>
      </c>
      <c r="G834" t="inlineStr">
        <is>
          <t>1</t>
        </is>
      </c>
      <c r="H834" t="inlineStr">
        <is>
          <t>No</t>
        </is>
      </c>
      <c r="I834" t="inlineStr">
        <is>
          <t>No</t>
        </is>
      </c>
      <c r="J834" t="inlineStr">
        <is>
          <t>0</t>
        </is>
      </c>
      <c r="K834" t="inlineStr">
        <is>
          <t>Whaley, Lisa J.</t>
        </is>
      </c>
      <c r="L834" t="inlineStr">
        <is>
          <t>Bloomington, IN : RoofTop Publishing, c2006.</t>
        </is>
      </c>
      <c r="M834" t="inlineStr">
        <is>
          <t>2006</t>
        </is>
      </c>
      <c r="O834" t="inlineStr">
        <is>
          <t>eng</t>
        </is>
      </c>
      <c r="P834" t="inlineStr">
        <is>
          <t>inu</t>
        </is>
      </c>
      <c r="R834" t="inlineStr">
        <is>
          <t xml:space="preserve">HM </t>
        </is>
      </c>
      <c r="S834" t="n">
        <v>3</v>
      </c>
      <c r="T834" t="n">
        <v>3</v>
      </c>
      <c r="U834" t="inlineStr">
        <is>
          <t>2008-11-24</t>
        </is>
      </c>
      <c r="V834" t="inlineStr">
        <is>
          <t>2008-11-24</t>
        </is>
      </c>
      <c r="W834" t="inlineStr">
        <is>
          <t>2007-01-29</t>
        </is>
      </c>
      <c r="X834" t="inlineStr">
        <is>
          <t>2007-01-29</t>
        </is>
      </c>
      <c r="Y834" t="n">
        <v>6</v>
      </c>
      <c r="Z834" t="n">
        <v>6</v>
      </c>
      <c r="AA834" t="n">
        <v>6</v>
      </c>
      <c r="AB834" t="n">
        <v>1</v>
      </c>
      <c r="AC834" t="n">
        <v>1</v>
      </c>
      <c r="AD834" t="n">
        <v>0</v>
      </c>
      <c r="AE834" t="n">
        <v>0</v>
      </c>
      <c r="AF834" t="n">
        <v>0</v>
      </c>
      <c r="AG834" t="n">
        <v>0</v>
      </c>
      <c r="AH834" t="n">
        <v>0</v>
      </c>
      <c r="AI834" t="n">
        <v>0</v>
      </c>
      <c r="AJ834" t="n">
        <v>0</v>
      </c>
      <c r="AK834" t="n">
        <v>0</v>
      </c>
      <c r="AL834" t="n">
        <v>0</v>
      </c>
      <c r="AM834" t="n">
        <v>0</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HYPERLINK("https://creighton-primo.hosted.exlibrisgroup.com/primo-explore/search?tab=default_tab&amp;search_scope=EVERYTHING&amp;vid=01CRU&amp;lang=en_US&amp;offset=0&amp;query=any,contains,991004863639702656","Catalog Record")</f>
        <v/>
      </c>
      <c r="AT834">
        <f>HYPERLINK("http://www.worldcat.org/oclc/74674906","WorldCat Record")</f>
        <v/>
      </c>
      <c r="AU834" t="inlineStr">
        <is>
          <t>60915229:eng</t>
        </is>
      </c>
      <c r="AV834" t="inlineStr">
        <is>
          <t>74674906</t>
        </is>
      </c>
      <c r="AW834" t="inlineStr">
        <is>
          <t>991004863639702656</t>
        </is>
      </c>
      <c r="AX834" t="inlineStr">
        <is>
          <t>991004863639702656</t>
        </is>
      </c>
      <c r="AY834" t="inlineStr">
        <is>
          <t>2271823660002656</t>
        </is>
      </c>
      <c r="AZ834" t="inlineStr">
        <is>
          <t>BOOK</t>
        </is>
      </c>
      <c r="BB834" t="inlineStr">
        <is>
          <t>9781600080067</t>
        </is>
      </c>
      <c r="BC834" t="inlineStr">
        <is>
          <t>32285005220883</t>
        </is>
      </c>
      <c r="BD834" t="inlineStr">
        <is>
          <t>893501044</t>
        </is>
      </c>
    </row>
    <row r="835">
      <c r="A835" t="inlineStr">
        <is>
          <t>No</t>
        </is>
      </c>
      <c r="B835" t="inlineStr">
        <is>
          <t>HM851 .B4525 2009</t>
        </is>
      </c>
      <c r="C835" t="inlineStr">
        <is>
          <t>0                      HM 0851000B  4525        2009</t>
        </is>
      </c>
      <c r="D835" t="inlineStr">
        <is>
          <t>Total recall : how the E-memory revolution will change everything / Gordon Bell and Jim Gemmell ; foreword by Bill Gates.</t>
        </is>
      </c>
      <c r="F835" t="inlineStr">
        <is>
          <t>No</t>
        </is>
      </c>
      <c r="G835" t="inlineStr">
        <is>
          <t>1</t>
        </is>
      </c>
      <c r="H835" t="inlineStr">
        <is>
          <t>No</t>
        </is>
      </c>
      <c r="I835" t="inlineStr">
        <is>
          <t>No</t>
        </is>
      </c>
      <c r="J835" t="inlineStr">
        <is>
          <t>0</t>
        </is>
      </c>
      <c r="K835" t="inlineStr">
        <is>
          <t>Bell, C. Gordon.</t>
        </is>
      </c>
      <c r="L835" t="inlineStr">
        <is>
          <t>New York, N.Y. : Dutton, c2009.</t>
        </is>
      </c>
      <c r="M835" t="inlineStr">
        <is>
          <t>2009</t>
        </is>
      </c>
      <c r="O835" t="inlineStr">
        <is>
          <t>eng</t>
        </is>
      </c>
      <c r="P835" t="inlineStr">
        <is>
          <t>nyu</t>
        </is>
      </c>
      <c r="R835" t="inlineStr">
        <is>
          <t xml:space="preserve">HM </t>
        </is>
      </c>
      <c r="S835" t="n">
        <v>1</v>
      </c>
      <c r="T835" t="n">
        <v>1</v>
      </c>
      <c r="U835" t="inlineStr">
        <is>
          <t>2009-12-10</t>
        </is>
      </c>
      <c r="V835" t="inlineStr">
        <is>
          <t>2009-12-10</t>
        </is>
      </c>
      <c r="W835" t="inlineStr">
        <is>
          <t>2009-12-10</t>
        </is>
      </c>
      <c r="X835" t="inlineStr">
        <is>
          <t>2009-12-10</t>
        </is>
      </c>
      <c r="Y835" t="n">
        <v>806</v>
      </c>
      <c r="Z835" t="n">
        <v>699</v>
      </c>
      <c r="AA835" t="n">
        <v>711</v>
      </c>
      <c r="AB835" t="n">
        <v>4</v>
      </c>
      <c r="AC835" t="n">
        <v>4</v>
      </c>
      <c r="AD835" t="n">
        <v>18</v>
      </c>
      <c r="AE835" t="n">
        <v>18</v>
      </c>
      <c r="AF835" t="n">
        <v>8</v>
      </c>
      <c r="AG835" t="n">
        <v>8</v>
      </c>
      <c r="AH835" t="n">
        <v>1</v>
      </c>
      <c r="AI835" t="n">
        <v>1</v>
      </c>
      <c r="AJ835" t="n">
        <v>8</v>
      </c>
      <c r="AK835" t="n">
        <v>8</v>
      </c>
      <c r="AL835" t="n">
        <v>3</v>
      </c>
      <c r="AM835" t="n">
        <v>3</v>
      </c>
      <c r="AN835" t="n">
        <v>1</v>
      </c>
      <c r="AO835" t="n">
        <v>1</v>
      </c>
      <c r="AP835" t="inlineStr">
        <is>
          <t>No</t>
        </is>
      </c>
      <c r="AQ835" t="inlineStr">
        <is>
          <t>No</t>
        </is>
      </c>
      <c r="AS835">
        <f>HYPERLINK("https://creighton-primo.hosted.exlibrisgroup.com/primo-explore/search?tab=default_tab&amp;search_scope=EVERYTHING&amp;vid=01CRU&amp;lang=en_US&amp;offset=0&amp;query=any,contains,991005344859702656","Catalog Record")</f>
        <v/>
      </c>
      <c r="AT835">
        <f>HYPERLINK("http://www.worldcat.org/oclc/317068136","WorldCat Record")</f>
        <v/>
      </c>
      <c r="AU835" t="inlineStr">
        <is>
          <t>865232026:eng</t>
        </is>
      </c>
      <c r="AV835" t="inlineStr">
        <is>
          <t>317068136</t>
        </is>
      </c>
      <c r="AW835" t="inlineStr">
        <is>
          <t>991005344859702656</t>
        </is>
      </c>
      <c r="AX835" t="inlineStr">
        <is>
          <t>991005344859702656</t>
        </is>
      </c>
      <c r="AY835" t="inlineStr">
        <is>
          <t>2258775070002656</t>
        </is>
      </c>
      <c r="AZ835" t="inlineStr">
        <is>
          <t>BOOK</t>
        </is>
      </c>
      <c r="BB835" t="inlineStr">
        <is>
          <t>9780525951346</t>
        </is>
      </c>
      <c r="BC835" t="inlineStr">
        <is>
          <t>32285005554299</t>
        </is>
      </c>
      <c r="BD835" t="inlineStr">
        <is>
          <t>893613547</t>
        </is>
      </c>
    </row>
    <row r="836">
      <c r="A836" t="inlineStr">
        <is>
          <t>No</t>
        </is>
      </c>
      <c r="B836" t="inlineStr">
        <is>
          <t>HM851 .B59 2007</t>
        </is>
      </c>
      <c r="C836" t="inlineStr">
        <is>
          <t>0                      HM 0851000B  59          2007</t>
        </is>
      </c>
      <c r="D836" t="inlineStr">
        <is>
          <t>Blogging, citizenship, and the future of media / edited by Mark Tremayne.</t>
        </is>
      </c>
      <c r="F836" t="inlineStr">
        <is>
          <t>No</t>
        </is>
      </c>
      <c r="G836" t="inlineStr">
        <is>
          <t>1</t>
        </is>
      </c>
      <c r="H836" t="inlineStr">
        <is>
          <t>No</t>
        </is>
      </c>
      <c r="I836" t="inlineStr">
        <is>
          <t>No</t>
        </is>
      </c>
      <c r="J836" t="inlineStr">
        <is>
          <t>0</t>
        </is>
      </c>
      <c r="L836" t="inlineStr">
        <is>
          <t>London ; New York : Routledge, 2007.</t>
        </is>
      </c>
      <c r="M836" t="inlineStr">
        <is>
          <t>2007</t>
        </is>
      </c>
      <c r="O836" t="inlineStr">
        <is>
          <t>eng</t>
        </is>
      </c>
      <c r="P836" t="inlineStr">
        <is>
          <t>enk</t>
        </is>
      </c>
      <c r="R836" t="inlineStr">
        <is>
          <t xml:space="preserve">HM </t>
        </is>
      </c>
      <c r="S836" t="n">
        <v>2</v>
      </c>
      <c r="T836" t="n">
        <v>2</v>
      </c>
      <c r="U836" t="inlineStr">
        <is>
          <t>2007-08-30</t>
        </is>
      </c>
      <c r="V836" t="inlineStr">
        <is>
          <t>2007-08-30</t>
        </is>
      </c>
      <c r="W836" t="inlineStr">
        <is>
          <t>2007-08-30</t>
        </is>
      </c>
      <c r="X836" t="inlineStr">
        <is>
          <t>2007-08-30</t>
        </is>
      </c>
      <c r="Y836" t="n">
        <v>545</v>
      </c>
      <c r="Z836" t="n">
        <v>353</v>
      </c>
      <c r="AA836" t="n">
        <v>955</v>
      </c>
      <c r="AB836" t="n">
        <v>3</v>
      </c>
      <c r="AC836" t="n">
        <v>16</v>
      </c>
      <c r="AD836" t="n">
        <v>20</v>
      </c>
      <c r="AE836" t="n">
        <v>45</v>
      </c>
      <c r="AF836" t="n">
        <v>9</v>
      </c>
      <c r="AG836" t="n">
        <v>15</v>
      </c>
      <c r="AH836" t="n">
        <v>5</v>
      </c>
      <c r="AI836" t="n">
        <v>9</v>
      </c>
      <c r="AJ836" t="n">
        <v>7</v>
      </c>
      <c r="AK836" t="n">
        <v>13</v>
      </c>
      <c r="AL836" t="n">
        <v>2</v>
      </c>
      <c r="AM836" t="n">
        <v>13</v>
      </c>
      <c r="AN836" t="n">
        <v>1</v>
      </c>
      <c r="AO836" t="n">
        <v>2</v>
      </c>
      <c r="AP836" t="inlineStr">
        <is>
          <t>No</t>
        </is>
      </c>
      <c r="AQ836" t="inlineStr">
        <is>
          <t>No</t>
        </is>
      </c>
      <c r="AS836">
        <f>HYPERLINK("https://creighton-primo.hosted.exlibrisgroup.com/primo-explore/search?tab=default_tab&amp;search_scope=EVERYTHING&amp;vid=01CRU&amp;lang=en_US&amp;offset=0&amp;query=any,contains,991005102019702656","Catalog Record")</f>
        <v/>
      </c>
      <c r="AT836">
        <f>HYPERLINK("http://www.worldcat.org/oclc/503044514","WorldCat Record")</f>
        <v/>
      </c>
      <c r="AU836" t="inlineStr">
        <is>
          <t>892993299:eng</t>
        </is>
      </c>
      <c r="AV836" t="inlineStr">
        <is>
          <t>503044514</t>
        </is>
      </c>
      <c r="AW836" t="inlineStr">
        <is>
          <t>991005102019702656</t>
        </is>
      </c>
      <c r="AX836" t="inlineStr">
        <is>
          <t>991005102019702656</t>
        </is>
      </c>
      <c r="AY836" t="inlineStr">
        <is>
          <t>2260081210002656</t>
        </is>
      </c>
      <c r="AZ836" t="inlineStr">
        <is>
          <t>BOOK</t>
        </is>
      </c>
      <c r="BB836" t="inlineStr">
        <is>
          <t>9780415979399</t>
        </is>
      </c>
      <c r="BC836" t="inlineStr">
        <is>
          <t>32285005323497</t>
        </is>
      </c>
      <c r="BD836" t="inlineStr">
        <is>
          <t>893701027</t>
        </is>
      </c>
    </row>
    <row r="837">
      <c r="A837" t="inlineStr">
        <is>
          <t>No</t>
        </is>
      </c>
      <c r="B837" t="inlineStr">
        <is>
          <t>HM851 .C676 2002</t>
        </is>
      </c>
      <c r="C837" t="inlineStr">
        <is>
          <t>0                      HM 0851000C  676         2002</t>
        </is>
      </c>
      <c r="D837" t="inlineStr">
        <is>
          <t>Making the information society : experience, consequences, and possibilities / by James W. Cortada.</t>
        </is>
      </c>
      <c r="F837" t="inlineStr">
        <is>
          <t>No</t>
        </is>
      </c>
      <c r="G837" t="inlineStr">
        <is>
          <t>1</t>
        </is>
      </c>
      <c r="H837" t="inlineStr">
        <is>
          <t>No</t>
        </is>
      </c>
      <c r="I837" t="inlineStr">
        <is>
          <t>No</t>
        </is>
      </c>
      <c r="J837" t="inlineStr">
        <is>
          <t>0</t>
        </is>
      </c>
      <c r="K837" t="inlineStr">
        <is>
          <t>Cortada, James W.</t>
        </is>
      </c>
      <c r="L837" t="inlineStr">
        <is>
          <t>Upper Saddle River, NJ : Financial Times/Prentice Hall, 2002.</t>
        </is>
      </c>
      <c r="M837" t="inlineStr">
        <is>
          <t>2002</t>
        </is>
      </c>
      <c r="O837" t="inlineStr">
        <is>
          <t>eng</t>
        </is>
      </c>
      <c r="P837" t="inlineStr">
        <is>
          <t>nju</t>
        </is>
      </c>
      <c r="R837" t="inlineStr">
        <is>
          <t xml:space="preserve">HM </t>
        </is>
      </c>
      <c r="S837" t="n">
        <v>5</v>
      </c>
      <c r="T837" t="n">
        <v>5</v>
      </c>
      <c r="U837" t="inlineStr">
        <is>
          <t>2008-11-24</t>
        </is>
      </c>
      <c r="V837" t="inlineStr">
        <is>
          <t>2008-11-24</t>
        </is>
      </c>
      <c r="W837" t="inlineStr">
        <is>
          <t>2002-03-04</t>
        </is>
      </c>
      <c r="X837" t="inlineStr">
        <is>
          <t>2002-03-04</t>
        </is>
      </c>
      <c r="Y837" t="n">
        <v>175</v>
      </c>
      <c r="Z837" t="n">
        <v>137</v>
      </c>
      <c r="AA837" t="n">
        <v>555</v>
      </c>
      <c r="AB837" t="n">
        <v>2</v>
      </c>
      <c r="AC837" t="n">
        <v>3</v>
      </c>
      <c r="AD837" t="n">
        <v>5</v>
      </c>
      <c r="AE837" t="n">
        <v>16</v>
      </c>
      <c r="AF837" t="n">
        <v>0</v>
      </c>
      <c r="AG837" t="n">
        <v>2</v>
      </c>
      <c r="AH837" t="n">
        <v>2</v>
      </c>
      <c r="AI837" t="n">
        <v>5</v>
      </c>
      <c r="AJ837" t="n">
        <v>3</v>
      </c>
      <c r="AK837" t="n">
        <v>9</v>
      </c>
      <c r="AL837" t="n">
        <v>1</v>
      </c>
      <c r="AM837" t="n">
        <v>2</v>
      </c>
      <c r="AN837" t="n">
        <v>0</v>
      </c>
      <c r="AO837" t="n">
        <v>0</v>
      </c>
      <c r="AP837" t="inlineStr">
        <is>
          <t>No</t>
        </is>
      </c>
      <c r="AQ837" t="inlineStr">
        <is>
          <t>Yes</t>
        </is>
      </c>
      <c r="AR837">
        <f>HYPERLINK("http://catalog.hathitrust.org/Record/004207384","HathiTrust Record")</f>
        <v/>
      </c>
      <c r="AS837">
        <f>HYPERLINK("https://creighton-primo.hosted.exlibrisgroup.com/primo-explore/search?tab=default_tab&amp;search_scope=EVERYTHING&amp;vid=01CRU&amp;lang=en_US&amp;offset=0&amp;query=any,contains,991003711849702656","Catalog Record")</f>
        <v/>
      </c>
      <c r="AT837">
        <f>HYPERLINK("http://www.worldcat.org/oclc/47297604","WorldCat Record")</f>
        <v/>
      </c>
      <c r="AU837" t="inlineStr">
        <is>
          <t>800656220:eng</t>
        </is>
      </c>
      <c r="AV837" t="inlineStr">
        <is>
          <t>47297604</t>
        </is>
      </c>
      <c r="AW837" t="inlineStr">
        <is>
          <t>991003711849702656</t>
        </is>
      </c>
      <c r="AX837" t="inlineStr">
        <is>
          <t>991003711849702656</t>
        </is>
      </c>
      <c r="AY837" t="inlineStr">
        <is>
          <t>2268263150002656</t>
        </is>
      </c>
      <c r="AZ837" t="inlineStr">
        <is>
          <t>BOOK</t>
        </is>
      </c>
      <c r="BB837" t="inlineStr">
        <is>
          <t>9780130659064</t>
        </is>
      </c>
      <c r="BC837" t="inlineStr">
        <is>
          <t>32285004459037</t>
        </is>
      </c>
      <c r="BD837" t="inlineStr">
        <is>
          <t>893505903</t>
        </is>
      </c>
    </row>
    <row r="838">
      <c r="A838" t="inlineStr">
        <is>
          <t>No</t>
        </is>
      </c>
      <c r="B838" t="inlineStr">
        <is>
          <t>HM851 .F55 2006</t>
        </is>
      </c>
      <c r="C838" t="inlineStr">
        <is>
          <t>0                      HM 0851000F  55          2006</t>
        </is>
      </c>
      <c r="D838" t="inlineStr">
        <is>
          <t>Momentum : igniting social change in the connected age / Allison H. Fine ; foreword by Joan Blades.</t>
        </is>
      </c>
      <c r="F838" t="inlineStr">
        <is>
          <t>No</t>
        </is>
      </c>
      <c r="G838" t="inlineStr">
        <is>
          <t>1</t>
        </is>
      </c>
      <c r="H838" t="inlineStr">
        <is>
          <t>No</t>
        </is>
      </c>
      <c r="I838" t="inlineStr">
        <is>
          <t>No</t>
        </is>
      </c>
      <c r="J838" t="inlineStr">
        <is>
          <t>0</t>
        </is>
      </c>
      <c r="K838" t="inlineStr">
        <is>
          <t>Fine, Allison H., 1964-</t>
        </is>
      </c>
      <c r="L838" t="inlineStr">
        <is>
          <t>San Francisco : Jossey-Bass, c2006.</t>
        </is>
      </c>
      <c r="M838" t="inlineStr">
        <is>
          <t>2006</t>
        </is>
      </c>
      <c r="N838" t="inlineStr">
        <is>
          <t>1st ed.</t>
        </is>
      </c>
      <c r="O838" t="inlineStr">
        <is>
          <t>eng</t>
        </is>
      </c>
      <c r="P838" t="inlineStr">
        <is>
          <t>cau</t>
        </is>
      </c>
      <c r="R838" t="inlineStr">
        <is>
          <t xml:space="preserve">HM </t>
        </is>
      </c>
      <c r="S838" t="n">
        <v>1</v>
      </c>
      <c r="T838" t="n">
        <v>1</v>
      </c>
      <c r="U838" t="inlineStr">
        <is>
          <t>2006-12-14</t>
        </is>
      </c>
      <c r="V838" t="inlineStr">
        <is>
          <t>2006-12-14</t>
        </is>
      </c>
      <c r="W838" t="inlineStr">
        <is>
          <t>2006-12-14</t>
        </is>
      </c>
      <c r="X838" t="inlineStr">
        <is>
          <t>2006-12-14</t>
        </is>
      </c>
      <c r="Y838" t="n">
        <v>385</v>
      </c>
      <c r="Z838" t="n">
        <v>327</v>
      </c>
      <c r="AA838" t="n">
        <v>367</v>
      </c>
      <c r="AB838" t="n">
        <v>4</v>
      </c>
      <c r="AC838" t="n">
        <v>4</v>
      </c>
      <c r="AD838" t="n">
        <v>17</v>
      </c>
      <c r="AE838" t="n">
        <v>19</v>
      </c>
      <c r="AF838" t="n">
        <v>5</v>
      </c>
      <c r="AG838" t="n">
        <v>7</v>
      </c>
      <c r="AH838" t="n">
        <v>2</v>
      </c>
      <c r="AI838" t="n">
        <v>3</v>
      </c>
      <c r="AJ838" t="n">
        <v>11</v>
      </c>
      <c r="AK838" t="n">
        <v>11</v>
      </c>
      <c r="AL838" t="n">
        <v>3</v>
      </c>
      <c r="AM838" t="n">
        <v>3</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HYPERLINK("https://creighton-primo.hosted.exlibrisgroup.com/primo-explore/search?tab=default_tab&amp;search_scope=EVERYTHING&amp;vid=01CRU&amp;lang=en_US&amp;offset=0&amp;query=any,contains,991004985729702656","Catalog Record")</f>
        <v/>
      </c>
      <c r="AT838">
        <f>HYPERLINK("http://www.worldcat.org/oclc/70718268","WorldCat Record")</f>
        <v/>
      </c>
      <c r="AU838" t="inlineStr">
        <is>
          <t>198900283:eng</t>
        </is>
      </c>
      <c r="AV838" t="inlineStr">
        <is>
          <t>70718268</t>
        </is>
      </c>
      <c r="AW838" t="inlineStr">
        <is>
          <t>991004985729702656</t>
        </is>
      </c>
      <c r="AX838" t="inlineStr">
        <is>
          <t>991004985729702656</t>
        </is>
      </c>
      <c r="AY838" t="inlineStr">
        <is>
          <t>2255976620002656</t>
        </is>
      </c>
      <c r="AZ838" t="inlineStr">
        <is>
          <t>BOOK</t>
        </is>
      </c>
      <c r="BB838" t="inlineStr">
        <is>
          <t>9780787984441</t>
        </is>
      </c>
      <c r="BC838" t="inlineStr">
        <is>
          <t>32285005266753</t>
        </is>
      </c>
      <c r="BD838" t="inlineStr">
        <is>
          <t>893801561</t>
        </is>
      </c>
    </row>
    <row r="839">
      <c r="A839" t="inlineStr">
        <is>
          <t>No</t>
        </is>
      </c>
      <c r="B839" t="inlineStr">
        <is>
          <t>HM851 .H345 2008</t>
        </is>
      </c>
      <c r="C839" t="inlineStr">
        <is>
          <t>0                      HM 0851000H  345         2008</t>
        </is>
      </c>
      <c r="D839" t="inlineStr">
        <is>
          <t>Navigating technomedia : caught in the Web / Sam Han.</t>
        </is>
      </c>
      <c r="F839" t="inlineStr">
        <is>
          <t>No</t>
        </is>
      </c>
      <c r="G839" t="inlineStr">
        <is>
          <t>1</t>
        </is>
      </c>
      <c r="H839" t="inlineStr">
        <is>
          <t>No</t>
        </is>
      </c>
      <c r="I839" t="inlineStr">
        <is>
          <t>No</t>
        </is>
      </c>
      <c r="J839" t="inlineStr">
        <is>
          <t>0</t>
        </is>
      </c>
      <c r="K839" t="inlineStr">
        <is>
          <t>Han, Sam, 1984-</t>
        </is>
      </c>
      <c r="L839" t="inlineStr">
        <is>
          <t>Lanham, Md. : Rowman &amp; Littlefield Publishers, c2008.</t>
        </is>
      </c>
      <c r="M839" t="inlineStr">
        <is>
          <t>2008</t>
        </is>
      </c>
      <c r="O839" t="inlineStr">
        <is>
          <t>eng</t>
        </is>
      </c>
      <c r="P839" t="inlineStr">
        <is>
          <t>mdu</t>
        </is>
      </c>
      <c r="Q839" t="inlineStr">
        <is>
          <t>New social formations</t>
        </is>
      </c>
      <c r="R839" t="inlineStr">
        <is>
          <t xml:space="preserve">HM </t>
        </is>
      </c>
      <c r="S839" t="n">
        <v>1</v>
      </c>
      <c r="T839" t="n">
        <v>1</v>
      </c>
      <c r="U839" t="inlineStr">
        <is>
          <t>2009-01-20</t>
        </is>
      </c>
      <c r="V839" t="inlineStr">
        <is>
          <t>2009-01-20</t>
        </is>
      </c>
      <c r="W839" t="inlineStr">
        <is>
          <t>2009-01-20</t>
        </is>
      </c>
      <c r="X839" t="inlineStr">
        <is>
          <t>2009-01-20</t>
        </is>
      </c>
      <c r="Y839" t="n">
        <v>303</v>
      </c>
      <c r="Z839" t="n">
        <v>256</v>
      </c>
      <c r="AA839" t="n">
        <v>273</v>
      </c>
      <c r="AB839" t="n">
        <v>2</v>
      </c>
      <c r="AC839" t="n">
        <v>2</v>
      </c>
      <c r="AD839" t="n">
        <v>16</v>
      </c>
      <c r="AE839" t="n">
        <v>17</v>
      </c>
      <c r="AF839" t="n">
        <v>7</v>
      </c>
      <c r="AG839" t="n">
        <v>8</v>
      </c>
      <c r="AH839" t="n">
        <v>3</v>
      </c>
      <c r="AI839" t="n">
        <v>4</v>
      </c>
      <c r="AJ839" t="n">
        <v>8</v>
      </c>
      <c r="AK839" t="n">
        <v>8</v>
      </c>
      <c r="AL839" t="n">
        <v>1</v>
      </c>
      <c r="AM839" t="n">
        <v>1</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HYPERLINK("https://creighton-primo.hosted.exlibrisgroup.com/primo-explore/search?tab=default_tab&amp;search_scope=EVERYTHING&amp;vid=01CRU&amp;lang=en_US&amp;offset=0&amp;query=any,contains,991005288919702656","Catalog Record")</f>
        <v/>
      </c>
      <c r="AT839">
        <f>HYPERLINK("http://www.worldcat.org/oclc/156845790","WorldCat Record")</f>
        <v/>
      </c>
      <c r="AU839" t="inlineStr">
        <is>
          <t>313972809:eng</t>
        </is>
      </c>
      <c r="AV839" t="inlineStr">
        <is>
          <t>156845790</t>
        </is>
      </c>
      <c r="AW839" t="inlineStr">
        <is>
          <t>991005288919702656</t>
        </is>
      </c>
      <c r="AX839" t="inlineStr">
        <is>
          <t>991005288919702656</t>
        </is>
      </c>
      <c r="AY839" t="inlineStr">
        <is>
          <t>2265164560002656</t>
        </is>
      </c>
      <c r="AZ839" t="inlineStr">
        <is>
          <t>BOOK</t>
        </is>
      </c>
      <c r="BB839" t="inlineStr">
        <is>
          <t>9780742560239</t>
        </is>
      </c>
      <c r="BC839" t="inlineStr">
        <is>
          <t>32285005479752</t>
        </is>
      </c>
      <c r="BD839" t="inlineStr">
        <is>
          <t>893514392</t>
        </is>
      </c>
    </row>
    <row r="840">
      <c r="A840" t="inlineStr">
        <is>
          <t>No</t>
        </is>
      </c>
      <c r="B840" t="inlineStr">
        <is>
          <t>HM851 .I5455 2007</t>
        </is>
      </c>
      <c r="C840" t="inlineStr">
        <is>
          <t>0                      HM 0851000I  5455        2007</t>
        </is>
      </c>
      <c r="D840" t="inlineStr">
        <is>
          <t>Information technology and social justice / Emma Rooksby, John Weckert [editors].</t>
        </is>
      </c>
      <c r="F840" t="inlineStr">
        <is>
          <t>No</t>
        </is>
      </c>
      <c r="G840" t="inlineStr">
        <is>
          <t>1</t>
        </is>
      </c>
      <c r="H840" t="inlineStr">
        <is>
          <t>No</t>
        </is>
      </c>
      <c r="I840" t="inlineStr">
        <is>
          <t>No</t>
        </is>
      </c>
      <c r="J840" t="inlineStr">
        <is>
          <t>0</t>
        </is>
      </c>
      <c r="L840" t="inlineStr">
        <is>
          <t>Hershey, PA : Information Science Pub., c2007.</t>
        </is>
      </c>
      <c r="M840" t="inlineStr">
        <is>
          <t>2007</t>
        </is>
      </c>
      <c r="O840" t="inlineStr">
        <is>
          <t>eng</t>
        </is>
      </c>
      <c r="P840" t="inlineStr">
        <is>
          <t>pau</t>
        </is>
      </c>
      <c r="R840" t="inlineStr">
        <is>
          <t xml:space="preserve">HM </t>
        </is>
      </c>
      <c r="S840" t="n">
        <v>1</v>
      </c>
      <c r="T840" t="n">
        <v>1</v>
      </c>
      <c r="U840" t="inlineStr">
        <is>
          <t>2007-08-15</t>
        </is>
      </c>
      <c r="V840" t="inlineStr">
        <is>
          <t>2007-08-15</t>
        </is>
      </c>
      <c r="W840" t="inlineStr">
        <is>
          <t>2006-12-18</t>
        </is>
      </c>
      <c r="X840" t="inlineStr">
        <is>
          <t>2006-12-18</t>
        </is>
      </c>
      <c r="Y840" t="n">
        <v>211</v>
      </c>
      <c r="Z840" t="n">
        <v>144</v>
      </c>
      <c r="AA840" t="n">
        <v>425</v>
      </c>
      <c r="AB840" t="n">
        <v>2</v>
      </c>
      <c r="AC840" t="n">
        <v>11</v>
      </c>
      <c r="AD840" t="n">
        <v>10</v>
      </c>
      <c r="AE840" t="n">
        <v>21</v>
      </c>
      <c r="AF840" t="n">
        <v>4</v>
      </c>
      <c r="AG840" t="n">
        <v>7</v>
      </c>
      <c r="AH840" t="n">
        <v>2</v>
      </c>
      <c r="AI840" t="n">
        <v>2</v>
      </c>
      <c r="AJ840" t="n">
        <v>7</v>
      </c>
      <c r="AK840" t="n">
        <v>9</v>
      </c>
      <c r="AL840" t="n">
        <v>1</v>
      </c>
      <c r="AM840" t="n">
        <v>8</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HYPERLINK("https://creighton-primo.hosted.exlibrisgroup.com/primo-explore/search?tab=default_tab&amp;search_scope=EVERYTHING&amp;vid=01CRU&amp;lang=en_US&amp;offset=0&amp;query=any,contains,991004985759702656","Catalog Record")</f>
        <v/>
      </c>
      <c r="AT840">
        <f>HYPERLINK("http://www.worldcat.org/oclc/71329783","WorldCat Record")</f>
        <v/>
      </c>
      <c r="AU840" t="inlineStr">
        <is>
          <t>866257168:eng</t>
        </is>
      </c>
      <c r="AV840" t="inlineStr">
        <is>
          <t>71329783</t>
        </is>
      </c>
      <c r="AW840" t="inlineStr">
        <is>
          <t>991004985759702656</t>
        </is>
      </c>
      <c r="AX840" t="inlineStr">
        <is>
          <t>991004985759702656</t>
        </is>
      </c>
      <c r="AY840" t="inlineStr">
        <is>
          <t>2266783050002656</t>
        </is>
      </c>
      <c r="AZ840" t="inlineStr">
        <is>
          <t>BOOK</t>
        </is>
      </c>
      <c r="BB840" t="inlineStr">
        <is>
          <t>9781591409687</t>
        </is>
      </c>
      <c r="BC840" t="inlineStr">
        <is>
          <t>32285005266944</t>
        </is>
      </c>
      <c r="BD840" t="inlineStr">
        <is>
          <t>893338344</t>
        </is>
      </c>
    </row>
    <row r="841">
      <c r="A841" t="inlineStr">
        <is>
          <t>No</t>
        </is>
      </c>
      <c r="B841" t="inlineStr">
        <is>
          <t>HM851 .L689 2008</t>
        </is>
      </c>
      <c r="C841" t="inlineStr">
        <is>
          <t>0                      HM 0851000L  689         2008</t>
        </is>
      </c>
      <c r="D841" t="inlineStr">
        <is>
          <t>Zero comments : blogging and critical Internet culture / Geert Lovink.</t>
        </is>
      </c>
      <c r="F841" t="inlineStr">
        <is>
          <t>No</t>
        </is>
      </c>
      <c r="G841" t="inlineStr">
        <is>
          <t>1</t>
        </is>
      </c>
      <c r="H841" t="inlineStr">
        <is>
          <t>No</t>
        </is>
      </c>
      <c r="I841" t="inlineStr">
        <is>
          <t>No</t>
        </is>
      </c>
      <c r="J841" t="inlineStr">
        <is>
          <t>0</t>
        </is>
      </c>
      <c r="K841" t="inlineStr">
        <is>
          <t>Lovink, Geert.</t>
        </is>
      </c>
      <c r="L841" t="inlineStr">
        <is>
          <t>New York : Routledge, c2008.</t>
        </is>
      </c>
      <c r="M841" t="inlineStr">
        <is>
          <t>2008</t>
        </is>
      </c>
      <c r="O841" t="inlineStr">
        <is>
          <t>eng</t>
        </is>
      </c>
      <c r="P841" t="inlineStr">
        <is>
          <t>nyu</t>
        </is>
      </c>
      <c r="R841" t="inlineStr">
        <is>
          <t xml:space="preserve">HM </t>
        </is>
      </c>
      <c r="S841" t="n">
        <v>1</v>
      </c>
      <c r="T841" t="n">
        <v>1</v>
      </c>
      <c r="U841" t="inlineStr">
        <is>
          <t>2008-09-18</t>
        </is>
      </c>
      <c r="V841" t="inlineStr">
        <is>
          <t>2008-09-18</t>
        </is>
      </c>
      <c r="W841" t="inlineStr">
        <is>
          <t>2008-09-18</t>
        </is>
      </c>
      <c r="X841" t="inlineStr">
        <is>
          <t>2008-09-18</t>
        </is>
      </c>
      <c r="Y841" t="n">
        <v>562</v>
      </c>
      <c r="Z841" t="n">
        <v>406</v>
      </c>
      <c r="AA841" t="n">
        <v>431</v>
      </c>
      <c r="AB841" t="n">
        <v>3</v>
      </c>
      <c r="AC841" t="n">
        <v>3</v>
      </c>
      <c r="AD841" t="n">
        <v>22</v>
      </c>
      <c r="AE841" t="n">
        <v>23</v>
      </c>
      <c r="AF841" t="n">
        <v>13</v>
      </c>
      <c r="AG841" t="n">
        <v>14</v>
      </c>
      <c r="AH841" t="n">
        <v>2</v>
      </c>
      <c r="AI841" t="n">
        <v>3</v>
      </c>
      <c r="AJ841" t="n">
        <v>10</v>
      </c>
      <c r="AK841" t="n">
        <v>10</v>
      </c>
      <c r="AL841" t="n">
        <v>2</v>
      </c>
      <c r="AM841" t="n">
        <v>2</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HYPERLINK("https://creighton-primo.hosted.exlibrisgroup.com/primo-explore/search?tab=default_tab&amp;search_scope=EVERYTHING&amp;vid=01CRU&amp;lang=en_US&amp;offset=0&amp;query=any,contains,991005263499702656","Catalog Record")</f>
        <v/>
      </c>
      <c r="AT841">
        <f>HYPERLINK("http://www.worldcat.org/oclc/85443893","WorldCat Record")</f>
        <v/>
      </c>
      <c r="AU841" t="inlineStr">
        <is>
          <t>328215916:eng</t>
        </is>
      </c>
      <c r="AV841" t="inlineStr">
        <is>
          <t>85443893</t>
        </is>
      </c>
      <c r="AW841" t="inlineStr">
        <is>
          <t>991005263499702656</t>
        </is>
      </c>
      <c r="AX841" t="inlineStr">
        <is>
          <t>991005263499702656</t>
        </is>
      </c>
      <c r="AY841" t="inlineStr">
        <is>
          <t>2269996640002656</t>
        </is>
      </c>
      <c r="AZ841" t="inlineStr">
        <is>
          <t>BOOK</t>
        </is>
      </c>
      <c r="BB841" t="inlineStr">
        <is>
          <t>9780415973151</t>
        </is>
      </c>
      <c r="BC841" t="inlineStr">
        <is>
          <t>32285005458806</t>
        </is>
      </c>
      <c r="BD841" t="inlineStr">
        <is>
          <t>893707548</t>
        </is>
      </c>
    </row>
    <row r="842">
      <c r="A842" t="inlineStr">
        <is>
          <t>No</t>
        </is>
      </c>
      <c r="B842" t="inlineStr">
        <is>
          <t>HM851 .O547 2008</t>
        </is>
      </c>
      <c r="C842" t="inlineStr">
        <is>
          <t>0                      HM 0851000O  547         2008</t>
        </is>
      </c>
      <c r="D842" t="inlineStr">
        <is>
          <t>Managing online forums : everything you need to know to create and run successful community discussion boards / Patrick O'Keefe.</t>
        </is>
      </c>
      <c r="F842" t="inlineStr">
        <is>
          <t>No</t>
        </is>
      </c>
      <c r="G842" t="inlineStr">
        <is>
          <t>1</t>
        </is>
      </c>
      <c r="H842" t="inlineStr">
        <is>
          <t>No</t>
        </is>
      </c>
      <c r="I842" t="inlineStr">
        <is>
          <t>No</t>
        </is>
      </c>
      <c r="J842" t="inlineStr">
        <is>
          <t>0</t>
        </is>
      </c>
      <c r="K842" t="inlineStr">
        <is>
          <t>O'Keefe, Patrick, 1984-</t>
        </is>
      </c>
      <c r="L842" t="inlineStr">
        <is>
          <t>New York : AMACOM, 2008.</t>
        </is>
      </c>
      <c r="M842" t="inlineStr">
        <is>
          <t>2008</t>
        </is>
      </c>
      <c r="O842" t="inlineStr">
        <is>
          <t>eng</t>
        </is>
      </c>
      <c r="P842" t="inlineStr">
        <is>
          <t>nyu</t>
        </is>
      </c>
      <c r="R842" t="inlineStr">
        <is>
          <t xml:space="preserve">HM </t>
        </is>
      </c>
      <c r="S842" t="n">
        <v>1</v>
      </c>
      <c r="T842" t="n">
        <v>1</v>
      </c>
      <c r="U842" t="inlineStr">
        <is>
          <t>2008-10-07</t>
        </is>
      </c>
      <c r="V842" t="inlineStr">
        <is>
          <t>2008-10-07</t>
        </is>
      </c>
      <c r="W842" t="inlineStr">
        <is>
          <t>2008-04-14</t>
        </is>
      </c>
      <c r="X842" t="inlineStr">
        <is>
          <t>2008-04-14</t>
        </is>
      </c>
      <c r="Y842" t="n">
        <v>185</v>
      </c>
      <c r="Z842" t="n">
        <v>131</v>
      </c>
      <c r="AA842" t="n">
        <v>1182</v>
      </c>
      <c r="AB842" t="n">
        <v>4</v>
      </c>
      <c r="AC842" t="n">
        <v>26</v>
      </c>
      <c r="AD842" t="n">
        <v>5</v>
      </c>
      <c r="AE842" t="n">
        <v>38</v>
      </c>
      <c r="AF842" t="n">
        <v>0</v>
      </c>
      <c r="AG842" t="n">
        <v>9</v>
      </c>
      <c r="AH842" t="n">
        <v>1</v>
      </c>
      <c r="AI842" t="n">
        <v>8</v>
      </c>
      <c r="AJ842" t="n">
        <v>2</v>
      </c>
      <c r="AK842" t="n">
        <v>11</v>
      </c>
      <c r="AL842" t="n">
        <v>2</v>
      </c>
      <c r="AM842" t="n">
        <v>13</v>
      </c>
      <c r="AN842" t="n">
        <v>0</v>
      </c>
      <c r="AO842" t="n">
        <v>1</v>
      </c>
      <c r="AP842" t="inlineStr">
        <is>
          <t>No</t>
        </is>
      </c>
      <c r="AQ842" t="inlineStr">
        <is>
          <t>No</t>
        </is>
      </c>
      <c r="AS842">
        <f>HYPERLINK("https://creighton-primo.hosted.exlibrisgroup.com/primo-explore/search?tab=default_tab&amp;search_scope=EVERYTHING&amp;vid=01CRU&amp;lang=en_US&amp;offset=0&amp;query=any,contains,991005205539702656","Catalog Record")</f>
        <v/>
      </c>
      <c r="AT842">
        <f>HYPERLINK("http://www.worldcat.org/oclc/183265115","WorldCat Record")</f>
        <v/>
      </c>
      <c r="AU842" t="inlineStr">
        <is>
          <t>802202095:eng</t>
        </is>
      </c>
      <c r="AV842" t="inlineStr">
        <is>
          <t>183265115</t>
        </is>
      </c>
      <c r="AW842" t="inlineStr">
        <is>
          <t>991005205539702656</t>
        </is>
      </c>
      <c r="AX842" t="inlineStr">
        <is>
          <t>991005205539702656</t>
        </is>
      </c>
      <c r="AY842" t="inlineStr">
        <is>
          <t>2270235030002656</t>
        </is>
      </c>
      <c r="AZ842" t="inlineStr">
        <is>
          <t>BOOK</t>
        </is>
      </c>
      <c r="BB842" t="inlineStr">
        <is>
          <t>9780814401972</t>
        </is>
      </c>
      <c r="BC842" t="inlineStr">
        <is>
          <t>32285005402390</t>
        </is>
      </c>
      <c r="BD842" t="inlineStr">
        <is>
          <t>893230368</t>
        </is>
      </c>
    </row>
    <row r="843">
      <c r="A843" t="inlineStr">
        <is>
          <t>No</t>
        </is>
      </c>
      <c r="B843" t="inlineStr">
        <is>
          <t>HM851 .O98 2007</t>
        </is>
      </c>
      <c r="C843" t="inlineStr">
        <is>
          <t>0                      HM 0851000O  98          2007</t>
        </is>
      </c>
      <c r="D843" t="inlineStr">
        <is>
          <t>The Oxford handbook of information and communication technologies / edited by Robin Mansell ... [et al.].</t>
        </is>
      </c>
      <c r="F843" t="inlineStr">
        <is>
          <t>No</t>
        </is>
      </c>
      <c r="G843" t="inlineStr">
        <is>
          <t>1</t>
        </is>
      </c>
      <c r="H843" t="inlineStr">
        <is>
          <t>No</t>
        </is>
      </c>
      <c r="I843" t="inlineStr">
        <is>
          <t>No</t>
        </is>
      </c>
      <c r="J843" t="inlineStr">
        <is>
          <t>0</t>
        </is>
      </c>
      <c r="L843" t="inlineStr">
        <is>
          <t>Oxford ; New York : Oxford University Press, 2007.</t>
        </is>
      </c>
      <c r="M843" t="inlineStr">
        <is>
          <t>2007</t>
        </is>
      </c>
      <c r="O843" t="inlineStr">
        <is>
          <t>eng</t>
        </is>
      </c>
      <c r="P843" t="inlineStr">
        <is>
          <t>enk</t>
        </is>
      </c>
      <c r="Q843" t="inlineStr">
        <is>
          <t>Oxford handbooks series</t>
        </is>
      </c>
      <c r="R843" t="inlineStr">
        <is>
          <t xml:space="preserve">HM </t>
        </is>
      </c>
      <c r="S843" t="n">
        <v>1</v>
      </c>
      <c r="T843" t="n">
        <v>1</v>
      </c>
      <c r="U843" t="inlineStr">
        <is>
          <t>2010-10-05</t>
        </is>
      </c>
      <c r="V843" t="inlineStr">
        <is>
          <t>2010-10-05</t>
        </is>
      </c>
      <c r="W843" t="inlineStr">
        <is>
          <t>2010-10-05</t>
        </is>
      </c>
      <c r="X843" t="inlineStr">
        <is>
          <t>2010-10-05</t>
        </is>
      </c>
      <c r="Y843" t="n">
        <v>280</v>
      </c>
      <c r="Z843" t="n">
        <v>144</v>
      </c>
      <c r="AA843" t="n">
        <v>191</v>
      </c>
      <c r="AB843" t="n">
        <v>1</v>
      </c>
      <c r="AC843" t="n">
        <v>2</v>
      </c>
      <c r="AD843" t="n">
        <v>3</v>
      </c>
      <c r="AE843" t="n">
        <v>6</v>
      </c>
      <c r="AF843" t="n">
        <v>1</v>
      </c>
      <c r="AG843" t="n">
        <v>2</v>
      </c>
      <c r="AH843" t="n">
        <v>0</v>
      </c>
      <c r="AI843" t="n">
        <v>1</v>
      </c>
      <c r="AJ843" t="n">
        <v>3</v>
      </c>
      <c r="AK843" t="n">
        <v>3</v>
      </c>
      <c r="AL843" t="n">
        <v>0</v>
      </c>
      <c r="AM843" t="n">
        <v>1</v>
      </c>
      <c r="AN843" t="n">
        <v>0</v>
      </c>
      <c r="AO843" t="n">
        <v>0</v>
      </c>
      <c r="AP843" t="inlineStr">
        <is>
          <t>No</t>
        </is>
      </c>
      <c r="AQ843" t="inlineStr">
        <is>
          <t>Yes</t>
        </is>
      </c>
      <c r="AR843">
        <f>HYPERLINK("http://catalog.hathitrust.org/Record/005952988","HathiTrust Record")</f>
        <v/>
      </c>
      <c r="AS843">
        <f>HYPERLINK("https://creighton-primo.hosted.exlibrisgroup.com/primo-explore/search?tab=default_tab&amp;search_scope=EVERYTHING&amp;vid=01CRU&amp;lang=en_US&amp;offset=0&amp;query=any,contains,991000153619702656","Catalog Record")</f>
        <v/>
      </c>
      <c r="AT843">
        <f>HYPERLINK("http://www.worldcat.org/oclc/72161827","WorldCat Record")</f>
        <v/>
      </c>
      <c r="AU843" t="inlineStr">
        <is>
          <t>685228915:eng</t>
        </is>
      </c>
      <c r="AV843" t="inlineStr">
        <is>
          <t>72161827</t>
        </is>
      </c>
      <c r="AW843" t="inlineStr">
        <is>
          <t>991000153619702656</t>
        </is>
      </c>
      <c r="AX843" t="inlineStr">
        <is>
          <t>991000153619702656</t>
        </is>
      </c>
      <c r="AY843" t="inlineStr">
        <is>
          <t>2258002990002656</t>
        </is>
      </c>
      <c r="AZ843" t="inlineStr">
        <is>
          <t>BOOK</t>
        </is>
      </c>
      <c r="BB843" t="inlineStr">
        <is>
          <t>9780199266234</t>
        </is>
      </c>
      <c r="BC843" t="inlineStr">
        <is>
          <t>32285005598205</t>
        </is>
      </c>
      <c r="BD843" t="inlineStr">
        <is>
          <t>893515055</t>
        </is>
      </c>
    </row>
    <row r="844">
      <c r="A844" t="inlineStr">
        <is>
          <t>No</t>
        </is>
      </c>
      <c r="B844" t="inlineStr">
        <is>
          <t>HM851 .R475 2008</t>
        </is>
      </c>
      <c r="C844" t="inlineStr">
        <is>
          <t>0                      HM 0851000R  475         2008</t>
        </is>
      </c>
      <c r="D844" t="inlineStr">
        <is>
          <t>Blogging / Jill Walker Rettberg.</t>
        </is>
      </c>
      <c r="F844" t="inlineStr">
        <is>
          <t>No</t>
        </is>
      </c>
      <c r="G844" t="inlineStr">
        <is>
          <t>1</t>
        </is>
      </c>
      <c r="H844" t="inlineStr">
        <is>
          <t>No</t>
        </is>
      </c>
      <c r="I844" t="inlineStr">
        <is>
          <t>No</t>
        </is>
      </c>
      <c r="J844" t="inlineStr">
        <is>
          <t>0</t>
        </is>
      </c>
      <c r="K844" t="inlineStr">
        <is>
          <t>Rettberg, Jill Walker.</t>
        </is>
      </c>
      <c r="L844" t="inlineStr">
        <is>
          <t>Cambridge, UK ; Malden, MA : Polity, 2008.</t>
        </is>
      </c>
      <c r="M844" t="inlineStr">
        <is>
          <t>2008</t>
        </is>
      </c>
      <c r="O844" t="inlineStr">
        <is>
          <t>eng</t>
        </is>
      </c>
      <c r="P844" t="inlineStr">
        <is>
          <t>enk</t>
        </is>
      </c>
      <c r="Q844" t="inlineStr">
        <is>
          <t>Digital media and society series</t>
        </is>
      </c>
      <c r="R844" t="inlineStr">
        <is>
          <t xml:space="preserve">HM </t>
        </is>
      </c>
      <c r="S844" t="n">
        <v>2</v>
      </c>
      <c r="T844" t="n">
        <v>2</v>
      </c>
      <c r="U844" t="inlineStr">
        <is>
          <t>2009-08-04</t>
        </is>
      </c>
      <c r="V844" t="inlineStr">
        <is>
          <t>2009-08-04</t>
        </is>
      </c>
      <c r="W844" t="inlineStr">
        <is>
          <t>2009-08-04</t>
        </is>
      </c>
      <c r="X844" t="inlineStr">
        <is>
          <t>2009-08-04</t>
        </is>
      </c>
      <c r="Y844" t="n">
        <v>427</v>
      </c>
      <c r="Z844" t="n">
        <v>253</v>
      </c>
      <c r="AA844" t="n">
        <v>477</v>
      </c>
      <c r="AB844" t="n">
        <v>3</v>
      </c>
      <c r="AC844" t="n">
        <v>7</v>
      </c>
      <c r="AD844" t="n">
        <v>13</v>
      </c>
      <c r="AE844" t="n">
        <v>21</v>
      </c>
      <c r="AF844" t="n">
        <v>4</v>
      </c>
      <c r="AG844" t="n">
        <v>6</v>
      </c>
      <c r="AH844" t="n">
        <v>4</v>
      </c>
      <c r="AI844" t="n">
        <v>5</v>
      </c>
      <c r="AJ844" t="n">
        <v>8</v>
      </c>
      <c r="AK844" t="n">
        <v>9</v>
      </c>
      <c r="AL844" t="n">
        <v>1</v>
      </c>
      <c r="AM844" t="n">
        <v>5</v>
      </c>
      <c r="AN844" t="n">
        <v>1</v>
      </c>
      <c r="AO844" t="n">
        <v>2</v>
      </c>
      <c r="AP844" t="inlineStr">
        <is>
          <t>No</t>
        </is>
      </c>
      <c r="AQ844" t="inlineStr">
        <is>
          <t>Yes</t>
        </is>
      </c>
      <c r="AR844">
        <f>HYPERLINK("http://catalog.hathitrust.org/Record/005849843","HathiTrust Record")</f>
        <v/>
      </c>
      <c r="AS844">
        <f>HYPERLINK("https://creighton-primo.hosted.exlibrisgroup.com/primo-explore/search?tab=default_tab&amp;search_scope=EVERYTHING&amp;vid=01CRU&amp;lang=en_US&amp;offset=0&amp;query=any,contains,991005327459702656","Catalog Record")</f>
        <v/>
      </c>
      <c r="AT844">
        <f>HYPERLINK("http://www.worldcat.org/oclc/228275786","WorldCat Record")</f>
        <v/>
      </c>
      <c r="AU844" t="inlineStr">
        <is>
          <t>137789295:eng</t>
        </is>
      </c>
      <c r="AV844" t="inlineStr">
        <is>
          <t>228275786</t>
        </is>
      </c>
      <c r="AW844" t="inlineStr">
        <is>
          <t>991005327459702656</t>
        </is>
      </c>
      <c r="AX844" t="inlineStr">
        <is>
          <t>991005327459702656</t>
        </is>
      </c>
      <c r="AY844" t="inlineStr">
        <is>
          <t>2268194530002656</t>
        </is>
      </c>
      <c r="AZ844" t="inlineStr">
        <is>
          <t>BOOK</t>
        </is>
      </c>
      <c r="BB844" t="inlineStr">
        <is>
          <t>9780745641331</t>
        </is>
      </c>
      <c r="BC844" t="inlineStr">
        <is>
          <t>32285005540280</t>
        </is>
      </c>
      <c r="BD844" t="inlineStr">
        <is>
          <t>893783404</t>
        </is>
      </c>
    </row>
    <row r="845">
      <c r="A845" t="inlineStr">
        <is>
          <t>No</t>
        </is>
      </c>
      <c r="B845" t="inlineStr">
        <is>
          <t>HM851 .R67 2003</t>
        </is>
      </c>
      <c r="C845" t="inlineStr">
        <is>
          <t>0                      HM 0851000R  67          2003</t>
        </is>
      </c>
      <c r="D845" t="inlineStr">
        <is>
          <t>User error : resisting computer culture / Ellen Rose.</t>
        </is>
      </c>
      <c r="F845" t="inlineStr">
        <is>
          <t>No</t>
        </is>
      </c>
      <c r="G845" t="inlineStr">
        <is>
          <t>1</t>
        </is>
      </c>
      <c r="H845" t="inlineStr">
        <is>
          <t>No</t>
        </is>
      </c>
      <c r="I845" t="inlineStr">
        <is>
          <t>No</t>
        </is>
      </c>
      <c r="J845" t="inlineStr">
        <is>
          <t>0</t>
        </is>
      </c>
      <c r="K845" t="inlineStr">
        <is>
          <t>Rose, Ellen, 1959-</t>
        </is>
      </c>
      <c r="L845" t="inlineStr">
        <is>
          <t>Toronto, Ont. : Between the Lines, c2003.</t>
        </is>
      </c>
      <c r="M845" t="inlineStr">
        <is>
          <t>2003</t>
        </is>
      </c>
      <c r="O845" t="inlineStr">
        <is>
          <t>eng</t>
        </is>
      </c>
      <c r="P845" t="inlineStr">
        <is>
          <t>onc</t>
        </is>
      </c>
      <c r="R845" t="inlineStr">
        <is>
          <t xml:space="preserve">HM </t>
        </is>
      </c>
      <c r="S845" t="n">
        <v>2</v>
      </c>
      <c r="T845" t="n">
        <v>2</v>
      </c>
      <c r="U845" t="inlineStr">
        <is>
          <t>2004-08-10</t>
        </is>
      </c>
      <c r="V845" t="inlineStr">
        <is>
          <t>2004-08-10</t>
        </is>
      </c>
      <c r="W845" t="inlineStr">
        <is>
          <t>2004-08-10</t>
        </is>
      </c>
      <c r="X845" t="inlineStr">
        <is>
          <t>2004-08-10</t>
        </is>
      </c>
      <c r="Y845" t="n">
        <v>557</v>
      </c>
      <c r="Z845" t="n">
        <v>473</v>
      </c>
      <c r="AA845" t="n">
        <v>480</v>
      </c>
      <c r="AB845" t="n">
        <v>3</v>
      </c>
      <c r="AC845" t="n">
        <v>3</v>
      </c>
      <c r="AD845" t="n">
        <v>16</v>
      </c>
      <c r="AE845" t="n">
        <v>16</v>
      </c>
      <c r="AF845" t="n">
        <v>6</v>
      </c>
      <c r="AG845" t="n">
        <v>6</v>
      </c>
      <c r="AH845" t="n">
        <v>3</v>
      </c>
      <c r="AI845" t="n">
        <v>3</v>
      </c>
      <c r="AJ845" t="n">
        <v>10</v>
      </c>
      <c r="AK845" t="n">
        <v>10</v>
      </c>
      <c r="AL845" t="n">
        <v>2</v>
      </c>
      <c r="AM845" t="n">
        <v>2</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HYPERLINK("https://creighton-primo.hosted.exlibrisgroup.com/primo-explore/search?tab=default_tab&amp;search_scope=EVERYTHING&amp;vid=01CRU&amp;lang=en_US&amp;offset=0&amp;query=any,contains,991004320129702656","Catalog Record")</f>
        <v/>
      </c>
      <c r="AT845">
        <f>HYPERLINK("http://www.worldcat.org/oclc/52705641","WorldCat Record")</f>
        <v/>
      </c>
      <c r="AU845" t="inlineStr">
        <is>
          <t>864051516:eng</t>
        </is>
      </c>
      <c r="AV845" t="inlineStr">
        <is>
          <t>52705641</t>
        </is>
      </c>
      <c r="AW845" t="inlineStr">
        <is>
          <t>991004320129702656</t>
        </is>
      </c>
      <c r="AX845" t="inlineStr">
        <is>
          <t>991004320129702656</t>
        </is>
      </c>
      <c r="AY845" t="inlineStr">
        <is>
          <t>2268881430002656</t>
        </is>
      </c>
      <c r="AZ845" t="inlineStr">
        <is>
          <t>BOOK</t>
        </is>
      </c>
      <c r="BB845" t="inlineStr">
        <is>
          <t>9781896357799</t>
        </is>
      </c>
      <c r="BC845" t="inlineStr">
        <is>
          <t>32285004980750</t>
        </is>
      </c>
      <c r="BD845" t="inlineStr">
        <is>
          <t>893875957</t>
        </is>
      </c>
    </row>
    <row r="846">
      <c r="A846" t="inlineStr">
        <is>
          <t>No</t>
        </is>
      </c>
      <c r="B846" t="inlineStr">
        <is>
          <t>HM851 .S25 2007</t>
        </is>
      </c>
      <c r="C846" t="inlineStr">
        <is>
          <t>0                      HM 0851000S  25          2007</t>
        </is>
      </c>
      <c r="D846" t="inlineStr">
        <is>
          <t>The Internet and society : a reference handbook / Bernadette H. Schell.</t>
        </is>
      </c>
      <c r="F846" t="inlineStr">
        <is>
          <t>No</t>
        </is>
      </c>
      <c r="G846" t="inlineStr">
        <is>
          <t>1</t>
        </is>
      </c>
      <c r="H846" t="inlineStr">
        <is>
          <t>No</t>
        </is>
      </c>
      <c r="I846" t="inlineStr">
        <is>
          <t>No</t>
        </is>
      </c>
      <c r="J846" t="inlineStr">
        <is>
          <t>0</t>
        </is>
      </c>
      <c r="K846" t="inlineStr">
        <is>
          <t>Schell, Bernadette H. (Bernadette Hlubik), 1952-</t>
        </is>
      </c>
      <c r="L846" t="inlineStr">
        <is>
          <t>Santa Barbara, Calif. : ABC-CLIO, c2007.</t>
        </is>
      </c>
      <c r="M846" t="inlineStr">
        <is>
          <t>2007</t>
        </is>
      </c>
      <c r="O846" t="inlineStr">
        <is>
          <t>eng</t>
        </is>
      </c>
      <c r="P846" t="inlineStr">
        <is>
          <t>cau</t>
        </is>
      </c>
      <c r="Q846" t="inlineStr">
        <is>
          <t>ABC-CLIO's contemporary world issues</t>
        </is>
      </c>
      <c r="R846" t="inlineStr">
        <is>
          <t xml:space="preserve">HM </t>
        </is>
      </c>
      <c r="S846" t="n">
        <v>3</v>
      </c>
      <c r="T846" t="n">
        <v>3</v>
      </c>
      <c r="U846" t="inlineStr">
        <is>
          <t>2008-10-29</t>
        </is>
      </c>
      <c r="V846" t="inlineStr">
        <is>
          <t>2008-10-29</t>
        </is>
      </c>
      <c r="W846" t="inlineStr">
        <is>
          <t>2007-01-30</t>
        </is>
      </c>
      <c r="X846" t="inlineStr">
        <is>
          <t>2007-01-30</t>
        </is>
      </c>
      <c r="Y846" t="n">
        <v>463</v>
      </c>
      <c r="Z846" t="n">
        <v>404</v>
      </c>
      <c r="AA846" t="n">
        <v>816</v>
      </c>
      <c r="AB846" t="n">
        <v>2</v>
      </c>
      <c r="AC846" t="n">
        <v>4</v>
      </c>
      <c r="AD846" t="n">
        <v>6</v>
      </c>
      <c r="AE846" t="n">
        <v>16</v>
      </c>
      <c r="AF846" t="n">
        <v>4</v>
      </c>
      <c r="AG846" t="n">
        <v>9</v>
      </c>
      <c r="AH846" t="n">
        <v>1</v>
      </c>
      <c r="AI846" t="n">
        <v>4</v>
      </c>
      <c r="AJ846" t="n">
        <v>1</v>
      </c>
      <c r="AK846" t="n">
        <v>5</v>
      </c>
      <c r="AL846" t="n">
        <v>1</v>
      </c>
      <c r="AM846" t="n">
        <v>3</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HYPERLINK("https://creighton-primo.hosted.exlibrisgroup.com/primo-explore/search?tab=default_tab&amp;search_scope=EVERYTHING&amp;vid=01CRU&amp;lang=en_US&amp;offset=0&amp;query=any,contains,991005003439702656","Catalog Record")</f>
        <v/>
      </c>
      <c r="AT846">
        <f>HYPERLINK("http://www.worldcat.org/oclc/76786579","WorldCat Record")</f>
        <v/>
      </c>
      <c r="AU846" t="inlineStr">
        <is>
          <t>795564985:eng</t>
        </is>
      </c>
      <c r="AV846" t="inlineStr">
        <is>
          <t>76786579</t>
        </is>
      </c>
      <c r="AW846" t="inlineStr">
        <is>
          <t>991005003439702656</t>
        </is>
      </c>
      <c r="AX846" t="inlineStr">
        <is>
          <t>991005003439702656</t>
        </is>
      </c>
      <c r="AY846" t="inlineStr">
        <is>
          <t>2263979180002656</t>
        </is>
      </c>
      <c r="AZ846" t="inlineStr">
        <is>
          <t>BOOK</t>
        </is>
      </c>
      <c r="BB846" t="inlineStr">
        <is>
          <t>9781598840315</t>
        </is>
      </c>
      <c r="BC846" t="inlineStr">
        <is>
          <t>32285005273288</t>
        </is>
      </c>
      <c r="BD846" t="inlineStr">
        <is>
          <t>893606699</t>
        </is>
      </c>
    </row>
    <row r="847">
      <c r="A847" t="inlineStr">
        <is>
          <t>No</t>
        </is>
      </c>
      <c r="B847" t="inlineStr">
        <is>
          <t>HM851 .W45 2002</t>
        </is>
      </c>
      <c r="C847" t="inlineStr">
        <is>
          <t>0                      HM 0851000W  45          2002</t>
        </is>
      </c>
      <c r="D847" t="inlineStr">
        <is>
          <t>Small pieces loosely joined : a unified theory of the Web / David Weinberger.</t>
        </is>
      </c>
      <c r="F847" t="inlineStr">
        <is>
          <t>No</t>
        </is>
      </c>
      <c r="G847" t="inlineStr">
        <is>
          <t>1</t>
        </is>
      </c>
      <c r="H847" t="inlineStr">
        <is>
          <t>No</t>
        </is>
      </c>
      <c r="I847" t="inlineStr">
        <is>
          <t>No</t>
        </is>
      </c>
      <c r="J847" t="inlineStr">
        <is>
          <t>0</t>
        </is>
      </c>
      <c r="K847" t="inlineStr">
        <is>
          <t>Weinberger, David, 1950-</t>
        </is>
      </c>
      <c r="L847" t="inlineStr">
        <is>
          <t>Cambridge, MA : Perseus Pub., c2002.</t>
        </is>
      </c>
      <c r="M847" t="inlineStr">
        <is>
          <t>2002</t>
        </is>
      </c>
      <c r="O847" t="inlineStr">
        <is>
          <t>eng</t>
        </is>
      </c>
      <c r="P847" t="inlineStr">
        <is>
          <t>mau</t>
        </is>
      </c>
      <c r="R847" t="inlineStr">
        <is>
          <t xml:space="preserve">HM </t>
        </is>
      </c>
      <c r="S847" t="n">
        <v>2</v>
      </c>
      <c r="T847" t="n">
        <v>2</v>
      </c>
      <c r="U847" t="inlineStr">
        <is>
          <t>2002-11-11</t>
        </is>
      </c>
      <c r="V847" t="inlineStr">
        <is>
          <t>2002-11-11</t>
        </is>
      </c>
      <c r="W847" t="inlineStr">
        <is>
          <t>2002-07-09</t>
        </is>
      </c>
      <c r="X847" t="inlineStr">
        <is>
          <t>2002-07-09</t>
        </is>
      </c>
      <c r="Y847" t="n">
        <v>824</v>
      </c>
      <c r="Z847" t="n">
        <v>727</v>
      </c>
      <c r="AA847" t="n">
        <v>800</v>
      </c>
      <c r="AB847" t="n">
        <v>5</v>
      </c>
      <c r="AC847" t="n">
        <v>5</v>
      </c>
      <c r="AD847" t="n">
        <v>24</v>
      </c>
      <c r="AE847" t="n">
        <v>26</v>
      </c>
      <c r="AF847" t="n">
        <v>9</v>
      </c>
      <c r="AG847" t="n">
        <v>9</v>
      </c>
      <c r="AH847" t="n">
        <v>5</v>
      </c>
      <c r="AI847" t="n">
        <v>5</v>
      </c>
      <c r="AJ847" t="n">
        <v>10</v>
      </c>
      <c r="AK847" t="n">
        <v>12</v>
      </c>
      <c r="AL847" t="n">
        <v>4</v>
      </c>
      <c r="AM847" t="n">
        <v>4</v>
      </c>
      <c r="AN847" t="n">
        <v>1</v>
      </c>
      <c r="AO847" t="n">
        <v>1</v>
      </c>
      <c r="AP847" t="inlineStr">
        <is>
          <t>No</t>
        </is>
      </c>
      <c r="AQ847" t="inlineStr">
        <is>
          <t>Yes</t>
        </is>
      </c>
      <c r="AR847">
        <f>HYPERLINK("http://catalog.hathitrust.org/Record/004255100","HathiTrust Record")</f>
        <v/>
      </c>
      <c r="AS847">
        <f>HYPERLINK("https://creighton-primo.hosted.exlibrisgroup.com/primo-explore/search?tab=default_tab&amp;search_scope=EVERYTHING&amp;vid=01CRU&amp;lang=en_US&amp;offset=0&amp;query=any,contains,991003823989702656","Catalog Record")</f>
        <v/>
      </c>
      <c r="AT847">
        <f>HYPERLINK("http://www.worldcat.org/oclc/48998666","WorldCat Record")</f>
        <v/>
      </c>
      <c r="AU847" t="inlineStr">
        <is>
          <t>768631776:eng</t>
        </is>
      </c>
      <c r="AV847" t="inlineStr">
        <is>
          <t>48998666</t>
        </is>
      </c>
      <c r="AW847" t="inlineStr">
        <is>
          <t>991003823989702656</t>
        </is>
      </c>
      <c r="AX847" t="inlineStr">
        <is>
          <t>991003823989702656</t>
        </is>
      </c>
      <c r="AY847" t="inlineStr">
        <is>
          <t>2260890930002656</t>
        </is>
      </c>
      <c r="AZ847" t="inlineStr">
        <is>
          <t>BOOK</t>
        </is>
      </c>
      <c r="BB847" t="inlineStr">
        <is>
          <t>9780738205434</t>
        </is>
      </c>
      <c r="BC847" t="inlineStr">
        <is>
          <t>32285004496419</t>
        </is>
      </c>
      <c r="BD847" t="inlineStr">
        <is>
          <t>893787810</t>
        </is>
      </c>
    </row>
    <row r="848">
      <c r="A848" t="inlineStr">
        <is>
          <t>No</t>
        </is>
      </c>
      <c r="B848" t="inlineStr">
        <is>
          <t>HM866 .B83 2007</t>
        </is>
      </c>
      <c r="C848" t="inlineStr">
        <is>
          <t>0                      HM 0866000B  83          2007</t>
        </is>
      </c>
      <c r="D848" t="inlineStr">
        <is>
          <t>The social atom : why the rich get richer, cheaters get caught, and your neighbor usually looks like you / Mark Buchanan.</t>
        </is>
      </c>
      <c r="F848" t="inlineStr">
        <is>
          <t>No</t>
        </is>
      </c>
      <c r="G848" t="inlineStr">
        <is>
          <t>1</t>
        </is>
      </c>
      <c r="H848" t="inlineStr">
        <is>
          <t>No</t>
        </is>
      </c>
      <c r="I848" t="inlineStr">
        <is>
          <t>No</t>
        </is>
      </c>
      <c r="J848" t="inlineStr">
        <is>
          <t>0</t>
        </is>
      </c>
      <c r="K848" t="inlineStr">
        <is>
          <t>Buchanan, Mark.</t>
        </is>
      </c>
      <c r="L848" t="inlineStr">
        <is>
          <t>New York : Bloomsbury : Distributed to the trade by Holtzbrinck Publishers, 2007.</t>
        </is>
      </c>
      <c r="M848" t="inlineStr">
        <is>
          <t>2007</t>
        </is>
      </c>
      <c r="N848" t="inlineStr">
        <is>
          <t>1st U.S. ed.</t>
        </is>
      </c>
      <c r="O848" t="inlineStr">
        <is>
          <t>eng</t>
        </is>
      </c>
      <c r="P848" t="inlineStr">
        <is>
          <t>nyu</t>
        </is>
      </c>
      <c r="R848" t="inlineStr">
        <is>
          <t xml:space="preserve">HM </t>
        </is>
      </c>
      <c r="S848" t="n">
        <v>1</v>
      </c>
      <c r="T848" t="n">
        <v>1</v>
      </c>
      <c r="U848" t="inlineStr">
        <is>
          <t>2008-09-18</t>
        </is>
      </c>
      <c r="V848" t="inlineStr">
        <is>
          <t>2008-09-18</t>
        </is>
      </c>
      <c r="W848" t="inlineStr">
        <is>
          <t>2008-09-18</t>
        </is>
      </c>
      <c r="X848" t="inlineStr">
        <is>
          <t>2008-09-18</t>
        </is>
      </c>
      <c r="Y848" t="n">
        <v>668</v>
      </c>
      <c r="Z848" t="n">
        <v>581</v>
      </c>
      <c r="AA848" t="n">
        <v>596</v>
      </c>
      <c r="AB848" t="n">
        <v>4</v>
      </c>
      <c r="AC848" t="n">
        <v>4</v>
      </c>
      <c r="AD848" t="n">
        <v>16</v>
      </c>
      <c r="AE848" t="n">
        <v>16</v>
      </c>
      <c r="AF848" t="n">
        <v>6</v>
      </c>
      <c r="AG848" t="n">
        <v>6</v>
      </c>
      <c r="AH848" t="n">
        <v>4</v>
      </c>
      <c r="AI848" t="n">
        <v>4</v>
      </c>
      <c r="AJ848" t="n">
        <v>6</v>
      </c>
      <c r="AK848" t="n">
        <v>6</v>
      </c>
      <c r="AL848" t="n">
        <v>3</v>
      </c>
      <c r="AM848" t="n">
        <v>3</v>
      </c>
      <c r="AN848" t="n">
        <v>0</v>
      </c>
      <c r="AO848" t="n">
        <v>0</v>
      </c>
      <c r="AP848" t="inlineStr">
        <is>
          <t>No</t>
        </is>
      </c>
      <c r="AQ848" t="inlineStr">
        <is>
          <t>Yes</t>
        </is>
      </c>
      <c r="AR848">
        <f>HYPERLINK("http://catalog.hathitrust.org/Record/005558230","HathiTrust Record")</f>
        <v/>
      </c>
      <c r="AS848">
        <f>HYPERLINK("https://creighton-primo.hosted.exlibrisgroup.com/primo-explore/search?tab=default_tab&amp;search_scope=EVERYTHING&amp;vid=01CRU&amp;lang=en_US&amp;offset=0&amp;query=any,contains,991005263399702656","Catalog Record")</f>
        <v/>
      </c>
      <c r="AT848">
        <f>HYPERLINK("http://www.worldcat.org/oclc/78789800","WorldCat Record")</f>
        <v/>
      </c>
      <c r="AU848" t="inlineStr">
        <is>
          <t>198241199:eng</t>
        </is>
      </c>
      <c r="AV848" t="inlineStr">
        <is>
          <t>78789800</t>
        </is>
      </c>
      <c r="AW848" t="inlineStr">
        <is>
          <t>991005263399702656</t>
        </is>
      </c>
      <c r="AX848" t="inlineStr">
        <is>
          <t>991005263399702656</t>
        </is>
      </c>
      <c r="AY848" t="inlineStr">
        <is>
          <t>2262484780002656</t>
        </is>
      </c>
      <c r="AZ848" t="inlineStr">
        <is>
          <t>BOOK</t>
        </is>
      </c>
      <c r="BB848" t="inlineStr">
        <is>
          <t>9781596910133</t>
        </is>
      </c>
      <c r="BC848" t="inlineStr">
        <is>
          <t>32285005458996</t>
        </is>
      </c>
      <c r="BD848" t="inlineStr">
        <is>
          <t>893688859</t>
        </is>
      </c>
    </row>
    <row r="849">
      <c r="A849" t="inlineStr">
        <is>
          <t>No</t>
        </is>
      </c>
      <c r="B849" t="inlineStr">
        <is>
          <t>HM869 .E82 2006</t>
        </is>
      </c>
      <c r="C849" t="inlineStr">
        <is>
          <t>0                      HM 0869000E  82          2006</t>
        </is>
      </c>
      <c r="D849" t="inlineStr">
        <is>
          <t>Alliances : a theory of concerted human behavior / Stephen W. Eubank.</t>
        </is>
      </c>
      <c r="F849" t="inlineStr">
        <is>
          <t>No</t>
        </is>
      </c>
      <c r="G849" t="inlineStr">
        <is>
          <t>1</t>
        </is>
      </c>
      <c r="H849" t="inlineStr">
        <is>
          <t>No</t>
        </is>
      </c>
      <c r="I849" t="inlineStr">
        <is>
          <t>No</t>
        </is>
      </c>
      <c r="J849" t="inlineStr">
        <is>
          <t>0</t>
        </is>
      </c>
      <c r="K849" t="inlineStr">
        <is>
          <t>Eubank, Stephen W.</t>
        </is>
      </c>
      <c r="L849" t="inlineStr">
        <is>
          <t>Houston, Tex. : Catellus Pub., c2006.</t>
        </is>
      </c>
      <c r="M849" t="inlineStr">
        <is>
          <t>2006</t>
        </is>
      </c>
      <c r="N849" t="inlineStr">
        <is>
          <t>1st ed.</t>
        </is>
      </c>
      <c r="O849" t="inlineStr">
        <is>
          <t>eng</t>
        </is>
      </c>
      <c r="P849" t="inlineStr">
        <is>
          <t>txu</t>
        </is>
      </c>
      <c r="R849" t="inlineStr">
        <is>
          <t xml:space="preserve">HM </t>
        </is>
      </c>
      <c r="S849" t="n">
        <v>2</v>
      </c>
      <c r="T849" t="n">
        <v>2</v>
      </c>
      <c r="U849" t="inlineStr">
        <is>
          <t>2008-04-02</t>
        </is>
      </c>
      <c r="V849" t="inlineStr">
        <is>
          <t>2008-04-02</t>
        </is>
      </c>
      <c r="W849" t="inlineStr">
        <is>
          <t>2008-04-02</t>
        </is>
      </c>
      <c r="X849" t="inlineStr">
        <is>
          <t>2008-04-02</t>
        </is>
      </c>
      <c r="Y849" t="n">
        <v>46</v>
      </c>
      <c r="Z849" t="n">
        <v>45</v>
      </c>
      <c r="AA849" t="n">
        <v>45</v>
      </c>
      <c r="AB849" t="n">
        <v>2</v>
      </c>
      <c r="AC849" t="n">
        <v>2</v>
      </c>
      <c r="AD849" t="n">
        <v>2</v>
      </c>
      <c r="AE849" t="n">
        <v>2</v>
      </c>
      <c r="AF849" t="n">
        <v>1</v>
      </c>
      <c r="AG849" t="n">
        <v>1</v>
      </c>
      <c r="AH849" t="n">
        <v>0</v>
      </c>
      <c r="AI849" t="n">
        <v>0</v>
      </c>
      <c r="AJ849" t="n">
        <v>0</v>
      </c>
      <c r="AK849" t="n">
        <v>0</v>
      </c>
      <c r="AL849" t="n">
        <v>1</v>
      </c>
      <c r="AM849" t="n">
        <v>1</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HYPERLINK("https://creighton-primo.hosted.exlibrisgroup.com/primo-explore/search?tab=default_tab&amp;search_scope=EVERYTHING&amp;vid=01CRU&amp;lang=en_US&amp;offset=0&amp;query=any,contains,991005200129702656","Catalog Record")</f>
        <v/>
      </c>
      <c r="AT849">
        <f>HYPERLINK("http://www.worldcat.org/oclc/123767356","WorldCat Record")</f>
        <v/>
      </c>
      <c r="AU849" t="inlineStr">
        <is>
          <t>102471339:eng</t>
        </is>
      </c>
      <c r="AV849" t="inlineStr">
        <is>
          <t>123767356</t>
        </is>
      </c>
      <c r="AW849" t="inlineStr">
        <is>
          <t>991005200129702656</t>
        </is>
      </c>
      <c r="AX849" t="inlineStr">
        <is>
          <t>991005200129702656</t>
        </is>
      </c>
      <c r="AY849" t="inlineStr">
        <is>
          <t>2262304920002656</t>
        </is>
      </c>
      <c r="AZ849" t="inlineStr">
        <is>
          <t>BOOK</t>
        </is>
      </c>
      <c r="BB849" t="inlineStr">
        <is>
          <t>9780978542108</t>
        </is>
      </c>
      <c r="BC849" t="inlineStr">
        <is>
          <t>32285005400451</t>
        </is>
      </c>
      <c r="BD849" t="inlineStr">
        <is>
          <t>893260716</t>
        </is>
      </c>
    </row>
    <row r="850">
      <c r="A850" t="inlineStr">
        <is>
          <t>No</t>
        </is>
      </c>
      <c r="B850" t="inlineStr">
        <is>
          <t>HM881 .K45 2001</t>
        </is>
      </c>
      <c r="C850" t="inlineStr">
        <is>
          <t>0                      HM 0881000K  45          2001</t>
        </is>
      </c>
      <c r="D850" t="inlineStr">
        <is>
          <t>Tangled up in red, white, and blue : new social movements in America / Christine A. Kelly.</t>
        </is>
      </c>
      <c r="F850" t="inlineStr">
        <is>
          <t>No</t>
        </is>
      </c>
      <c r="G850" t="inlineStr">
        <is>
          <t>1</t>
        </is>
      </c>
      <c r="H850" t="inlineStr">
        <is>
          <t>No</t>
        </is>
      </c>
      <c r="I850" t="inlineStr">
        <is>
          <t>No</t>
        </is>
      </c>
      <c r="J850" t="inlineStr">
        <is>
          <t>0</t>
        </is>
      </c>
      <c r="K850" t="inlineStr">
        <is>
          <t>Kelly, Christine A., 1961-</t>
        </is>
      </c>
      <c r="L850" t="inlineStr">
        <is>
          <t>Lanham, Md. : Rowman &amp; Littlefield, c2001.</t>
        </is>
      </c>
      <c r="M850" t="inlineStr">
        <is>
          <t>2001</t>
        </is>
      </c>
      <c r="O850" t="inlineStr">
        <is>
          <t>eng</t>
        </is>
      </c>
      <c r="P850" t="inlineStr">
        <is>
          <t>mdu</t>
        </is>
      </c>
      <c r="R850" t="inlineStr">
        <is>
          <t xml:space="preserve">HM </t>
        </is>
      </c>
      <c r="S850" t="n">
        <v>7</v>
      </c>
      <c r="T850" t="n">
        <v>7</v>
      </c>
      <c r="U850" t="inlineStr">
        <is>
          <t>2003-11-09</t>
        </is>
      </c>
      <c r="V850" t="inlineStr">
        <is>
          <t>2003-11-09</t>
        </is>
      </c>
      <c r="W850" t="inlineStr">
        <is>
          <t>2001-05-09</t>
        </is>
      </c>
      <c r="X850" t="inlineStr">
        <is>
          <t>2001-05-09</t>
        </is>
      </c>
      <c r="Y850" t="n">
        <v>445</v>
      </c>
      <c r="Z850" t="n">
        <v>406</v>
      </c>
      <c r="AA850" t="n">
        <v>450</v>
      </c>
      <c r="AB850" t="n">
        <v>4</v>
      </c>
      <c r="AC850" t="n">
        <v>4</v>
      </c>
      <c r="AD850" t="n">
        <v>24</v>
      </c>
      <c r="AE850" t="n">
        <v>24</v>
      </c>
      <c r="AF850" t="n">
        <v>9</v>
      </c>
      <c r="AG850" t="n">
        <v>9</v>
      </c>
      <c r="AH850" t="n">
        <v>7</v>
      </c>
      <c r="AI850" t="n">
        <v>7</v>
      </c>
      <c r="AJ850" t="n">
        <v>11</v>
      </c>
      <c r="AK850" t="n">
        <v>11</v>
      </c>
      <c r="AL850" t="n">
        <v>3</v>
      </c>
      <c r="AM850" t="n">
        <v>3</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HYPERLINK("https://creighton-primo.hosted.exlibrisgroup.com/primo-explore/search?tab=default_tab&amp;search_scope=EVERYTHING&amp;vid=01CRU&amp;lang=en_US&amp;offset=0&amp;query=any,contains,991003520779702656","Catalog Record")</f>
        <v/>
      </c>
      <c r="AT850">
        <f>HYPERLINK("http://www.worldcat.org/oclc/44516768","WorldCat Record")</f>
        <v/>
      </c>
      <c r="AU850" t="inlineStr">
        <is>
          <t>1038912:eng</t>
        </is>
      </c>
      <c r="AV850" t="inlineStr">
        <is>
          <t>44516768</t>
        </is>
      </c>
      <c r="AW850" t="inlineStr">
        <is>
          <t>991003520779702656</t>
        </is>
      </c>
      <c r="AX850" t="inlineStr">
        <is>
          <t>991003520779702656</t>
        </is>
      </c>
      <c r="AY850" t="inlineStr">
        <is>
          <t>2260605500002656</t>
        </is>
      </c>
      <c r="AZ850" t="inlineStr">
        <is>
          <t>BOOK</t>
        </is>
      </c>
      <c r="BB850" t="inlineStr">
        <is>
          <t>9780742508125</t>
        </is>
      </c>
      <c r="BC850" t="inlineStr">
        <is>
          <t>32285004316781</t>
        </is>
      </c>
      <c r="BD850" t="inlineStr">
        <is>
          <t>893499385</t>
        </is>
      </c>
    </row>
    <row r="851">
      <c r="A851" t="inlineStr">
        <is>
          <t>No</t>
        </is>
      </c>
      <c r="B851" t="inlineStr">
        <is>
          <t>HM881 .M34 2008</t>
        </is>
      </c>
      <c r="C851" t="inlineStr">
        <is>
          <t>0                      HM 0881000M  34          2008</t>
        </is>
      </c>
      <c r="D851" t="inlineStr">
        <is>
          <t>Making waves : worldwide social movements, 1750-2005 / William G. Martin, coordinator, with Tuba Agartan ... [et al.].</t>
        </is>
      </c>
      <c r="F851" t="inlineStr">
        <is>
          <t>No</t>
        </is>
      </c>
      <c r="G851" t="inlineStr">
        <is>
          <t>1</t>
        </is>
      </c>
      <c r="H851" t="inlineStr">
        <is>
          <t>No</t>
        </is>
      </c>
      <c r="I851" t="inlineStr">
        <is>
          <t>No</t>
        </is>
      </c>
      <c r="J851" t="inlineStr">
        <is>
          <t>0</t>
        </is>
      </c>
      <c r="L851" t="inlineStr">
        <is>
          <t>Boulder : Paradigm Publishers, c2008.</t>
        </is>
      </c>
      <c r="M851" t="inlineStr">
        <is>
          <t>2008</t>
        </is>
      </c>
      <c r="O851" t="inlineStr">
        <is>
          <t>eng</t>
        </is>
      </c>
      <c r="P851" t="inlineStr">
        <is>
          <t>cou</t>
        </is>
      </c>
      <c r="Q851" t="inlineStr">
        <is>
          <t>Fernand Braudel Center series</t>
        </is>
      </c>
      <c r="R851" t="inlineStr">
        <is>
          <t xml:space="preserve">HM </t>
        </is>
      </c>
      <c r="S851" t="n">
        <v>1</v>
      </c>
      <c r="T851" t="n">
        <v>1</v>
      </c>
      <c r="U851" t="inlineStr">
        <is>
          <t>2009-02-17</t>
        </is>
      </c>
      <c r="V851" t="inlineStr">
        <is>
          <t>2009-02-17</t>
        </is>
      </c>
      <c r="W851" t="inlineStr">
        <is>
          <t>2009-02-17</t>
        </is>
      </c>
      <c r="X851" t="inlineStr">
        <is>
          <t>2009-02-17</t>
        </is>
      </c>
      <c r="Y851" t="n">
        <v>269</v>
      </c>
      <c r="Z851" t="n">
        <v>208</v>
      </c>
      <c r="AA851" t="n">
        <v>228</v>
      </c>
      <c r="AB851" t="n">
        <v>3</v>
      </c>
      <c r="AC851" t="n">
        <v>3</v>
      </c>
      <c r="AD851" t="n">
        <v>15</v>
      </c>
      <c r="AE851" t="n">
        <v>15</v>
      </c>
      <c r="AF851" t="n">
        <v>6</v>
      </c>
      <c r="AG851" t="n">
        <v>6</v>
      </c>
      <c r="AH851" t="n">
        <v>4</v>
      </c>
      <c r="AI851" t="n">
        <v>4</v>
      </c>
      <c r="AJ851" t="n">
        <v>9</v>
      </c>
      <c r="AK851" t="n">
        <v>9</v>
      </c>
      <c r="AL851" t="n">
        <v>2</v>
      </c>
      <c r="AM851" t="n">
        <v>2</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HYPERLINK("https://creighton-primo.hosted.exlibrisgroup.com/primo-explore/search?tab=default_tab&amp;search_scope=EVERYTHING&amp;vid=01CRU&amp;lang=en_US&amp;offset=0&amp;query=any,contains,991005296179702656","Catalog Record")</f>
        <v/>
      </c>
      <c r="AT851">
        <f>HYPERLINK("http://www.worldcat.org/oclc/129955560","WorldCat Record")</f>
        <v/>
      </c>
      <c r="AU851" t="inlineStr">
        <is>
          <t>102883608:eng</t>
        </is>
      </c>
      <c r="AV851" t="inlineStr">
        <is>
          <t>129955560</t>
        </is>
      </c>
      <c r="AW851" t="inlineStr">
        <is>
          <t>991005296179702656</t>
        </is>
      </c>
      <c r="AX851" t="inlineStr">
        <is>
          <t>991005296179702656</t>
        </is>
      </c>
      <c r="AY851" t="inlineStr">
        <is>
          <t>2262870270002656</t>
        </is>
      </c>
      <c r="AZ851" t="inlineStr">
        <is>
          <t>BOOK</t>
        </is>
      </c>
      <c r="BB851" t="inlineStr">
        <is>
          <t>9781594514807</t>
        </is>
      </c>
      <c r="BC851" t="inlineStr">
        <is>
          <t>32285005505176</t>
        </is>
      </c>
      <c r="BD851" t="inlineStr">
        <is>
          <t>893883638</t>
        </is>
      </c>
    </row>
    <row r="852">
      <c r="A852" t="inlineStr">
        <is>
          <t>No</t>
        </is>
      </c>
      <c r="B852" t="inlineStr">
        <is>
          <t>HM881 .W38 2002</t>
        </is>
      </c>
      <c r="C852" t="inlineStr">
        <is>
          <t>0                      HM 0881000W  38          2002</t>
        </is>
      </c>
      <c r="D852" t="inlineStr">
        <is>
          <t>Rethinking the politics of globalization : theory, concepts, and strategy / Iain Watson.</t>
        </is>
      </c>
      <c r="F852" t="inlineStr">
        <is>
          <t>No</t>
        </is>
      </c>
      <c r="G852" t="inlineStr">
        <is>
          <t>1</t>
        </is>
      </c>
      <c r="H852" t="inlineStr">
        <is>
          <t>No</t>
        </is>
      </c>
      <c r="I852" t="inlineStr">
        <is>
          <t>No</t>
        </is>
      </c>
      <c r="J852" t="inlineStr">
        <is>
          <t>0</t>
        </is>
      </c>
      <c r="K852" t="inlineStr">
        <is>
          <t>Watson, Iain.</t>
        </is>
      </c>
      <c r="L852" t="inlineStr">
        <is>
          <t>Aldershot, Hants, England ; Burlington, VT., USA : Ashgate, c2002.</t>
        </is>
      </c>
      <c r="M852" t="inlineStr">
        <is>
          <t>2002</t>
        </is>
      </c>
      <c r="O852" t="inlineStr">
        <is>
          <t>eng</t>
        </is>
      </c>
      <c r="P852" t="inlineStr">
        <is>
          <t>enk</t>
        </is>
      </c>
      <c r="R852" t="inlineStr">
        <is>
          <t xml:space="preserve">HM </t>
        </is>
      </c>
      <c r="S852" t="n">
        <v>1</v>
      </c>
      <c r="T852" t="n">
        <v>1</v>
      </c>
      <c r="U852" t="inlineStr">
        <is>
          <t>2005-03-15</t>
        </is>
      </c>
      <c r="V852" t="inlineStr">
        <is>
          <t>2005-03-15</t>
        </is>
      </c>
      <c r="W852" t="inlineStr">
        <is>
          <t>2005-03-15</t>
        </is>
      </c>
      <c r="X852" t="inlineStr">
        <is>
          <t>2005-03-15</t>
        </is>
      </c>
      <c r="Y852" t="n">
        <v>219</v>
      </c>
      <c r="Z852" t="n">
        <v>131</v>
      </c>
      <c r="AA852" t="n">
        <v>153</v>
      </c>
      <c r="AB852" t="n">
        <v>2</v>
      </c>
      <c r="AC852" t="n">
        <v>2</v>
      </c>
      <c r="AD852" t="n">
        <v>5</v>
      </c>
      <c r="AE852" t="n">
        <v>5</v>
      </c>
      <c r="AF852" t="n">
        <v>1</v>
      </c>
      <c r="AG852" t="n">
        <v>1</v>
      </c>
      <c r="AH852" t="n">
        <v>4</v>
      </c>
      <c r="AI852" t="n">
        <v>4</v>
      </c>
      <c r="AJ852" t="n">
        <v>2</v>
      </c>
      <c r="AK852" t="n">
        <v>2</v>
      </c>
      <c r="AL852" t="n">
        <v>1</v>
      </c>
      <c r="AM852" t="n">
        <v>1</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HYPERLINK("https://creighton-primo.hosted.exlibrisgroup.com/primo-explore/search?tab=default_tab&amp;search_scope=EVERYTHING&amp;vid=01CRU&amp;lang=en_US&amp;offset=0&amp;query=any,contains,991004322629702656","Catalog Record")</f>
        <v/>
      </c>
      <c r="AT852">
        <f>HYPERLINK("http://www.worldcat.org/oclc/49386061","WorldCat Record")</f>
        <v/>
      </c>
      <c r="AU852" t="inlineStr">
        <is>
          <t>839106570:eng</t>
        </is>
      </c>
      <c r="AV852" t="inlineStr">
        <is>
          <t>49386061</t>
        </is>
      </c>
      <c r="AW852" t="inlineStr">
        <is>
          <t>991004322629702656</t>
        </is>
      </c>
      <c r="AX852" t="inlineStr">
        <is>
          <t>991004322629702656</t>
        </is>
      </c>
      <c r="AY852" t="inlineStr">
        <is>
          <t>2270798110002656</t>
        </is>
      </c>
      <c r="AZ852" t="inlineStr">
        <is>
          <t>BOOK</t>
        </is>
      </c>
      <c r="BB852" t="inlineStr">
        <is>
          <t>9780754619680</t>
        </is>
      </c>
      <c r="BC852" t="inlineStr">
        <is>
          <t>32285005040935</t>
        </is>
      </c>
      <c r="BD852" t="inlineStr">
        <is>
          <t>893875959</t>
        </is>
      </c>
    </row>
    <row r="853">
      <c r="A853" t="inlineStr">
        <is>
          <t>No</t>
        </is>
      </c>
      <c r="B853" t="inlineStr">
        <is>
          <t>HM886 .M48 2010</t>
        </is>
      </c>
      <c r="C853" t="inlineStr">
        <is>
          <t>0                      HM 0886000M  48          2010</t>
        </is>
      </c>
      <c r="D853" t="inlineStr">
        <is>
          <t>Inside insurgency : violence, civilians, and revolutionary group behavior / Claire Metelits.</t>
        </is>
      </c>
      <c r="F853" t="inlineStr">
        <is>
          <t>No</t>
        </is>
      </c>
      <c r="G853" t="inlineStr">
        <is>
          <t>1</t>
        </is>
      </c>
      <c r="H853" t="inlineStr">
        <is>
          <t>No</t>
        </is>
      </c>
      <c r="I853" t="inlineStr">
        <is>
          <t>No</t>
        </is>
      </c>
      <c r="J853" t="inlineStr">
        <is>
          <t>0</t>
        </is>
      </c>
      <c r="K853" t="inlineStr">
        <is>
          <t>Metelits, Claire.</t>
        </is>
      </c>
      <c r="L853" t="inlineStr">
        <is>
          <t>New York : New York University Press, c2010.</t>
        </is>
      </c>
      <c r="M853" t="inlineStr">
        <is>
          <t>2010</t>
        </is>
      </c>
      <c r="O853" t="inlineStr">
        <is>
          <t>eng</t>
        </is>
      </c>
      <c r="P853" t="inlineStr">
        <is>
          <t>nyu</t>
        </is>
      </c>
      <c r="R853" t="inlineStr">
        <is>
          <t xml:space="preserve">HM </t>
        </is>
      </c>
      <c r="S853" t="n">
        <v>1</v>
      </c>
      <c r="T853" t="n">
        <v>1</v>
      </c>
      <c r="U853" t="inlineStr">
        <is>
          <t>2010-09-28</t>
        </is>
      </c>
      <c r="V853" t="inlineStr">
        <is>
          <t>2010-09-28</t>
        </is>
      </c>
      <c r="W853" t="inlineStr">
        <is>
          <t>2010-09-28</t>
        </is>
      </c>
      <c r="X853" t="inlineStr">
        <is>
          <t>2010-09-28</t>
        </is>
      </c>
      <c r="Y853" t="n">
        <v>318</v>
      </c>
      <c r="Z853" t="n">
        <v>249</v>
      </c>
      <c r="AA853" t="n">
        <v>319</v>
      </c>
      <c r="AB853" t="n">
        <v>3</v>
      </c>
      <c r="AC853" t="n">
        <v>3</v>
      </c>
      <c r="AD853" t="n">
        <v>17</v>
      </c>
      <c r="AE853" t="n">
        <v>20</v>
      </c>
      <c r="AF853" t="n">
        <v>6</v>
      </c>
      <c r="AG853" t="n">
        <v>8</v>
      </c>
      <c r="AH853" t="n">
        <v>5</v>
      </c>
      <c r="AI853" t="n">
        <v>6</v>
      </c>
      <c r="AJ853" t="n">
        <v>9</v>
      </c>
      <c r="AK853" t="n">
        <v>10</v>
      </c>
      <c r="AL853" t="n">
        <v>2</v>
      </c>
      <c r="AM853" t="n">
        <v>2</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HYPERLINK("https://creighton-primo.hosted.exlibrisgroup.com/primo-explore/search?tab=default_tab&amp;search_scope=EVERYTHING&amp;vid=01CRU&amp;lang=en_US&amp;offset=0&amp;query=any,contains,991000151729702656","Catalog Record")</f>
        <v/>
      </c>
      <c r="AT853">
        <f>HYPERLINK("http://www.worldcat.org/oclc/326418516","WorldCat Record")</f>
        <v/>
      </c>
      <c r="AU853" t="inlineStr">
        <is>
          <t>813062720:eng</t>
        </is>
      </c>
      <c r="AV853" t="inlineStr">
        <is>
          <t>326418516</t>
        </is>
      </c>
      <c r="AW853" t="inlineStr">
        <is>
          <t>991000151729702656</t>
        </is>
      </c>
      <c r="AX853" t="inlineStr">
        <is>
          <t>991000151729702656</t>
        </is>
      </c>
      <c r="AY853" t="inlineStr">
        <is>
          <t>2260347070002656</t>
        </is>
      </c>
      <c r="AZ853" t="inlineStr">
        <is>
          <t>BOOK</t>
        </is>
      </c>
      <c r="BB853" t="inlineStr">
        <is>
          <t>9780814795774</t>
        </is>
      </c>
      <c r="BC853" t="inlineStr">
        <is>
          <t>32285005597017</t>
        </is>
      </c>
      <c r="BD853" t="inlineStr">
        <is>
          <t>893502289</t>
        </is>
      </c>
    </row>
    <row r="854">
      <c r="A854" t="inlineStr">
        <is>
          <t>No</t>
        </is>
      </c>
      <c r="B854" t="inlineStr">
        <is>
          <t>HM886 .P37 2004</t>
        </is>
      </c>
      <c r="C854" t="inlineStr">
        <is>
          <t>0                      HM 0886000P  37          2004</t>
        </is>
      </c>
      <c r="D854" t="inlineStr">
        <is>
          <t>A history of force : exploring the worldwide movement against habits of coercion, bloodshed, and mayhem / James L. Payne.</t>
        </is>
      </c>
      <c r="F854" t="inlineStr">
        <is>
          <t>No</t>
        </is>
      </c>
      <c r="G854" t="inlineStr">
        <is>
          <t>1</t>
        </is>
      </c>
      <c r="H854" t="inlineStr">
        <is>
          <t>No</t>
        </is>
      </c>
      <c r="I854" t="inlineStr">
        <is>
          <t>No</t>
        </is>
      </c>
      <c r="J854" t="inlineStr">
        <is>
          <t>0</t>
        </is>
      </c>
      <c r="K854" t="inlineStr">
        <is>
          <t>Payne, James L.</t>
        </is>
      </c>
      <c r="L854" t="inlineStr">
        <is>
          <t>Sandpoint, Idaho : Lytton Pub. Co., c2004.</t>
        </is>
      </c>
      <c r="M854" t="inlineStr">
        <is>
          <t>2004</t>
        </is>
      </c>
      <c r="O854" t="inlineStr">
        <is>
          <t>eng</t>
        </is>
      </c>
      <c r="P854" t="inlineStr">
        <is>
          <t>idu</t>
        </is>
      </c>
      <c r="R854" t="inlineStr">
        <is>
          <t xml:space="preserve">HM </t>
        </is>
      </c>
      <c r="S854" t="n">
        <v>5</v>
      </c>
      <c r="T854" t="n">
        <v>5</v>
      </c>
      <c r="U854" t="inlineStr">
        <is>
          <t>2007-07-10</t>
        </is>
      </c>
      <c r="V854" t="inlineStr">
        <is>
          <t>2007-07-10</t>
        </is>
      </c>
      <c r="W854" t="inlineStr">
        <is>
          <t>2005-06-06</t>
        </is>
      </c>
      <c r="X854" t="inlineStr">
        <is>
          <t>2005-06-06</t>
        </is>
      </c>
      <c r="Y854" t="n">
        <v>368</v>
      </c>
      <c r="Z854" t="n">
        <v>337</v>
      </c>
      <c r="AA854" t="n">
        <v>351</v>
      </c>
      <c r="AB854" t="n">
        <v>2</v>
      </c>
      <c r="AC854" t="n">
        <v>2</v>
      </c>
      <c r="AD854" t="n">
        <v>15</v>
      </c>
      <c r="AE854" t="n">
        <v>16</v>
      </c>
      <c r="AF854" t="n">
        <v>7</v>
      </c>
      <c r="AG854" t="n">
        <v>7</v>
      </c>
      <c r="AH854" t="n">
        <v>3</v>
      </c>
      <c r="AI854" t="n">
        <v>4</v>
      </c>
      <c r="AJ854" t="n">
        <v>8</v>
      </c>
      <c r="AK854" t="n">
        <v>8</v>
      </c>
      <c r="AL854" t="n">
        <v>1</v>
      </c>
      <c r="AM854" t="n">
        <v>1</v>
      </c>
      <c r="AN854" t="n">
        <v>0</v>
      </c>
      <c r="AO854" t="n">
        <v>0</v>
      </c>
      <c r="AP854" t="inlineStr">
        <is>
          <t>No</t>
        </is>
      </c>
      <c r="AQ854" t="inlineStr">
        <is>
          <t>Yes</t>
        </is>
      </c>
      <c r="AR854">
        <f>HYPERLINK("http://catalog.hathitrust.org/Record/005074854","HathiTrust Record")</f>
        <v/>
      </c>
      <c r="AS854">
        <f>HYPERLINK("https://creighton-primo.hosted.exlibrisgroup.com/primo-explore/search?tab=default_tab&amp;search_scope=EVERYTHING&amp;vid=01CRU&amp;lang=en_US&amp;offset=0&amp;query=any,contains,991004545059702656","Catalog Record")</f>
        <v/>
      </c>
      <c r="AT854">
        <f>HYPERLINK("http://www.worldcat.org/oclc/53973401","WorldCat Record")</f>
        <v/>
      </c>
      <c r="AU854" t="inlineStr">
        <is>
          <t>908326090:eng</t>
        </is>
      </c>
      <c r="AV854" t="inlineStr">
        <is>
          <t>53973401</t>
        </is>
      </c>
      <c r="AW854" t="inlineStr">
        <is>
          <t>991004545059702656</t>
        </is>
      </c>
      <c r="AX854" t="inlineStr">
        <is>
          <t>991004545059702656</t>
        </is>
      </c>
      <c r="AY854" t="inlineStr">
        <is>
          <t>2266834580002656</t>
        </is>
      </c>
      <c r="AZ854" t="inlineStr">
        <is>
          <t>BOOK</t>
        </is>
      </c>
      <c r="BB854" t="inlineStr">
        <is>
          <t>9780915728176</t>
        </is>
      </c>
      <c r="BC854" t="inlineStr">
        <is>
          <t>32285005092977</t>
        </is>
      </c>
      <c r="BD854" t="inlineStr">
        <is>
          <t>893687854</t>
        </is>
      </c>
    </row>
    <row r="855">
      <c r="A855" t="inlineStr">
        <is>
          <t>No</t>
        </is>
      </c>
      <c r="B855" t="inlineStr">
        <is>
          <t>HM886 .V559 2002</t>
        </is>
      </c>
      <c r="C855" t="inlineStr">
        <is>
          <t>0                      HM 0886000V  559         2002</t>
        </is>
      </c>
      <c r="D855" t="inlineStr">
        <is>
          <t>Violence : a reader / edited by Catherine Besteman.</t>
        </is>
      </c>
      <c r="F855" t="inlineStr">
        <is>
          <t>No</t>
        </is>
      </c>
      <c r="G855" t="inlineStr">
        <is>
          <t>1</t>
        </is>
      </c>
      <c r="H855" t="inlineStr">
        <is>
          <t>No</t>
        </is>
      </c>
      <c r="I855" t="inlineStr">
        <is>
          <t>No</t>
        </is>
      </c>
      <c r="J855" t="inlineStr">
        <is>
          <t>0</t>
        </is>
      </c>
      <c r="L855" t="inlineStr">
        <is>
          <t>New York : New York University Press, 2002.</t>
        </is>
      </c>
      <c r="M855" t="inlineStr">
        <is>
          <t>2002</t>
        </is>
      </c>
      <c r="O855" t="inlineStr">
        <is>
          <t>eng</t>
        </is>
      </c>
      <c r="P855" t="inlineStr">
        <is>
          <t>nyu</t>
        </is>
      </c>
      <c r="Q855" t="inlineStr">
        <is>
          <t>Main trends of the modern world</t>
        </is>
      </c>
      <c r="R855" t="inlineStr">
        <is>
          <t xml:space="preserve">HM </t>
        </is>
      </c>
      <c r="S855" t="n">
        <v>3</v>
      </c>
      <c r="T855" t="n">
        <v>3</v>
      </c>
      <c r="U855" t="inlineStr">
        <is>
          <t>2004-08-24</t>
        </is>
      </c>
      <c r="V855" t="inlineStr">
        <is>
          <t>2004-08-24</t>
        </is>
      </c>
      <c r="W855" t="inlineStr">
        <is>
          <t>2002-08-22</t>
        </is>
      </c>
      <c r="X855" t="inlineStr">
        <is>
          <t>2002-08-22</t>
        </is>
      </c>
      <c r="Y855" t="n">
        <v>196</v>
      </c>
      <c r="Z855" t="n">
        <v>155</v>
      </c>
      <c r="AA855" t="n">
        <v>164</v>
      </c>
      <c r="AB855" t="n">
        <v>3</v>
      </c>
      <c r="AC855" t="n">
        <v>3</v>
      </c>
      <c r="AD855" t="n">
        <v>8</v>
      </c>
      <c r="AE855" t="n">
        <v>8</v>
      </c>
      <c r="AF855" t="n">
        <v>1</v>
      </c>
      <c r="AG855" t="n">
        <v>1</v>
      </c>
      <c r="AH855" t="n">
        <v>1</v>
      </c>
      <c r="AI855" t="n">
        <v>1</v>
      </c>
      <c r="AJ855" t="n">
        <v>5</v>
      </c>
      <c r="AK855" t="n">
        <v>5</v>
      </c>
      <c r="AL855" t="n">
        <v>2</v>
      </c>
      <c r="AM855" t="n">
        <v>2</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HYPERLINK("https://creighton-primo.hosted.exlibrisgroup.com/primo-explore/search?tab=default_tab&amp;search_scope=EVERYTHING&amp;vid=01CRU&amp;lang=en_US&amp;offset=0&amp;query=any,contains,991003849379702656","Catalog Record")</f>
        <v/>
      </c>
      <c r="AT855">
        <f>HYPERLINK("http://www.worldcat.org/oclc/49250134","WorldCat Record")</f>
        <v/>
      </c>
      <c r="AU855" t="inlineStr">
        <is>
          <t>793057679:eng</t>
        </is>
      </c>
      <c r="AV855" t="inlineStr">
        <is>
          <t>49250134</t>
        </is>
      </c>
      <c r="AW855" t="inlineStr">
        <is>
          <t>991003849379702656</t>
        </is>
      </c>
      <c r="AX855" t="inlineStr">
        <is>
          <t>991003849379702656</t>
        </is>
      </c>
      <c r="AY855" t="inlineStr">
        <is>
          <t>2271857670002656</t>
        </is>
      </c>
      <c r="AZ855" t="inlineStr">
        <is>
          <t>BOOK</t>
        </is>
      </c>
      <c r="BB855" t="inlineStr">
        <is>
          <t>9780814798997</t>
        </is>
      </c>
      <c r="BC855" t="inlineStr">
        <is>
          <t>32285004644547</t>
        </is>
      </c>
      <c r="BD855" t="inlineStr">
        <is>
          <t>893718142</t>
        </is>
      </c>
    </row>
    <row r="856">
      <c r="A856" t="inlineStr">
        <is>
          <t>No</t>
        </is>
      </c>
      <c r="B856" t="inlineStr">
        <is>
          <t>HM886 .W48 2000</t>
        </is>
      </c>
      <c r="C856" t="inlineStr">
        <is>
          <t>0                      HM 0886000W  48          2000</t>
        </is>
      </c>
      <c r="D856" t="inlineStr">
        <is>
          <t>Understanding and preventing violence : the psychology of human destructiveness / Leighton C. Whitaker.</t>
        </is>
      </c>
      <c r="F856" t="inlineStr">
        <is>
          <t>No</t>
        </is>
      </c>
      <c r="G856" t="inlineStr">
        <is>
          <t>1</t>
        </is>
      </c>
      <c r="H856" t="inlineStr">
        <is>
          <t>No</t>
        </is>
      </c>
      <c r="I856" t="inlineStr">
        <is>
          <t>No</t>
        </is>
      </c>
      <c r="J856" t="inlineStr">
        <is>
          <t>0</t>
        </is>
      </c>
      <c r="K856" t="inlineStr">
        <is>
          <t>Whitaker, Leighton C.</t>
        </is>
      </c>
      <c r="L856" t="inlineStr">
        <is>
          <t>Boca Raton, Fla. : CRC Press, c2000.</t>
        </is>
      </c>
      <c r="M856" t="inlineStr">
        <is>
          <t>2000</t>
        </is>
      </c>
      <c r="O856" t="inlineStr">
        <is>
          <t>eng</t>
        </is>
      </c>
      <c r="P856" t="inlineStr">
        <is>
          <t>flu</t>
        </is>
      </c>
      <c r="Q856" t="inlineStr">
        <is>
          <t>Pacific Institute series on forensic psychology</t>
        </is>
      </c>
      <c r="R856" t="inlineStr">
        <is>
          <t xml:space="preserve">HM </t>
        </is>
      </c>
      <c r="S856" t="n">
        <v>3</v>
      </c>
      <c r="T856" t="n">
        <v>3</v>
      </c>
      <c r="U856" t="inlineStr">
        <is>
          <t>2006-06-07</t>
        </is>
      </c>
      <c r="V856" t="inlineStr">
        <is>
          <t>2006-06-07</t>
        </is>
      </c>
      <c r="W856" t="inlineStr">
        <is>
          <t>2001-05-02</t>
        </is>
      </c>
      <c r="X856" t="inlineStr">
        <is>
          <t>2001-05-02</t>
        </is>
      </c>
      <c r="Y856" t="n">
        <v>408</v>
      </c>
      <c r="Z856" t="n">
        <v>353</v>
      </c>
      <c r="AA856" t="n">
        <v>401</v>
      </c>
      <c r="AB856" t="n">
        <v>3</v>
      </c>
      <c r="AC856" t="n">
        <v>3</v>
      </c>
      <c r="AD856" t="n">
        <v>16</v>
      </c>
      <c r="AE856" t="n">
        <v>17</v>
      </c>
      <c r="AF856" t="n">
        <v>6</v>
      </c>
      <c r="AG856" t="n">
        <v>6</v>
      </c>
      <c r="AH856" t="n">
        <v>5</v>
      </c>
      <c r="AI856" t="n">
        <v>5</v>
      </c>
      <c r="AJ856" t="n">
        <v>7</v>
      </c>
      <c r="AK856" t="n">
        <v>8</v>
      </c>
      <c r="AL856" t="n">
        <v>2</v>
      </c>
      <c r="AM856" t="n">
        <v>2</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HYPERLINK("https://creighton-primo.hosted.exlibrisgroup.com/primo-explore/search?tab=default_tab&amp;search_scope=EVERYTHING&amp;vid=01CRU&amp;lang=en_US&amp;offset=0&amp;query=any,contains,991003499419702656","Catalog Record")</f>
        <v/>
      </c>
      <c r="AT856">
        <f>HYPERLINK("http://www.worldcat.org/oclc/43798468","WorldCat Record")</f>
        <v/>
      </c>
      <c r="AU856" t="inlineStr">
        <is>
          <t>863470656:eng</t>
        </is>
      </c>
      <c r="AV856" t="inlineStr">
        <is>
          <t>43798468</t>
        </is>
      </c>
      <c r="AW856" t="inlineStr">
        <is>
          <t>991003499419702656</t>
        </is>
      </c>
      <c r="AX856" t="inlineStr">
        <is>
          <t>991003499419702656</t>
        </is>
      </c>
      <c r="AY856" t="inlineStr">
        <is>
          <t>2259499190002656</t>
        </is>
      </c>
      <c r="AZ856" t="inlineStr">
        <is>
          <t>BOOK</t>
        </is>
      </c>
      <c r="BB856" t="inlineStr">
        <is>
          <t>9780849322655</t>
        </is>
      </c>
      <c r="BC856" t="inlineStr">
        <is>
          <t>32285004315742</t>
        </is>
      </c>
      <c r="BD856" t="inlineStr">
        <is>
          <t>893787386</t>
        </is>
      </c>
    </row>
    <row r="857">
      <c r="A857" t="inlineStr">
        <is>
          <t>No</t>
        </is>
      </c>
      <c r="B857" t="inlineStr">
        <is>
          <t>HM891 .H37 2006</t>
        </is>
      </c>
      <c r="C857" t="inlineStr">
        <is>
          <t>0                      HM 0891000H  37          2006</t>
        </is>
      </c>
      <c r="D857" t="inlineStr">
        <is>
          <t>Science and social inequality : feminist and postcolonial issues / Sandra Harding.</t>
        </is>
      </c>
      <c r="F857" t="inlineStr">
        <is>
          <t>No</t>
        </is>
      </c>
      <c r="G857" t="inlineStr">
        <is>
          <t>1</t>
        </is>
      </c>
      <c r="H857" t="inlineStr">
        <is>
          <t>No</t>
        </is>
      </c>
      <c r="I857" t="inlineStr">
        <is>
          <t>No</t>
        </is>
      </c>
      <c r="J857" t="inlineStr">
        <is>
          <t>0</t>
        </is>
      </c>
      <c r="K857" t="inlineStr">
        <is>
          <t>Harding, Sandra.</t>
        </is>
      </c>
      <c r="L857" t="inlineStr">
        <is>
          <t>Urbana : University of Illinois Press, c2006.</t>
        </is>
      </c>
      <c r="M857" t="inlineStr">
        <is>
          <t>2006</t>
        </is>
      </c>
      <c r="O857" t="inlineStr">
        <is>
          <t>eng</t>
        </is>
      </c>
      <c r="P857" t="inlineStr">
        <is>
          <t>ilu</t>
        </is>
      </c>
      <c r="Q857" t="inlineStr">
        <is>
          <t>Race and gender in science studies</t>
        </is>
      </c>
      <c r="R857" t="inlineStr">
        <is>
          <t xml:space="preserve">HM </t>
        </is>
      </c>
      <c r="S857" t="n">
        <v>5</v>
      </c>
      <c r="T857" t="n">
        <v>5</v>
      </c>
      <c r="U857" t="inlineStr">
        <is>
          <t>2008-04-27</t>
        </is>
      </c>
      <c r="V857" t="inlineStr">
        <is>
          <t>2008-04-27</t>
        </is>
      </c>
      <c r="W857" t="inlineStr">
        <is>
          <t>2006-05-09</t>
        </is>
      </c>
      <c r="X857" t="inlineStr">
        <is>
          <t>2006-05-09</t>
        </is>
      </c>
      <c r="Y857" t="n">
        <v>384</v>
      </c>
      <c r="Z857" t="n">
        <v>279</v>
      </c>
      <c r="AA857" t="n">
        <v>282</v>
      </c>
      <c r="AB857" t="n">
        <v>2</v>
      </c>
      <c r="AC857" t="n">
        <v>2</v>
      </c>
      <c r="AD857" t="n">
        <v>13</v>
      </c>
      <c r="AE857" t="n">
        <v>13</v>
      </c>
      <c r="AF857" t="n">
        <v>3</v>
      </c>
      <c r="AG857" t="n">
        <v>3</v>
      </c>
      <c r="AH857" t="n">
        <v>6</v>
      </c>
      <c r="AI857" t="n">
        <v>6</v>
      </c>
      <c r="AJ857" t="n">
        <v>6</v>
      </c>
      <c r="AK857" t="n">
        <v>6</v>
      </c>
      <c r="AL857" t="n">
        <v>1</v>
      </c>
      <c r="AM857" t="n">
        <v>1</v>
      </c>
      <c r="AN857" t="n">
        <v>0</v>
      </c>
      <c r="AO857" t="n">
        <v>0</v>
      </c>
      <c r="AP857" t="inlineStr">
        <is>
          <t>No</t>
        </is>
      </c>
      <c r="AQ857" t="inlineStr">
        <is>
          <t>Yes</t>
        </is>
      </c>
      <c r="AR857">
        <f>HYPERLINK("http://catalog.hathitrust.org/Record/005211361","HathiTrust Record")</f>
        <v/>
      </c>
      <c r="AS857">
        <f>HYPERLINK("https://creighton-primo.hosted.exlibrisgroup.com/primo-explore/search?tab=default_tab&amp;search_scope=EVERYTHING&amp;vid=01CRU&amp;lang=en_US&amp;offset=0&amp;query=any,contains,991004726859702656","Catalog Record")</f>
        <v/>
      </c>
      <c r="AT857">
        <f>HYPERLINK("http://www.worldcat.org/oclc/60375621","WorldCat Record")</f>
        <v/>
      </c>
      <c r="AU857" t="inlineStr">
        <is>
          <t>315013623:eng</t>
        </is>
      </c>
      <c r="AV857" t="inlineStr">
        <is>
          <t>60375621</t>
        </is>
      </c>
      <c r="AW857" t="inlineStr">
        <is>
          <t>991004726859702656</t>
        </is>
      </c>
      <c r="AX857" t="inlineStr">
        <is>
          <t>991004726859702656</t>
        </is>
      </c>
      <c r="AY857" t="inlineStr">
        <is>
          <t>2270559790002656</t>
        </is>
      </c>
      <c r="AZ857" t="inlineStr">
        <is>
          <t>BOOK</t>
        </is>
      </c>
      <c r="BB857" t="inlineStr">
        <is>
          <t>9780252030604</t>
        </is>
      </c>
      <c r="BC857" t="inlineStr">
        <is>
          <t>32285005185839</t>
        </is>
      </c>
      <c r="BD857" t="inlineStr">
        <is>
          <t>893229761</t>
        </is>
      </c>
    </row>
    <row r="858">
      <c r="A858" t="inlineStr">
        <is>
          <t>No</t>
        </is>
      </c>
      <c r="B858" t="inlineStr">
        <is>
          <t>HM891 .T48 2002</t>
        </is>
      </c>
      <c r="C858" t="inlineStr">
        <is>
          <t>0                      HM 0891000T  48          2002</t>
        </is>
      </c>
      <c r="D858" t="inlineStr">
        <is>
          <t>Social progress and sustainable development / Neil Thin.</t>
        </is>
      </c>
      <c r="F858" t="inlineStr">
        <is>
          <t>No</t>
        </is>
      </c>
      <c r="G858" t="inlineStr">
        <is>
          <t>1</t>
        </is>
      </c>
      <c r="H858" t="inlineStr">
        <is>
          <t>No</t>
        </is>
      </c>
      <c r="I858" t="inlineStr">
        <is>
          <t>No</t>
        </is>
      </c>
      <c r="J858" t="inlineStr">
        <is>
          <t>0</t>
        </is>
      </c>
      <c r="K858" t="inlineStr">
        <is>
          <t>Thin, Neil.</t>
        </is>
      </c>
      <c r="L858" t="inlineStr">
        <is>
          <t>Bloomfield, CT : Kumarian Press, 2002.</t>
        </is>
      </c>
      <c r="M858" t="inlineStr">
        <is>
          <t>2002</t>
        </is>
      </c>
      <c r="O858" t="inlineStr">
        <is>
          <t>eng</t>
        </is>
      </c>
      <c r="P858" t="inlineStr">
        <is>
          <t>ctu</t>
        </is>
      </c>
      <c r="R858" t="inlineStr">
        <is>
          <t xml:space="preserve">HM </t>
        </is>
      </c>
      <c r="S858" t="n">
        <v>2</v>
      </c>
      <c r="T858" t="n">
        <v>2</v>
      </c>
      <c r="U858" t="inlineStr">
        <is>
          <t>2006-12-11</t>
        </is>
      </c>
      <c r="V858" t="inlineStr">
        <is>
          <t>2006-12-11</t>
        </is>
      </c>
      <c r="W858" t="inlineStr">
        <is>
          <t>2004-03-01</t>
        </is>
      </c>
      <c r="X858" t="inlineStr">
        <is>
          <t>2004-03-01</t>
        </is>
      </c>
      <c r="Y858" t="n">
        <v>242</v>
      </c>
      <c r="Z858" t="n">
        <v>193</v>
      </c>
      <c r="AA858" t="n">
        <v>202</v>
      </c>
      <c r="AB858" t="n">
        <v>1</v>
      </c>
      <c r="AC858" t="n">
        <v>1</v>
      </c>
      <c r="AD858" t="n">
        <v>13</v>
      </c>
      <c r="AE858" t="n">
        <v>13</v>
      </c>
      <c r="AF858" t="n">
        <v>3</v>
      </c>
      <c r="AG858" t="n">
        <v>3</v>
      </c>
      <c r="AH858" t="n">
        <v>5</v>
      </c>
      <c r="AI858" t="n">
        <v>5</v>
      </c>
      <c r="AJ858" t="n">
        <v>9</v>
      </c>
      <c r="AK858" t="n">
        <v>9</v>
      </c>
      <c r="AL858" t="n">
        <v>0</v>
      </c>
      <c r="AM858" t="n">
        <v>0</v>
      </c>
      <c r="AN858" t="n">
        <v>0</v>
      </c>
      <c r="AO858" t="n">
        <v>0</v>
      </c>
      <c r="AP858" t="inlineStr">
        <is>
          <t>No</t>
        </is>
      </c>
      <c r="AQ858" t="inlineStr">
        <is>
          <t>Yes</t>
        </is>
      </c>
      <c r="AR858">
        <f>HYPERLINK("http://catalog.hathitrust.org/Record/004285699","HathiTrust Record")</f>
        <v/>
      </c>
      <c r="AS858">
        <f>HYPERLINK("https://creighton-primo.hosted.exlibrisgroup.com/primo-explore/search?tab=default_tab&amp;search_scope=EVERYTHING&amp;vid=01CRU&amp;lang=en_US&amp;offset=0&amp;query=any,contains,991004236039702656","Catalog Record")</f>
        <v/>
      </c>
      <c r="AT858">
        <f>HYPERLINK("http://www.worldcat.org/oclc/50006534","WorldCat Record")</f>
        <v/>
      </c>
      <c r="AU858" t="inlineStr">
        <is>
          <t>1050414:eng</t>
        </is>
      </c>
      <c r="AV858" t="inlineStr">
        <is>
          <t>50006534</t>
        </is>
      </c>
      <c r="AW858" t="inlineStr">
        <is>
          <t>991004236039702656</t>
        </is>
      </c>
      <c r="AX858" t="inlineStr">
        <is>
          <t>991004236039702656</t>
        </is>
      </c>
      <c r="AY858" t="inlineStr">
        <is>
          <t>2270316780002656</t>
        </is>
      </c>
      <c r="AZ858" t="inlineStr">
        <is>
          <t>BOOK</t>
        </is>
      </c>
      <c r="BB858" t="inlineStr">
        <is>
          <t>9781565491571</t>
        </is>
      </c>
      <c r="BC858" t="inlineStr">
        <is>
          <t>32285004891239</t>
        </is>
      </c>
      <c r="BD858" t="inlineStr">
        <is>
          <t>893442373</t>
        </is>
      </c>
    </row>
    <row r="859">
      <c r="A859" t="inlineStr">
        <is>
          <t>No</t>
        </is>
      </c>
      <c r="B859" t="inlineStr">
        <is>
          <t>HM901 .C67 2004</t>
        </is>
      </c>
      <c r="C859" t="inlineStr">
        <is>
          <t>0                      HM 0901000C  67          2004</t>
        </is>
      </c>
      <c r="D859" t="inlineStr">
        <is>
          <t>Futuring : the exploration of the future / by Edward Cornish.</t>
        </is>
      </c>
      <c r="F859" t="inlineStr">
        <is>
          <t>No</t>
        </is>
      </c>
      <c r="G859" t="inlineStr">
        <is>
          <t>1</t>
        </is>
      </c>
      <c r="H859" t="inlineStr">
        <is>
          <t>No</t>
        </is>
      </c>
      <c r="I859" t="inlineStr">
        <is>
          <t>No</t>
        </is>
      </c>
      <c r="J859" t="inlineStr">
        <is>
          <t>0</t>
        </is>
      </c>
      <c r="K859" t="inlineStr">
        <is>
          <t>Cornish, Edward, 1927-2019.</t>
        </is>
      </c>
      <c r="L859" t="inlineStr">
        <is>
          <t>Bethesda, Md. : World Future Society, c2004.</t>
        </is>
      </c>
      <c r="M859" t="inlineStr">
        <is>
          <t>2004</t>
        </is>
      </c>
      <c r="O859" t="inlineStr">
        <is>
          <t>eng</t>
        </is>
      </c>
      <c r="P859" t="inlineStr">
        <is>
          <t>mdu</t>
        </is>
      </c>
      <c r="R859" t="inlineStr">
        <is>
          <t xml:space="preserve">HM </t>
        </is>
      </c>
      <c r="S859" t="n">
        <v>1</v>
      </c>
      <c r="T859" t="n">
        <v>1</v>
      </c>
      <c r="U859" t="inlineStr">
        <is>
          <t>2004-11-15</t>
        </is>
      </c>
      <c r="V859" t="inlineStr">
        <is>
          <t>2004-11-15</t>
        </is>
      </c>
      <c r="W859" t="inlineStr">
        <is>
          <t>2004-11-15</t>
        </is>
      </c>
      <c r="X859" t="inlineStr">
        <is>
          <t>2004-11-15</t>
        </is>
      </c>
      <c r="Y859" t="n">
        <v>327</v>
      </c>
      <c r="Z859" t="n">
        <v>278</v>
      </c>
      <c r="AA859" t="n">
        <v>307</v>
      </c>
      <c r="AB859" t="n">
        <v>3</v>
      </c>
      <c r="AC859" t="n">
        <v>4</v>
      </c>
      <c r="AD859" t="n">
        <v>10</v>
      </c>
      <c r="AE859" t="n">
        <v>12</v>
      </c>
      <c r="AF859" t="n">
        <v>5</v>
      </c>
      <c r="AG859" t="n">
        <v>6</v>
      </c>
      <c r="AH859" t="n">
        <v>4</v>
      </c>
      <c r="AI859" t="n">
        <v>4</v>
      </c>
      <c r="AJ859" t="n">
        <v>4</v>
      </c>
      <c r="AK859" t="n">
        <v>4</v>
      </c>
      <c r="AL859" t="n">
        <v>2</v>
      </c>
      <c r="AM859" t="n">
        <v>3</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HYPERLINK("https://creighton-primo.hosted.exlibrisgroup.com/primo-explore/search?tab=default_tab&amp;search_scope=EVERYTHING&amp;vid=01CRU&amp;lang=en_US&amp;offset=0&amp;query=any,contains,991004394339702656","Catalog Record")</f>
        <v/>
      </c>
      <c r="AT859">
        <f>HYPERLINK("http://www.worldcat.org/oclc/54024013","WorldCat Record")</f>
        <v/>
      </c>
      <c r="AU859" t="inlineStr">
        <is>
          <t>315229727:eng</t>
        </is>
      </c>
      <c r="AV859" t="inlineStr">
        <is>
          <t>54024013</t>
        </is>
      </c>
      <c r="AW859" t="inlineStr">
        <is>
          <t>991004394339702656</t>
        </is>
      </c>
      <c r="AX859" t="inlineStr">
        <is>
          <t>991004394339702656</t>
        </is>
      </c>
      <c r="AY859" t="inlineStr">
        <is>
          <t>2269020290002656</t>
        </is>
      </c>
      <c r="AZ859" t="inlineStr">
        <is>
          <t>BOOK</t>
        </is>
      </c>
      <c r="BB859" t="inlineStr">
        <is>
          <t>9780930242572</t>
        </is>
      </c>
      <c r="BC859" t="inlineStr">
        <is>
          <t>32285005010060</t>
        </is>
      </c>
      <c r="BD859" t="inlineStr">
        <is>
          <t>893417562</t>
        </is>
      </c>
    </row>
    <row r="860">
      <c r="A860" t="inlineStr">
        <is>
          <t>No</t>
        </is>
      </c>
      <c r="B860" t="inlineStr">
        <is>
          <t>HM901 .N35 2006</t>
        </is>
      </c>
      <c r="C860" t="inlineStr">
        <is>
          <t>0                      HM 0901000N  35          2006</t>
        </is>
      </c>
      <c r="D860" t="inlineStr">
        <is>
          <t>Mind set! : reset your thinking and see the future / John Naisbitt.</t>
        </is>
      </c>
      <c r="F860" t="inlineStr">
        <is>
          <t>No</t>
        </is>
      </c>
      <c r="G860" t="inlineStr">
        <is>
          <t>1</t>
        </is>
      </c>
      <c r="H860" t="inlineStr">
        <is>
          <t>No</t>
        </is>
      </c>
      <c r="I860" t="inlineStr">
        <is>
          <t>No</t>
        </is>
      </c>
      <c r="J860" t="inlineStr">
        <is>
          <t>0</t>
        </is>
      </c>
      <c r="K860" t="inlineStr">
        <is>
          <t>Naisbitt, John.</t>
        </is>
      </c>
      <c r="L860" t="inlineStr">
        <is>
          <t>New York : Collins, 2006.</t>
        </is>
      </c>
      <c r="M860" t="inlineStr">
        <is>
          <t>2006</t>
        </is>
      </c>
      <c r="N860" t="inlineStr">
        <is>
          <t>1st ed.</t>
        </is>
      </c>
      <c r="O860" t="inlineStr">
        <is>
          <t>eng</t>
        </is>
      </c>
      <c r="P860" t="inlineStr">
        <is>
          <t>nyu</t>
        </is>
      </c>
      <c r="R860" t="inlineStr">
        <is>
          <t xml:space="preserve">HM </t>
        </is>
      </c>
      <c r="S860" t="n">
        <v>2</v>
      </c>
      <c r="T860" t="n">
        <v>2</v>
      </c>
      <c r="U860" t="inlineStr">
        <is>
          <t>2010-10-17</t>
        </is>
      </c>
      <c r="V860" t="inlineStr">
        <is>
          <t>2010-10-17</t>
        </is>
      </c>
      <c r="W860" t="inlineStr">
        <is>
          <t>2007-01-23</t>
        </is>
      </c>
      <c r="X860" t="inlineStr">
        <is>
          <t>2007-01-23</t>
        </is>
      </c>
      <c r="Y860" t="n">
        <v>937</v>
      </c>
      <c r="Z860" t="n">
        <v>839</v>
      </c>
      <c r="AA860" t="n">
        <v>878</v>
      </c>
      <c r="AB860" t="n">
        <v>7</v>
      </c>
      <c r="AC860" t="n">
        <v>7</v>
      </c>
      <c r="AD860" t="n">
        <v>20</v>
      </c>
      <c r="AE860" t="n">
        <v>21</v>
      </c>
      <c r="AF860" t="n">
        <v>4</v>
      </c>
      <c r="AG860" t="n">
        <v>4</v>
      </c>
      <c r="AH860" t="n">
        <v>4</v>
      </c>
      <c r="AI860" t="n">
        <v>5</v>
      </c>
      <c r="AJ860" t="n">
        <v>11</v>
      </c>
      <c r="AK860" t="n">
        <v>11</v>
      </c>
      <c r="AL860" t="n">
        <v>4</v>
      </c>
      <c r="AM860" t="n">
        <v>4</v>
      </c>
      <c r="AN860" t="n">
        <v>0</v>
      </c>
      <c r="AO860" t="n">
        <v>0</v>
      </c>
      <c r="AP860" t="inlineStr">
        <is>
          <t>No</t>
        </is>
      </c>
      <c r="AQ860" t="inlineStr">
        <is>
          <t>Yes</t>
        </is>
      </c>
      <c r="AR860">
        <f>HYPERLINK("http://catalog.hathitrust.org/Record/005388990","HathiTrust Record")</f>
        <v/>
      </c>
      <c r="AS860">
        <f>HYPERLINK("https://creighton-primo.hosted.exlibrisgroup.com/primo-explore/search?tab=default_tab&amp;search_scope=EVERYTHING&amp;vid=01CRU&amp;lang=en_US&amp;offset=0&amp;query=any,contains,991005011549702656","Catalog Record")</f>
        <v/>
      </c>
      <c r="AT860">
        <f>HYPERLINK("http://www.worldcat.org/oclc/67922693","WorldCat Record")</f>
        <v/>
      </c>
      <c r="AU860" t="inlineStr">
        <is>
          <t>3943714621:eng</t>
        </is>
      </c>
      <c r="AV860" t="inlineStr">
        <is>
          <t>67922693</t>
        </is>
      </c>
      <c r="AW860" t="inlineStr">
        <is>
          <t>991005011549702656</t>
        </is>
      </c>
      <c r="AX860" t="inlineStr">
        <is>
          <t>991005011549702656</t>
        </is>
      </c>
      <c r="AY860" t="inlineStr">
        <is>
          <t>2257634280002656</t>
        </is>
      </c>
      <c r="AZ860" t="inlineStr">
        <is>
          <t>BOOK</t>
        </is>
      </c>
      <c r="BB860" t="inlineStr">
        <is>
          <t>9780061136887</t>
        </is>
      </c>
      <c r="BC860" t="inlineStr">
        <is>
          <t>32285005272538</t>
        </is>
      </c>
      <c r="BD860" t="inlineStr">
        <is>
          <t>893533028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