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D661"/>
  <sheetViews>
    <sheetView workbookViewId="0">
      <selection activeCell="A1" sqref="A1"/>
    </sheetView>
  </sheetViews>
  <sheetFormatPr baseColWidth="8" defaultRowHeight="15"/>
  <sheetData>
    <row r="1">
      <c r="A1" t="inlineStr">
        <is>
          <t>Keep in Collection? (Yes/No)</t>
        </is>
      </c>
      <c r="B1" t="inlineStr">
        <is>
          <t>Display Call Number</t>
        </is>
      </c>
      <c r="C1" t="inlineStr">
        <is>
          <t>Display Call Number Normalized</t>
        </is>
      </c>
      <c r="D1" t="inlineStr">
        <is>
          <t>Title</t>
        </is>
      </c>
      <c r="E1" t="inlineStr">
        <is>
          <t>Enumeration</t>
        </is>
      </c>
      <c r="F1" t="inlineStr">
        <is>
          <t>Possible Multi-Volume Set</t>
        </is>
      </c>
      <c r="G1" t="inlineStr">
        <is>
          <t>Copy Number</t>
        </is>
      </c>
      <c r="H1" t="inlineStr">
        <is>
          <t>Possible Duplicate</t>
        </is>
      </c>
      <c r="I1" t="inlineStr">
        <is>
          <t>Multi-Edition Title</t>
        </is>
      </c>
      <c r="J1" t="inlineStr">
        <is>
          <t>Number of Related Ebooks</t>
        </is>
      </c>
      <c r="K1" t="inlineStr">
        <is>
          <t>Author</t>
        </is>
      </c>
      <c r="L1" t="inlineStr">
        <is>
          <t>Publisher</t>
        </is>
      </c>
      <c r="M1" t="inlineStr">
        <is>
          <t>Publication Year</t>
        </is>
      </c>
      <c r="N1" t="inlineStr">
        <is>
          <t>Edition</t>
        </is>
      </c>
      <c r="O1" t="inlineStr">
        <is>
          <t>Primary Language</t>
        </is>
      </c>
      <c r="P1" t="inlineStr">
        <is>
          <t>Place of Publication</t>
        </is>
      </c>
      <c r="Q1" t="inlineStr">
        <is>
          <t>Series</t>
        </is>
      </c>
      <c r="R1" t="inlineStr">
        <is>
          <t>LC Subclass</t>
        </is>
      </c>
      <c r="S1" t="inlineStr">
        <is>
          <t>Recorded Uses - Item</t>
        </is>
      </c>
      <c r="T1" t="inlineStr">
        <is>
          <t>Recorded Uses - Title</t>
        </is>
      </c>
      <c r="U1" t="inlineStr">
        <is>
          <t>Last Charge Date - Item</t>
        </is>
      </c>
      <c r="V1" t="inlineStr">
        <is>
          <t>Last Charge Date - Title</t>
        </is>
      </c>
      <c r="W1" t="inlineStr">
        <is>
          <t>Last Add Date - Item</t>
        </is>
      </c>
      <c r="X1" t="inlineStr">
        <is>
          <t>Last Add Date - Title</t>
        </is>
      </c>
      <c r="Y1" t="inlineStr">
        <is>
          <t>Global Holdings - Same Edition</t>
        </is>
      </c>
      <c r="Z1" t="inlineStr">
        <is>
          <t>US Holdings - Same Edition</t>
        </is>
      </c>
      <c r="AA1" t="inlineStr">
        <is>
          <t>US Holdings</t>
        </is>
      </c>
      <c r="AB1" t="inlineStr">
        <is>
          <t>Nebraska Holdings - Same Edition</t>
        </is>
      </c>
      <c r="AC1" t="inlineStr">
        <is>
          <t>Nebraska Holdings</t>
        </is>
      </c>
      <c r="AD1" t="inlineStr">
        <is>
          <t>All Comparator Library Holdings - Same Edition</t>
        </is>
      </c>
      <c r="AE1" t="inlineStr">
        <is>
          <t>All Comparator Library Holdings</t>
        </is>
      </c>
      <c r="AF1" t="inlineStr">
        <is>
          <t>Affinity Libraries - Same Edition</t>
        </is>
      </c>
      <c r="AG1" t="inlineStr">
        <is>
          <t>Affinity Libraries - Any Edition</t>
        </is>
      </c>
      <c r="AH1" t="inlineStr">
        <is>
          <t>Big East - Same Edition</t>
        </is>
      </c>
      <c r="AI1" t="inlineStr">
        <is>
          <t>Big East - Any Edition</t>
        </is>
      </c>
      <c r="AJ1" t="inlineStr">
        <is>
          <t>AJCU - Same Edition</t>
        </is>
      </c>
      <c r="AK1" t="inlineStr">
        <is>
          <t>AJCU - Any Edition</t>
        </is>
      </c>
      <c r="AL1" t="inlineStr">
        <is>
          <t>Nebraska Colleges &amp; Universities - Same Edition</t>
        </is>
      </c>
      <c r="AM1" t="inlineStr">
        <is>
          <t>Nebraska Colleges &amp; Universities - Any Edition</t>
        </is>
      </c>
      <c r="AN1" t="inlineStr">
        <is>
          <t>MALLCO - Same Edition</t>
        </is>
      </c>
      <c r="AO1" t="inlineStr">
        <is>
          <t>MALLCO - Any Edition</t>
        </is>
      </c>
      <c r="AP1" t="inlineStr">
        <is>
          <t>HathiTrust Public Domain</t>
        </is>
      </c>
      <c r="AQ1" t="inlineStr">
        <is>
          <t>HathiTrust In Copyright</t>
        </is>
      </c>
      <c r="AR1" t="inlineStr">
        <is>
          <t>HathiTrust URL</t>
        </is>
      </c>
      <c r="AS1" t="inlineStr">
        <is>
          <t>OPAC URL</t>
        </is>
      </c>
      <c r="AT1" t="inlineStr">
        <is>
          <t>WorldCat URL</t>
        </is>
      </c>
      <c r="AU1" t="inlineStr">
        <is>
          <t>OCLC Work ID</t>
        </is>
      </c>
      <c r="AV1" t="inlineStr">
        <is>
          <t>WorldCat OCLC Number</t>
        </is>
      </c>
      <c r="AW1" t="inlineStr">
        <is>
          <t>Bib Record Number</t>
        </is>
      </c>
      <c r="AX1" t="inlineStr">
        <is>
          <t>Bib Control Number</t>
        </is>
      </c>
      <c r="AY1" t="inlineStr">
        <is>
          <t>Item Control Number</t>
        </is>
      </c>
      <c r="AZ1" t="inlineStr">
        <is>
          <t>Item Type Code</t>
        </is>
      </c>
      <c r="BA1" t="inlineStr">
        <is>
          <t>Item Status Code</t>
        </is>
      </c>
      <c r="BB1" t="inlineStr">
        <is>
          <t>ISBN</t>
        </is>
      </c>
      <c r="BC1" t="inlineStr">
        <is>
          <t>Barcode</t>
        </is>
      </c>
      <c r="BD1" t="inlineStr">
        <is>
          <t>SCS Item ID</t>
        </is>
      </c>
    </row>
    <row r="2">
      <c r="A2" t="inlineStr">
        <is>
          <t>No</t>
        </is>
      </c>
      <c r="B2" t="inlineStr">
        <is>
          <t>HN10.R7 B63</t>
        </is>
      </c>
      <c r="C2" t="inlineStr">
        <is>
          <t>0                      HN 0010000R  7                  B  63</t>
        </is>
      </c>
      <c r="D2" t="inlineStr">
        <is>
          <t>Private morality in Greece and Rome : some historical aspects / by W. den Boer.</t>
        </is>
      </c>
      <c r="F2" t="inlineStr">
        <is>
          <t>No</t>
        </is>
      </c>
      <c r="G2" t="inlineStr">
        <is>
          <t>1</t>
        </is>
      </c>
      <c r="H2" t="inlineStr">
        <is>
          <t>No</t>
        </is>
      </c>
      <c r="I2" t="inlineStr">
        <is>
          <t>No</t>
        </is>
      </c>
      <c r="J2" t="inlineStr">
        <is>
          <t>0</t>
        </is>
      </c>
      <c r="K2" t="inlineStr">
        <is>
          <t>Boer, W. den (Willem), 1914-1993.</t>
        </is>
      </c>
      <c r="L2" t="inlineStr">
        <is>
          <t>Leiden : Brill, 1979.</t>
        </is>
      </c>
      <c r="M2" t="inlineStr">
        <is>
          <t>1979</t>
        </is>
      </c>
      <c r="O2" t="inlineStr">
        <is>
          <t>eng</t>
        </is>
      </c>
      <c r="P2" t="inlineStr">
        <is>
          <t xml:space="preserve">ne </t>
        </is>
      </c>
      <c r="Q2" t="inlineStr">
        <is>
          <t>Mnemosyne, bibliotheca classica Batava. Supplementum ; 57</t>
        </is>
      </c>
      <c r="R2" t="inlineStr">
        <is>
          <t xml:space="preserve">HN </t>
        </is>
      </c>
      <c r="S2" t="n">
        <v>2</v>
      </c>
      <c r="T2" t="n">
        <v>2</v>
      </c>
      <c r="U2" t="inlineStr">
        <is>
          <t>2000-10-11</t>
        </is>
      </c>
      <c r="V2" t="inlineStr">
        <is>
          <t>2000-10-11</t>
        </is>
      </c>
      <c r="W2" t="inlineStr">
        <is>
          <t>1992-09-21</t>
        </is>
      </c>
      <c r="X2" t="inlineStr">
        <is>
          <t>1992-09-21</t>
        </is>
      </c>
      <c r="Y2" t="n">
        <v>389</v>
      </c>
      <c r="Z2" t="n">
        <v>249</v>
      </c>
      <c r="AA2" t="n">
        <v>255</v>
      </c>
      <c r="AB2" t="n">
        <v>2</v>
      </c>
      <c r="AC2" t="n">
        <v>2</v>
      </c>
      <c r="AD2" t="n">
        <v>14</v>
      </c>
      <c r="AE2" t="n">
        <v>14</v>
      </c>
      <c r="AF2" t="n">
        <v>3</v>
      </c>
      <c r="AG2" t="n">
        <v>3</v>
      </c>
      <c r="AH2" t="n">
        <v>5</v>
      </c>
      <c r="AI2" t="n">
        <v>5</v>
      </c>
      <c r="AJ2" t="n">
        <v>10</v>
      </c>
      <c r="AK2" t="n">
        <v>10</v>
      </c>
      <c r="AL2" t="n">
        <v>1</v>
      </c>
      <c r="AM2" t="n">
        <v>1</v>
      </c>
      <c r="AN2" t="n">
        <v>0</v>
      </c>
      <c r="AO2" t="n">
        <v>0</v>
      </c>
      <c r="AP2" t="inlineStr">
        <is>
          <t>No</t>
        </is>
      </c>
      <c r="AQ2" t="inlineStr">
        <is>
          <t>No</t>
        </is>
      </c>
      <c r="AS2">
        <f>HYPERLINK("https://creighton-primo.hosted.exlibrisgroup.com/primo-explore/search?tab=default_tab&amp;search_scope=EVERYTHING&amp;vid=01CRU&amp;lang=en_US&amp;offset=0&amp;query=any,contains,991004876469702656","Catalog Record")</f>
        <v/>
      </c>
      <c r="AT2">
        <f>HYPERLINK("http://www.worldcat.org/oclc/5793729","WorldCat Record")</f>
        <v/>
      </c>
      <c r="AU2" t="inlineStr">
        <is>
          <t>918385661:eng</t>
        </is>
      </c>
      <c r="AV2" t="inlineStr">
        <is>
          <t>5793729</t>
        </is>
      </c>
      <c r="AW2" t="inlineStr">
        <is>
          <t>991004876469702656</t>
        </is>
      </c>
      <c r="AX2" t="inlineStr">
        <is>
          <t>991004876469702656</t>
        </is>
      </c>
      <c r="AY2" t="inlineStr">
        <is>
          <t>2269571010002656</t>
        </is>
      </c>
      <c r="AZ2" t="inlineStr">
        <is>
          <t>BOOK</t>
        </is>
      </c>
      <c r="BB2" t="inlineStr">
        <is>
          <t>9789004059764</t>
        </is>
      </c>
      <c r="BC2" t="inlineStr">
        <is>
          <t>32285001269108</t>
        </is>
      </c>
      <c r="BD2" t="inlineStr">
        <is>
          <t>893513766</t>
        </is>
      </c>
    </row>
    <row r="3">
      <c r="A3" t="inlineStr">
        <is>
          <t>No</t>
        </is>
      </c>
      <c r="B3" t="inlineStr">
        <is>
          <t>HN10.R7 B7 1972</t>
        </is>
      </c>
      <c r="C3" t="inlineStr">
        <is>
          <t>0                      HN 0010000R  7                  B  7           1972</t>
        </is>
      </c>
      <c r="D3" t="inlineStr">
        <is>
          <t>Social conflicts in the Roman Republic [by] P. A. Brunt.</t>
        </is>
      </c>
      <c r="F3" t="inlineStr">
        <is>
          <t>No</t>
        </is>
      </c>
      <c r="G3" t="inlineStr">
        <is>
          <t>1</t>
        </is>
      </c>
      <c r="H3" t="inlineStr">
        <is>
          <t>No</t>
        </is>
      </c>
      <c r="I3" t="inlineStr">
        <is>
          <t>No</t>
        </is>
      </c>
      <c r="J3" t="inlineStr">
        <is>
          <t>0</t>
        </is>
      </c>
      <c r="K3" t="inlineStr">
        <is>
          <t>Brunt, P. A.</t>
        </is>
      </c>
      <c r="L3" t="inlineStr">
        <is>
          <t>New York, Norton [1972, c1971]</t>
        </is>
      </c>
      <c r="M3" t="inlineStr">
        <is>
          <t>1972</t>
        </is>
      </c>
      <c r="O3" t="inlineStr">
        <is>
          <t>eng</t>
        </is>
      </c>
      <c r="P3" t="inlineStr">
        <is>
          <t>nyu</t>
        </is>
      </c>
      <c r="Q3" t="inlineStr">
        <is>
          <t>Ancient culture and society</t>
        </is>
      </c>
      <c r="R3" t="inlineStr">
        <is>
          <t xml:space="preserve">HN </t>
        </is>
      </c>
      <c r="S3" t="n">
        <v>7</v>
      </c>
      <c r="T3" t="n">
        <v>7</v>
      </c>
      <c r="U3" t="inlineStr">
        <is>
          <t>2008-02-01</t>
        </is>
      </c>
      <c r="V3" t="inlineStr">
        <is>
          <t>2008-02-01</t>
        </is>
      </c>
      <c r="W3" t="inlineStr">
        <is>
          <t>1997-08-04</t>
        </is>
      </c>
      <c r="X3" t="inlineStr">
        <is>
          <t>1997-08-04</t>
        </is>
      </c>
      <c r="Y3" t="n">
        <v>417</v>
      </c>
      <c r="Z3" t="n">
        <v>384</v>
      </c>
      <c r="AA3" t="n">
        <v>601</v>
      </c>
      <c r="AB3" t="n">
        <v>2</v>
      </c>
      <c r="AC3" t="n">
        <v>4</v>
      </c>
      <c r="AD3" t="n">
        <v>14</v>
      </c>
      <c r="AE3" t="n">
        <v>23</v>
      </c>
      <c r="AF3" t="n">
        <v>6</v>
      </c>
      <c r="AG3" t="n">
        <v>8</v>
      </c>
      <c r="AH3" t="n">
        <v>4</v>
      </c>
      <c r="AI3" t="n">
        <v>5</v>
      </c>
      <c r="AJ3" t="n">
        <v>9</v>
      </c>
      <c r="AK3" t="n">
        <v>15</v>
      </c>
      <c r="AL3" t="n">
        <v>1</v>
      </c>
      <c r="AM3" t="n">
        <v>3</v>
      </c>
      <c r="AN3" t="n">
        <v>1</v>
      </c>
      <c r="AO3" t="n">
        <v>1</v>
      </c>
      <c r="AP3" t="inlineStr">
        <is>
          <t>No</t>
        </is>
      </c>
      <c r="AQ3" t="inlineStr">
        <is>
          <t>No</t>
        </is>
      </c>
      <c r="AS3">
        <f>HYPERLINK("https://creighton-primo.hosted.exlibrisgroup.com/primo-explore/search?tab=default_tab&amp;search_scope=EVERYTHING&amp;vid=01CRU&amp;lang=en_US&amp;offset=0&amp;query=any,contains,991002390179702656","Catalog Record")</f>
        <v/>
      </c>
      <c r="AT3">
        <f>HYPERLINK("http://www.worldcat.org/oclc/332036","WorldCat Record")</f>
        <v/>
      </c>
      <c r="AU3" t="inlineStr">
        <is>
          <t>572994:eng</t>
        </is>
      </c>
      <c r="AV3" t="inlineStr">
        <is>
          <t>332036</t>
        </is>
      </c>
      <c r="AW3" t="inlineStr">
        <is>
          <t>991002390179702656</t>
        </is>
      </c>
      <c r="AX3" t="inlineStr">
        <is>
          <t>991002390179702656</t>
        </is>
      </c>
      <c r="AY3" t="inlineStr">
        <is>
          <t>2258547010002656</t>
        </is>
      </c>
      <c r="AZ3" t="inlineStr">
        <is>
          <t>BOOK</t>
        </is>
      </c>
      <c r="BB3" t="inlineStr">
        <is>
          <t>9780393043358</t>
        </is>
      </c>
      <c r="BC3" t="inlineStr">
        <is>
          <t>32285003040309</t>
        </is>
      </c>
      <c r="BD3" t="inlineStr">
        <is>
          <t>893627107</t>
        </is>
      </c>
    </row>
    <row r="4">
      <c r="A4" t="inlineStr">
        <is>
          <t>No</t>
        </is>
      </c>
      <c r="B4" t="inlineStr">
        <is>
          <t>HN11 .M6413 1986</t>
        </is>
      </c>
      <c r="C4" t="inlineStr">
        <is>
          <t>0                      HN 0011000M  6413        1986</t>
        </is>
      </c>
      <c r="D4" t="inlineStr">
        <is>
          <t>The poor in the Middle Ages : an essay in social history / Michel Mollat ; translated by Arthur Goldhammer.</t>
        </is>
      </c>
      <c r="F4" t="inlineStr">
        <is>
          <t>No</t>
        </is>
      </c>
      <c r="G4" t="inlineStr">
        <is>
          <t>1</t>
        </is>
      </c>
      <c r="H4" t="inlineStr">
        <is>
          <t>No</t>
        </is>
      </c>
      <c r="I4" t="inlineStr">
        <is>
          <t>No</t>
        </is>
      </c>
      <c r="J4" t="inlineStr">
        <is>
          <t>0</t>
        </is>
      </c>
      <c r="K4" t="inlineStr">
        <is>
          <t>Mollat, Michel.</t>
        </is>
      </c>
      <c r="L4" t="inlineStr">
        <is>
          <t>New Haven : Yale University Press, c1986.</t>
        </is>
      </c>
      <c r="M4" t="inlineStr">
        <is>
          <t>1986</t>
        </is>
      </c>
      <c r="O4" t="inlineStr">
        <is>
          <t>eng</t>
        </is>
      </c>
      <c r="P4" t="inlineStr">
        <is>
          <t>ctu</t>
        </is>
      </c>
      <c r="R4" t="inlineStr">
        <is>
          <t xml:space="preserve">HN </t>
        </is>
      </c>
      <c r="S4" t="n">
        <v>2</v>
      </c>
      <c r="T4" t="n">
        <v>2</v>
      </c>
      <c r="U4" t="inlineStr">
        <is>
          <t>2006-12-08</t>
        </is>
      </c>
      <c r="V4" t="inlineStr">
        <is>
          <t>2006-12-08</t>
        </is>
      </c>
      <c r="W4" t="inlineStr">
        <is>
          <t>1992-05-05</t>
        </is>
      </c>
      <c r="X4" t="inlineStr">
        <is>
          <t>1992-05-05</t>
        </is>
      </c>
      <c r="Y4" t="n">
        <v>972</v>
      </c>
      <c r="Z4" t="n">
        <v>791</v>
      </c>
      <c r="AA4" t="n">
        <v>792</v>
      </c>
      <c r="AB4" t="n">
        <v>6</v>
      </c>
      <c r="AC4" t="n">
        <v>6</v>
      </c>
      <c r="AD4" t="n">
        <v>40</v>
      </c>
      <c r="AE4" t="n">
        <v>40</v>
      </c>
      <c r="AF4" t="n">
        <v>14</v>
      </c>
      <c r="AG4" t="n">
        <v>14</v>
      </c>
      <c r="AH4" t="n">
        <v>11</v>
      </c>
      <c r="AI4" t="n">
        <v>11</v>
      </c>
      <c r="AJ4" t="n">
        <v>22</v>
      </c>
      <c r="AK4" t="n">
        <v>22</v>
      </c>
      <c r="AL4" t="n">
        <v>4</v>
      </c>
      <c r="AM4" t="n">
        <v>4</v>
      </c>
      <c r="AN4" t="n">
        <v>0</v>
      </c>
      <c r="AO4" t="n">
        <v>0</v>
      </c>
      <c r="AP4" t="inlineStr">
        <is>
          <t>No</t>
        </is>
      </c>
      <c r="AQ4" t="inlineStr">
        <is>
          <t>No</t>
        </is>
      </c>
      <c r="AS4">
        <f>HYPERLINK("https://creighton-primo.hosted.exlibrisgroup.com/primo-explore/search?tab=default_tab&amp;search_scope=EVERYTHING&amp;vid=01CRU&amp;lang=en_US&amp;offset=0&amp;query=any,contains,991000791129702656","Catalog Record")</f>
        <v/>
      </c>
      <c r="AT4">
        <f>HYPERLINK("http://www.worldcat.org/oclc/13157951","WorldCat Record")</f>
        <v/>
      </c>
      <c r="AU4" t="inlineStr">
        <is>
          <t>4494938242:eng</t>
        </is>
      </c>
      <c r="AV4" t="inlineStr">
        <is>
          <t>13157951</t>
        </is>
      </c>
      <c r="AW4" t="inlineStr">
        <is>
          <t>991000791129702656</t>
        </is>
      </c>
      <c r="AX4" t="inlineStr">
        <is>
          <t>991000791129702656</t>
        </is>
      </c>
      <c r="AY4" t="inlineStr">
        <is>
          <t>2264798240002656</t>
        </is>
      </c>
      <c r="AZ4" t="inlineStr">
        <is>
          <t>BOOK</t>
        </is>
      </c>
      <c r="BB4" t="inlineStr">
        <is>
          <t>9780300027891</t>
        </is>
      </c>
      <c r="BC4" t="inlineStr">
        <is>
          <t>32285001094589</t>
        </is>
      </c>
      <c r="BD4" t="inlineStr">
        <is>
          <t>893702437</t>
        </is>
      </c>
    </row>
    <row r="5">
      <c r="A5" t="inlineStr">
        <is>
          <t>No</t>
        </is>
      </c>
      <c r="B5" t="inlineStr">
        <is>
          <t>HN11 .P66 2004</t>
        </is>
      </c>
      <c r="C5" t="inlineStr">
        <is>
          <t>0                      HN 0011000P  66          2004</t>
        </is>
      </c>
      <c r="D5" t="inlineStr">
        <is>
          <t>Popular protest in late medieval Europe : Italy, France, and Flanders / selected sources translated and annotated by Samuel K. Cohn, Jr.</t>
        </is>
      </c>
      <c r="F5" t="inlineStr">
        <is>
          <t>No</t>
        </is>
      </c>
      <c r="G5" t="inlineStr">
        <is>
          <t>1</t>
        </is>
      </c>
      <c r="H5" t="inlineStr">
        <is>
          <t>No</t>
        </is>
      </c>
      <c r="I5" t="inlineStr">
        <is>
          <t>No</t>
        </is>
      </c>
      <c r="J5" t="inlineStr">
        <is>
          <t>0</t>
        </is>
      </c>
      <c r="L5" t="inlineStr">
        <is>
          <t>Manchester ; New York : Manchester University Press ; New York : Distributed exclusively in the USA by Palgrave, 2004.</t>
        </is>
      </c>
      <c r="M5" t="inlineStr">
        <is>
          <t>2004</t>
        </is>
      </c>
      <c r="O5" t="inlineStr">
        <is>
          <t>eng</t>
        </is>
      </c>
      <c r="P5" t="inlineStr">
        <is>
          <t>enk</t>
        </is>
      </c>
      <c r="Q5" t="inlineStr">
        <is>
          <t>Manchester medieval sources series</t>
        </is>
      </c>
      <c r="R5" t="inlineStr">
        <is>
          <t xml:space="preserve">HN </t>
        </is>
      </c>
      <c r="S5" t="n">
        <v>1</v>
      </c>
      <c r="T5" t="n">
        <v>1</v>
      </c>
      <c r="U5" t="inlineStr">
        <is>
          <t>2007-10-30</t>
        </is>
      </c>
      <c r="V5" t="inlineStr">
        <is>
          <t>2007-10-30</t>
        </is>
      </c>
      <c r="W5" t="inlineStr">
        <is>
          <t>2006-04-18</t>
        </is>
      </c>
      <c r="X5" t="inlineStr">
        <is>
          <t>2006-04-18</t>
        </is>
      </c>
      <c r="Y5" t="n">
        <v>297</v>
      </c>
      <c r="Z5" t="n">
        <v>192</v>
      </c>
      <c r="AA5" t="n">
        <v>206</v>
      </c>
      <c r="AB5" t="n">
        <v>2</v>
      </c>
      <c r="AC5" t="n">
        <v>2</v>
      </c>
      <c r="AD5" t="n">
        <v>14</v>
      </c>
      <c r="AE5" t="n">
        <v>16</v>
      </c>
      <c r="AF5" t="n">
        <v>3</v>
      </c>
      <c r="AG5" t="n">
        <v>5</v>
      </c>
      <c r="AH5" t="n">
        <v>7</v>
      </c>
      <c r="AI5" t="n">
        <v>7</v>
      </c>
      <c r="AJ5" t="n">
        <v>8</v>
      </c>
      <c r="AK5" t="n">
        <v>9</v>
      </c>
      <c r="AL5" t="n">
        <v>1</v>
      </c>
      <c r="AM5" t="n">
        <v>1</v>
      </c>
      <c r="AN5" t="n">
        <v>0</v>
      </c>
      <c r="AO5" t="n">
        <v>0</v>
      </c>
      <c r="AP5" t="inlineStr">
        <is>
          <t>No</t>
        </is>
      </c>
      <c r="AQ5" t="inlineStr">
        <is>
          <t>No</t>
        </is>
      </c>
      <c r="AS5">
        <f>HYPERLINK("https://creighton-primo.hosted.exlibrisgroup.com/primo-explore/search?tab=default_tab&amp;search_scope=EVERYTHING&amp;vid=01CRU&amp;lang=en_US&amp;offset=0&amp;query=any,contains,991004789819702656","Catalog Record")</f>
        <v/>
      </c>
      <c r="AT5">
        <f>HYPERLINK("http://www.worldcat.org/oclc/56759578","WorldCat Record")</f>
        <v/>
      </c>
      <c r="AU5" t="inlineStr">
        <is>
          <t>892567268:eng</t>
        </is>
      </c>
      <c r="AV5" t="inlineStr">
        <is>
          <t>56759578</t>
        </is>
      </c>
      <c r="AW5" t="inlineStr">
        <is>
          <t>991004789819702656</t>
        </is>
      </c>
      <c r="AX5" t="inlineStr">
        <is>
          <t>991004789819702656</t>
        </is>
      </c>
      <c r="AY5" t="inlineStr">
        <is>
          <t>2270407270002656</t>
        </is>
      </c>
      <c r="AZ5" t="inlineStr">
        <is>
          <t>BOOK</t>
        </is>
      </c>
      <c r="BB5" t="inlineStr">
        <is>
          <t>9780719067303</t>
        </is>
      </c>
      <c r="BC5" t="inlineStr">
        <is>
          <t>32285005064174</t>
        </is>
      </c>
      <c r="BD5" t="inlineStr">
        <is>
          <t>893889287</t>
        </is>
      </c>
    </row>
    <row r="6">
      <c r="A6" t="inlineStr">
        <is>
          <t>No</t>
        </is>
      </c>
      <c r="B6" t="inlineStr">
        <is>
          <t>HN110.5.A8 A63</t>
        </is>
      </c>
      <c r="C6" t="inlineStr">
        <is>
          <t>0                      HN 0110500A  8                  A  63</t>
        </is>
      </c>
      <c r="D6" t="inlineStr">
        <is>
          <t>The cry of my people : out of captivity in Latin America / Esther and Mortimer Arias.</t>
        </is>
      </c>
      <c r="F6" t="inlineStr">
        <is>
          <t>No</t>
        </is>
      </c>
      <c r="G6" t="inlineStr">
        <is>
          <t>1</t>
        </is>
      </c>
      <c r="H6" t="inlineStr">
        <is>
          <t>No</t>
        </is>
      </c>
      <c r="I6" t="inlineStr">
        <is>
          <t>No</t>
        </is>
      </c>
      <c r="J6" t="inlineStr">
        <is>
          <t>0</t>
        </is>
      </c>
      <c r="K6" t="inlineStr">
        <is>
          <t>Arias, Esther, 1923-</t>
        </is>
      </c>
      <c r="L6" t="inlineStr">
        <is>
          <t>New York : Friendship Press, c1980.</t>
        </is>
      </c>
      <c r="M6" t="inlineStr">
        <is>
          <t>1980</t>
        </is>
      </c>
      <c r="O6" t="inlineStr">
        <is>
          <t>eng</t>
        </is>
      </c>
      <c r="P6" t="inlineStr">
        <is>
          <t>nyu</t>
        </is>
      </c>
      <c r="R6" t="inlineStr">
        <is>
          <t xml:space="preserve">HN </t>
        </is>
      </c>
      <c r="S6" t="n">
        <v>6</v>
      </c>
      <c r="T6" t="n">
        <v>6</v>
      </c>
      <c r="U6" t="inlineStr">
        <is>
          <t>2007-03-30</t>
        </is>
      </c>
      <c r="V6" t="inlineStr">
        <is>
          <t>2007-03-30</t>
        </is>
      </c>
      <c r="W6" t="inlineStr">
        <is>
          <t>1990-04-30</t>
        </is>
      </c>
      <c r="X6" t="inlineStr">
        <is>
          <t>1990-04-30</t>
        </is>
      </c>
      <c r="Y6" t="n">
        <v>400</v>
      </c>
      <c r="Z6" t="n">
        <v>353</v>
      </c>
      <c r="AA6" t="n">
        <v>354</v>
      </c>
      <c r="AB6" t="n">
        <v>3</v>
      </c>
      <c r="AC6" t="n">
        <v>3</v>
      </c>
      <c r="AD6" t="n">
        <v>13</v>
      </c>
      <c r="AE6" t="n">
        <v>13</v>
      </c>
      <c r="AF6" t="n">
        <v>2</v>
      </c>
      <c r="AG6" t="n">
        <v>2</v>
      </c>
      <c r="AH6" t="n">
        <v>4</v>
      </c>
      <c r="AI6" t="n">
        <v>4</v>
      </c>
      <c r="AJ6" t="n">
        <v>7</v>
      </c>
      <c r="AK6" t="n">
        <v>7</v>
      </c>
      <c r="AL6" t="n">
        <v>2</v>
      </c>
      <c r="AM6" t="n">
        <v>2</v>
      </c>
      <c r="AN6" t="n">
        <v>0</v>
      </c>
      <c r="AO6" t="n">
        <v>0</v>
      </c>
      <c r="AP6" t="inlineStr">
        <is>
          <t>No</t>
        </is>
      </c>
      <c r="AQ6" t="inlineStr">
        <is>
          <t>Yes</t>
        </is>
      </c>
      <c r="AR6">
        <f>HYPERLINK("http://catalog.hathitrust.org/Record/007137894","HathiTrust Record")</f>
        <v/>
      </c>
      <c r="AS6">
        <f>HYPERLINK("https://creighton-primo.hosted.exlibrisgroup.com/primo-explore/search?tab=default_tab&amp;search_scope=EVERYTHING&amp;vid=01CRU&amp;lang=en_US&amp;offset=0&amp;query=any,contains,991004930379702656","Catalog Record")</f>
        <v/>
      </c>
      <c r="AT6">
        <f>HYPERLINK("http://www.worldcat.org/oclc/6092535","WorldCat Record")</f>
        <v/>
      </c>
      <c r="AU6" t="inlineStr">
        <is>
          <t>21065752:eng</t>
        </is>
      </c>
      <c r="AV6" t="inlineStr">
        <is>
          <t>6092535</t>
        </is>
      </c>
      <c r="AW6" t="inlineStr">
        <is>
          <t>991004930379702656</t>
        </is>
      </c>
      <c r="AX6" t="inlineStr">
        <is>
          <t>991004930379702656</t>
        </is>
      </c>
      <c r="AY6" t="inlineStr">
        <is>
          <t>2263383930002656</t>
        </is>
      </c>
      <c r="AZ6" t="inlineStr">
        <is>
          <t>BOOK</t>
        </is>
      </c>
      <c r="BB6" t="inlineStr">
        <is>
          <t>9780377000957</t>
        </is>
      </c>
      <c r="BC6" t="inlineStr">
        <is>
          <t>32285000127810</t>
        </is>
      </c>
      <c r="BD6" t="inlineStr">
        <is>
          <t>893325950</t>
        </is>
      </c>
    </row>
    <row r="7">
      <c r="A7" t="inlineStr">
        <is>
          <t>No</t>
        </is>
      </c>
      <c r="B7" t="inlineStr">
        <is>
          <t>HN110.5.A8 H4</t>
        </is>
      </c>
      <c r="C7" t="inlineStr">
        <is>
          <t>0                      HN 0110500A  8                  H  4</t>
        </is>
      </c>
      <c r="D7" t="inlineStr">
        <is>
          <t>Contemporary cultures and societies of Latin America; a reader in the social anthropology of Middle and South America and the Caribbean. Edited, with introductions and notes, by Dwight B. Heath and Richard N. Adams.</t>
        </is>
      </c>
      <c r="F7" t="inlineStr">
        <is>
          <t>No</t>
        </is>
      </c>
      <c r="G7" t="inlineStr">
        <is>
          <t>1</t>
        </is>
      </c>
      <c r="H7" t="inlineStr">
        <is>
          <t>No</t>
        </is>
      </c>
      <c r="I7" t="inlineStr">
        <is>
          <t>No</t>
        </is>
      </c>
      <c r="J7" t="inlineStr">
        <is>
          <t>0</t>
        </is>
      </c>
      <c r="K7" t="inlineStr">
        <is>
          <t>Heath, Dwight B. editor.</t>
        </is>
      </c>
      <c r="L7" t="inlineStr">
        <is>
          <t>New York, Random House [1965]</t>
        </is>
      </c>
      <c r="M7" t="inlineStr">
        <is>
          <t>1965</t>
        </is>
      </c>
      <c r="O7" t="inlineStr">
        <is>
          <t>eng</t>
        </is>
      </c>
      <c r="P7" t="inlineStr">
        <is>
          <t>nyu</t>
        </is>
      </c>
      <c r="R7" t="inlineStr">
        <is>
          <t xml:space="preserve">HN </t>
        </is>
      </c>
      <c r="S7" t="n">
        <v>26</v>
      </c>
      <c r="T7" t="n">
        <v>26</v>
      </c>
      <c r="U7" t="inlineStr">
        <is>
          <t>2005-01-19</t>
        </is>
      </c>
      <c r="V7" t="inlineStr">
        <is>
          <t>2005-01-19</t>
        </is>
      </c>
      <c r="W7" t="inlineStr">
        <is>
          <t>1997-07-23</t>
        </is>
      </c>
      <c r="X7" t="inlineStr">
        <is>
          <t>1997-07-23</t>
        </is>
      </c>
      <c r="Y7" t="n">
        <v>676</v>
      </c>
      <c r="Z7" t="n">
        <v>579</v>
      </c>
      <c r="AA7" t="n">
        <v>589</v>
      </c>
      <c r="AB7" t="n">
        <v>7</v>
      </c>
      <c r="AC7" t="n">
        <v>7</v>
      </c>
      <c r="AD7" t="n">
        <v>27</v>
      </c>
      <c r="AE7" t="n">
        <v>28</v>
      </c>
      <c r="AF7" t="n">
        <v>8</v>
      </c>
      <c r="AG7" t="n">
        <v>8</v>
      </c>
      <c r="AH7" t="n">
        <v>5</v>
      </c>
      <c r="AI7" t="n">
        <v>6</v>
      </c>
      <c r="AJ7" t="n">
        <v>12</v>
      </c>
      <c r="AK7" t="n">
        <v>13</v>
      </c>
      <c r="AL7" t="n">
        <v>6</v>
      </c>
      <c r="AM7" t="n">
        <v>6</v>
      </c>
      <c r="AN7" t="n">
        <v>0</v>
      </c>
      <c r="AO7" t="n">
        <v>0</v>
      </c>
      <c r="AP7" t="inlineStr">
        <is>
          <t>No</t>
        </is>
      </c>
      <c r="AQ7" t="inlineStr">
        <is>
          <t>Yes</t>
        </is>
      </c>
      <c r="AR7">
        <f>HYPERLINK("http://catalog.hathitrust.org/Record/001350750","HathiTrust Record")</f>
        <v/>
      </c>
      <c r="AS7">
        <f>HYPERLINK("https://creighton-primo.hosted.exlibrisgroup.com/primo-explore/search?tab=default_tab&amp;search_scope=EVERYTHING&amp;vid=01CRU&amp;lang=en_US&amp;offset=0&amp;query=any,contains,991002011479702656","Catalog Record")</f>
        <v/>
      </c>
      <c r="AT7">
        <f>HYPERLINK("http://www.worldcat.org/oclc/258885","WorldCat Record")</f>
        <v/>
      </c>
      <c r="AU7" t="inlineStr">
        <is>
          <t>4095447170:eng</t>
        </is>
      </c>
      <c r="AV7" t="inlineStr">
        <is>
          <t>258885</t>
        </is>
      </c>
      <c r="AW7" t="inlineStr">
        <is>
          <t>991002011479702656</t>
        </is>
      </c>
      <c r="AX7" t="inlineStr">
        <is>
          <t>991002011479702656</t>
        </is>
      </c>
      <c r="AY7" t="inlineStr">
        <is>
          <t>2271624160002656</t>
        </is>
      </c>
      <c r="AZ7" t="inlineStr">
        <is>
          <t>BOOK</t>
        </is>
      </c>
      <c r="BC7" t="inlineStr">
        <is>
          <t>32285002957909</t>
        </is>
      </c>
      <c r="BD7" t="inlineStr">
        <is>
          <t>893347010</t>
        </is>
      </c>
    </row>
    <row r="8">
      <c r="A8" t="inlineStr">
        <is>
          <t>No</t>
        </is>
      </c>
      <c r="B8" t="inlineStr">
        <is>
          <t>HN110.5.A8 H4 2002</t>
        </is>
      </c>
      <c r="C8" t="inlineStr">
        <is>
          <t>0                      HN 0110500A  8                  H  4           2002</t>
        </is>
      </c>
      <c r="D8" t="inlineStr">
        <is>
          <t>Contemporary cultures and societies of Latin America : a reader in the social anthropology of Middle and South America / [edited by] Dwight B. Heath.</t>
        </is>
      </c>
      <c r="F8" t="inlineStr">
        <is>
          <t>No</t>
        </is>
      </c>
      <c r="G8" t="inlineStr">
        <is>
          <t>1</t>
        </is>
      </c>
      <c r="H8" t="inlineStr">
        <is>
          <t>No</t>
        </is>
      </c>
      <c r="I8" t="inlineStr">
        <is>
          <t>No</t>
        </is>
      </c>
      <c r="J8" t="inlineStr">
        <is>
          <t>0</t>
        </is>
      </c>
      <c r="L8" t="inlineStr">
        <is>
          <t>Prospect Heights, Ill. : Waveland Press, c2002.</t>
        </is>
      </c>
      <c r="M8" t="inlineStr">
        <is>
          <t>2002</t>
        </is>
      </c>
      <c r="N8" t="inlineStr">
        <is>
          <t>3rd ed.</t>
        </is>
      </c>
      <c r="O8" t="inlineStr">
        <is>
          <t>eng</t>
        </is>
      </c>
      <c r="P8" t="inlineStr">
        <is>
          <t>ilu</t>
        </is>
      </c>
      <c r="R8" t="inlineStr">
        <is>
          <t xml:space="preserve">HN </t>
        </is>
      </c>
      <c r="S8" t="n">
        <v>1</v>
      </c>
      <c r="T8" t="n">
        <v>1</v>
      </c>
      <c r="U8" t="inlineStr">
        <is>
          <t>2009-06-22</t>
        </is>
      </c>
      <c r="V8" t="inlineStr">
        <is>
          <t>2009-06-22</t>
        </is>
      </c>
      <c r="W8" t="inlineStr">
        <is>
          <t>2009-06-22</t>
        </is>
      </c>
      <c r="X8" t="inlineStr">
        <is>
          <t>2009-06-22</t>
        </is>
      </c>
      <c r="Y8" t="n">
        <v>208</v>
      </c>
      <c r="Z8" t="n">
        <v>175</v>
      </c>
      <c r="AA8" t="n">
        <v>560</v>
      </c>
      <c r="AB8" t="n">
        <v>1</v>
      </c>
      <c r="AC8" t="n">
        <v>4</v>
      </c>
      <c r="AD8" t="n">
        <v>10</v>
      </c>
      <c r="AE8" t="n">
        <v>26</v>
      </c>
      <c r="AF8" t="n">
        <v>5</v>
      </c>
      <c r="AG8" t="n">
        <v>13</v>
      </c>
      <c r="AH8" t="n">
        <v>2</v>
      </c>
      <c r="AI8" t="n">
        <v>8</v>
      </c>
      <c r="AJ8" t="n">
        <v>7</v>
      </c>
      <c r="AK8" t="n">
        <v>12</v>
      </c>
      <c r="AL8" t="n">
        <v>0</v>
      </c>
      <c r="AM8" t="n">
        <v>3</v>
      </c>
      <c r="AN8" t="n">
        <v>0</v>
      </c>
      <c r="AO8" t="n">
        <v>0</v>
      </c>
      <c r="AP8" t="inlineStr">
        <is>
          <t>No</t>
        </is>
      </c>
      <c r="AQ8" t="inlineStr">
        <is>
          <t>No</t>
        </is>
      </c>
      <c r="AS8">
        <f>HYPERLINK("https://creighton-primo.hosted.exlibrisgroup.com/primo-explore/search?tab=default_tab&amp;search_scope=EVERYTHING&amp;vid=01CRU&amp;lang=en_US&amp;offset=0&amp;query=any,contains,991005323269702656","Catalog Record")</f>
        <v/>
      </c>
      <c r="AT8">
        <f>HYPERLINK("http://www.worldcat.org/oclc/47736327","WorldCat Record")</f>
        <v/>
      </c>
      <c r="AU8" t="inlineStr">
        <is>
          <t>4417287202:eng</t>
        </is>
      </c>
      <c r="AV8" t="inlineStr">
        <is>
          <t>47736327</t>
        </is>
      </c>
      <c r="AW8" t="inlineStr">
        <is>
          <t>991005323269702656</t>
        </is>
      </c>
      <c r="AX8" t="inlineStr">
        <is>
          <t>991005323269702656</t>
        </is>
      </c>
      <c r="AY8" t="inlineStr">
        <is>
          <t>2265008690002656</t>
        </is>
      </c>
      <c r="AZ8" t="inlineStr">
        <is>
          <t>BOOK</t>
        </is>
      </c>
      <c r="BB8" t="inlineStr">
        <is>
          <t>9781577661900</t>
        </is>
      </c>
      <c r="BC8" t="inlineStr">
        <is>
          <t>32285005536148</t>
        </is>
      </c>
      <c r="BD8" t="inlineStr">
        <is>
          <t>893883670</t>
        </is>
      </c>
    </row>
    <row r="9">
      <c r="A9" t="inlineStr">
        <is>
          <t>No</t>
        </is>
      </c>
      <c r="B9" t="inlineStr">
        <is>
          <t>HN110.5.A8 N4</t>
        </is>
      </c>
      <c r="C9" t="inlineStr">
        <is>
          <t>0                      HN 0110500A  8                  N  4</t>
        </is>
      </c>
      <c r="D9" t="inlineStr">
        <is>
          <t>Political development in Latin America; instability, violence, and evolutionary change [by] Martin C. Needler.</t>
        </is>
      </c>
      <c r="F9" t="inlineStr">
        <is>
          <t>No</t>
        </is>
      </c>
      <c r="G9" t="inlineStr">
        <is>
          <t>1</t>
        </is>
      </c>
      <c r="H9" t="inlineStr">
        <is>
          <t>No</t>
        </is>
      </c>
      <c r="I9" t="inlineStr">
        <is>
          <t>No</t>
        </is>
      </c>
      <c r="J9" t="inlineStr">
        <is>
          <t>0</t>
        </is>
      </c>
      <c r="K9" t="inlineStr">
        <is>
          <t>Needler, Martin C.</t>
        </is>
      </c>
      <c r="L9" t="inlineStr">
        <is>
          <t>New York, Random House [1968]</t>
        </is>
      </c>
      <c r="M9" t="inlineStr">
        <is>
          <t>1968</t>
        </is>
      </c>
      <c r="O9" t="inlineStr">
        <is>
          <t>eng</t>
        </is>
      </c>
      <c r="P9" t="inlineStr">
        <is>
          <t>nyu</t>
        </is>
      </c>
      <c r="R9" t="inlineStr">
        <is>
          <t xml:space="preserve">HN </t>
        </is>
      </c>
      <c r="S9" t="n">
        <v>4</v>
      </c>
      <c r="T9" t="n">
        <v>4</v>
      </c>
      <c r="U9" t="inlineStr">
        <is>
          <t>2008-09-17</t>
        </is>
      </c>
      <c r="V9" t="inlineStr">
        <is>
          <t>2008-09-17</t>
        </is>
      </c>
      <c r="W9" t="inlineStr">
        <is>
          <t>1997-08-06</t>
        </is>
      </c>
      <c r="X9" t="inlineStr">
        <is>
          <t>1997-08-06</t>
        </is>
      </c>
      <c r="Y9" t="n">
        <v>526</v>
      </c>
      <c r="Z9" t="n">
        <v>435</v>
      </c>
      <c r="AA9" t="n">
        <v>442</v>
      </c>
      <c r="AB9" t="n">
        <v>2</v>
      </c>
      <c r="AC9" t="n">
        <v>2</v>
      </c>
      <c r="AD9" t="n">
        <v>23</v>
      </c>
      <c r="AE9" t="n">
        <v>23</v>
      </c>
      <c r="AF9" t="n">
        <v>9</v>
      </c>
      <c r="AG9" t="n">
        <v>9</v>
      </c>
      <c r="AH9" t="n">
        <v>5</v>
      </c>
      <c r="AI9" t="n">
        <v>5</v>
      </c>
      <c r="AJ9" t="n">
        <v>15</v>
      </c>
      <c r="AK9" t="n">
        <v>15</v>
      </c>
      <c r="AL9" t="n">
        <v>1</v>
      </c>
      <c r="AM9" t="n">
        <v>1</v>
      </c>
      <c r="AN9" t="n">
        <v>0</v>
      </c>
      <c r="AO9" t="n">
        <v>0</v>
      </c>
      <c r="AP9" t="inlineStr">
        <is>
          <t>No</t>
        </is>
      </c>
      <c r="AQ9" t="inlineStr">
        <is>
          <t>Yes</t>
        </is>
      </c>
      <c r="AR9">
        <f>HYPERLINK("http://catalog.hathitrust.org/Record/001108201","HathiTrust Record")</f>
        <v/>
      </c>
      <c r="AS9">
        <f>HYPERLINK("https://creighton-primo.hosted.exlibrisgroup.com/primo-explore/search?tab=default_tab&amp;search_scope=EVERYTHING&amp;vid=01CRU&amp;lang=en_US&amp;offset=0&amp;query=any,contains,991002009969702656","Catalog Record")</f>
        <v/>
      </c>
      <c r="AT9">
        <f>HYPERLINK("http://www.worldcat.org/oclc/258797","WorldCat Record")</f>
        <v/>
      </c>
      <c r="AU9" t="inlineStr">
        <is>
          <t>292182091:eng</t>
        </is>
      </c>
      <c r="AV9" t="inlineStr">
        <is>
          <t>258797</t>
        </is>
      </c>
      <c r="AW9" t="inlineStr">
        <is>
          <t>991002009969702656</t>
        </is>
      </c>
      <c r="AX9" t="inlineStr">
        <is>
          <t>991002009969702656</t>
        </is>
      </c>
      <c r="AY9" t="inlineStr">
        <is>
          <t>2271542110002656</t>
        </is>
      </c>
      <c r="AZ9" t="inlineStr">
        <is>
          <t>BOOK</t>
        </is>
      </c>
      <c r="BC9" t="inlineStr">
        <is>
          <t>32285003044749</t>
        </is>
      </c>
      <c r="BD9" t="inlineStr">
        <is>
          <t>893885742</t>
        </is>
      </c>
    </row>
    <row r="10">
      <c r="A10" t="inlineStr">
        <is>
          <t>No</t>
        </is>
      </c>
      <c r="B10" t="inlineStr">
        <is>
          <t>HN110.5.A8 P288 2001</t>
        </is>
      </c>
      <c r="C10" t="inlineStr">
        <is>
          <t>0                      HN 0110500A  8                  P  288         2001</t>
        </is>
      </c>
      <c r="D10" t="inlineStr">
        <is>
          <t>Para combatir la pobreza : la sociedad civil se artícula / [autores/as, Alberto J. Olvera Rivera ...].</t>
        </is>
      </c>
      <c r="F10" t="inlineStr">
        <is>
          <t>No</t>
        </is>
      </c>
      <c r="G10" t="inlineStr">
        <is>
          <t>1</t>
        </is>
      </c>
      <c r="H10" t="inlineStr">
        <is>
          <t>No</t>
        </is>
      </c>
      <c r="I10" t="inlineStr">
        <is>
          <t>No</t>
        </is>
      </c>
      <c r="J10" t="inlineStr">
        <is>
          <t>0</t>
        </is>
      </c>
      <c r="L10" t="inlineStr">
        <is>
          <t>[Santo Domingo, R.D.] : Centro de Estudios Sociales Padre Juan Montalvo, S.J., 2001.</t>
        </is>
      </c>
      <c r="M10" t="inlineStr">
        <is>
          <t>2001</t>
        </is>
      </c>
      <c r="N10" t="inlineStr">
        <is>
          <t>1. ed.</t>
        </is>
      </c>
      <c r="O10" t="inlineStr">
        <is>
          <t>spa</t>
        </is>
      </c>
      <c r="P10" t="inlineStr">
        <is>
          <t xml:space="preserve">dr </t>
        </is>
      </c>
      <c r="Q10" t="inlineStr">
        <is>
          <t>Centro de Estudios Sociales Padre Juan Montalvo, S.J. ; 21</t>
        </is>
      </c>
      <c r="R10" t="inlineStr">
        <is>
          <t xml:space="preserve">HN </t>
        </is>
      </c>
      <c r="S10" t="n">
        <v>1</v>
      </c>
      <c r="T10" t="n">
        <v>1</v>
      </c>
      <c r="U10" t="inlineStr">
        <is>
          <t>2002-10-02</t>
        </is>
      </c>
      <c r="V10" t="inlineStr">
        <is>
          <t>2002-10-02</t>
        </is>
      </c>
      <c r="W10" t="inlineStr">
        <is>
          <t>2002-10-02</t>
        </is>
      </c>
      <c r="X10" t="inlineStr">
        <is>
          <t>2002-10-02</t>
        </is>
      </c>
      <c r="Y10" t="n">
        <v>14</v>
      </c>
      <c r="Z10" t="n">
        <v>14</v>
      </c>
      <c r="AA10" t="n">
        <v>14</v>
      </c>
      <c r="AB10" t="n">
        <v>1</v>
      </c>
      <c r="AC10" t="n">
        <v>1</v>
      </c>
      <c r="AD10" t="n">
        <v>1</v>
      </c>
      <c r="AE10" t="n">
        <v>1</v>
      </c>
      <c r="AF10" t="n">
        <v>0</v>
      </c>
      <c r="AG10" t="n">
        <v>0</v>
      </c>
      <c r="AH10" t="n">
        <v>1</v>
      </c>
      <c r="AI10" t="n">
        <v>1</v>
      </c>
      <c r="AJ10" t="n">
        <v>0</v>
      </c>
      <c r="AK10" t="n">
        <v>0</v>
      </c>
      <c r="AL10" t="n">
        <v>0</v>
      </c>
      <c r="AM10" t="n">
        <v>0</v>
      </c>
      <c r="AN10" t="n">
        <v>0</v>
      </c>
      <c r="AO10" t="n">
        <v>0</v>
      </c>
      <c r="AP10" t="inlineStr">
        <is>
          <t>No</t>
        </is>
      </c>
      <c r="AQ10" t="inlineStr">
        <is>
          <t>No</t>
        </is>
      </c>
      <c r="AS10">
        <f>HYPERLINK("https://creighton-primo.hosted.exlibrisgroup.com/primo-explore/search?tab=default_tab&amp;search_scope=EVERYTHING&amp;vid=01CRU&amp;lang=en_US&amp;offset=0&amp;query=any,contains,991003808209702656","Catalog Record")</f>
        <v/>
      </c>
      <c r="AT10">
        <f>HYPERLINK("http://www.worldcat.org/oclc/53098928","WorldCat Record")</f>
        <v/>
      </c>
      <c r="AU10" t="inlineStr">
        <is>
          <t>1218430973:spa</t>
        </is>
      </c>
      <c r="AV10" t="inlineStr">
        <is>
          <t>53098928</t>
        </is>
      </c>
      <c r="AW10" t="inlineStr">
        <is>
          <t>991003808209702656</t>
        </is>
      </c>
      <c r="AX10" t="inlineStr">
        <is>
          <t>991003808209702656</t>
        </is>
      </c>
      <c r="AY10" t="inlineStr">
        <is>
          <t>2261624200002656</t>
        </is>
      </c>
      <c r="AZ10" t="inlineStr">
        <is>
          <t>BOOK</t>
        </is>
      </c>
      <c r="BB10" t="inlineStr">
        <is>
          <t>9789993480419</t>
        </is>
      </c>
      <c r="BC10" t="inlineStr">
        <is>
          <t>32285004651104</t>
        </is>
      </c>
      <c r="BD10" t="inlineStr">
        <is>
          <t>893722108</t>
        </is>
      </c>
    </row>
    <row r="11">
      <c r="A11" t="inlineStr">
        <is>
          <t>No</t>
        </is>
      </c>
      <c r="B11" t="inlineStr">
        <is>
          <t>HN110.5.A8 R443 1991</t>
        </is>
      </c>
      <c r="C11" t="inlineStr">
        <is>
          <t>0                      HN 0110500A  8                  R  443         1991</t>
        </is>
      </c>
      <c r="D11" t="inlineStr">
        <is>
          <t>Relentless persistence : nonviolent action in Latin America / edited by Philip McManus &amp; Gerald Schlabach.</t>
        </is>
      </c>
      <c r="F11" t="inlineStr">
        <is>
          <t>No</t>
        </is>
      </c>
      <c r="G11" t="inlineStr">
        <is>
          <t>1</t>
        </is>
      </c>
      <c r="H11" t="inlineStr">
        <is>
          <t>No</t>
        </is>
      </c>
      <c r="I11" t="inlineStr">
        <is>
          <t>No</t>
        </is>
      </c>
      <c r="J11" t="inlineStr">
        <is>
          <t>0</t>
        </is>
      </c>
      <c r="L11" t="inlineStr">
        <is>
          <t>Philadelphia, PA : New Society Publishers : Published in cooperation with the Resource Center for Nonviolence, c1991.</t>
        </is>
      </c>
      <c r="M11" t="inlineStr">
        <is>
          <t>1991</t>
        </is>
      </c>
      <c r="O11" t="inlineStr">
        <is>
          <t>eng</t>
        </is>
      </c>
      <c r="P11" t="inlineStr">
        <is>
          <t>pau</t>
        </is>
      </c>
      <c r="R11" t="inlineStr">
        <is>
          <t xml:space="preserve">HN </t>
        </is>
      </c>
      <c r="S11" t="n">
        <v>10</v>
      </c>
      <c r="T11" t="n">
        <v>10</v>
      </c>
      <c r="U11" t="inlineStr">
        <is>
          <t>2010-04-26</t>
        </is>
      </c>
      <c r="V11" t="inlineStr">
        <is>
          <t>2010-04-26</t>
        </is>
      </c>
      <c r="W11" t="inlineStr">
        <is>
          <t>1995-07-29</t>
        </is>
      </c>
      <c r="X11" t="inlineStr">
        <is>
          <t>1995-07-29</t>
        </is>
      </c>
      <c r="Y11" t="n">
        <v>458</v>
      </c>
      <c r="Z11" t="n">
        <v>406</v>
      </c>
      <c r="AA11" t="n">
        <v>423</v>
      </c>
      <c r="AB11" t="n">
        <v>2</v>
      </c>
      <c r="AC11" t="n">
        <v>2</v>
      </c>
      <c r="AD11" t="n">
        <v>18</v>
      </c>
      <c r="AE11" t="n">
        <v>19</v>
      </c>
      <c r="AF11" t="n">
        <v>7</v>
      </c>
      <c r="AG11" t="n">
        <v>8</v>
      </c>
      <c r="AH11" t="n">
        <v>5</v>
      </c>
      <c r="AI11" t="n">
        <v>6</v>
      </c>
      <c r="AJ11" t="n">
        <v>9</v>
      </c>
      <c r="AK11" t="n">
        <v>9</v>
      </c>
      <c r="AL11" t="n">
        <v>1</v>
      </c>
      <c r="AM11" t="n">
        <v>1</v>
      </c>
      <c r="AN11" t="n">
        <v>0</v>
      </c>
      <c r="AO11" t="n">
        <v>0</v>
      </c>
      <c r="AP11" t="inlineStr">
        <is>
          <t>No</t>
        </is>
      </c>
      <c r="AQ11" t="inlineStr">
        <is>
          <t>Yes</t>
        </is>
      </c>
      <c r="AR11">
        <f>HYPERLINK("http://catalog.hathitrust.org/Record/002450333","HathiTrust Record")</f>
        <v/>
      </c>
      <c r="AS11">
        <f>HYPERLINK("https://creighton-primo.hosted.exlibrisgroup.com/primo-explore/search?tab=default_tab&amp;search_scope=EVERYTHING&amp;vid=01CRU&amp;lang=en_US&amp;offset=0&amp;query=any,contains,991001804719702656","Catalog Record")</f>
        <v/>
      </c>
      <c r="AT11">
        <f>HYPERLINK("http://www.worldcat.org/oclc/22695334","WorldCat Record")</f>
        <v/>
      </c>
      <c r="AU11" t="inlineStr">
        <is>
          <t>366688830:eng</t>
        </is>
      </c>
      <c r="AV11" t="inlineStr">
        <is>
          <t>22695334</t>
        </is>
      </c>
      <c r="AW11" t="inlineStr">
        <is>
          <t>991001804719702656</t>
        </is>
      </c>
      <c r="AX11" t="inlineStr">
        <is>
          <t>991001804719702656</t>
        </is>
      </c>
      <c r="AY11" t="inlineStr">
        <is>
          <t>2261266540002656</t>
        </is>
      </c>
      <c r="AZ11" t="inlineStr">
        <is>
          <t>BOOK</t>
        </is>
      </c>
      <c r="BB11" t="inlineStr">
        <is>
          <t>9780865711822</t>
        </is>
      </c>
      <c r="BC11" t="inlineStr">
        <is>
          <t>32285002076668</t>
        </is>
      </c>
      <c r="BD11" t="inlineStr">
        <is>
          <t>893772921</t>
        </is>
      </c>
    </row>
    <row r="12">
      <c r="A12" t="inlineStr">
        <is>
          <t>No</t>
        </is>
      </c>
      <c r="B12" t="inlineStr">
        <is>
          <t>HN110.5.A8 W486 1997</t>
        </is>
      </c>
      <c r="C12" t="inlineStr">
        <is>
          <t>0                      HN 0110500A  8                  W  486         1997</t>
        </is>
      </c>
      <c r="D12" t="inlineStr">
        <is>
          <t>Latin American societies in transition / Robert C. Williamson.</t>
        </is>
      </c>
      <c r="F12" t="inlineStr">
        <is>
          <t>No</t>
        </is>
      </c>
      <c r="G12" t="inlineStr">
        <is>
          <t>1</t>
        </is>
      </c>
      <c r="H12" t="inlineStr">
        <is>
          <t>No</t>
        </is>
      </c>
      <c r="I12" t="inlineStr">
        <is>
          <t>No</t>
        </is>
      </c>
      <c r="J12" t="inlineStr">
        <is>
          <t>0</t>
        </is>
      </c>
      <c r="K12" t="inlineStr">
        <is>
          <t>Williamson, Robert C. (Robert Clifford), 1916-2016.</t>
        </is>
      </c>
      <c r="L12" t="inlineStr">
        <is>
          <t>Westport, Conn. : Praeger, 1997.</t>
        </is>
      </c>
      <c r="M12" t="inlineStr">
        <is>
          <t>1997</t>
        </is>
      </c>
      <c r="O12" t="inlineStr">
        <is>
          <t>eng</t>
        </is>
      </c>
      <c r="P12" t="inlineStr">
        <is>
          <t>ctu</t>
        </is>
      </c>
      <c r="R12" t="inlineStr">
        <is>
          <t xml:space="preserve">HN </t>
        </is>
      </c>
      <c r="S12" t="n">
        <v>6</v>
      </c>
      <c r="T12" t="n">
        <v>6</v>
      </c>
      <c r="U12" t="inlineStr">
        <is>
          <t>2006-09-06</t>
        </is>
      </c>
      <c r="V12" t="inlineStr">
        <is>
          <t>2006-09-06</t>
        </is>
      </c>
      <c r="W12" t="inlineStr">
        <is>
          <t>1997-10-14</t>
        </is>
      </c>
      <c r="X12" t="inlineStr">
        <is>
          <t>1997-10-14</t>
        </is>
      </c>
      <c r="Y12" t="n">
        <v>409</v>
      </c>
      <c r="Z12" t="n">
        <v>361</v>
      </c>
      <c r="AA12" t="n">
        <v>364</v>
      </c>
      <c r="AB12" t="n">
        <v>3</v>
      </c>
      <c r="AC12" t="n">
        <v>3</v>
      </c>
      <c r="AD12" t="n">
        <v>21</v>
      </c>
      <c r="AE12" t="n">
        <v>21</v>
      </c>
      <c r="AF12" t="n">
        <v>9</v>
      </c>
      <c r="AG12" t="n">
        <v>9</v>
      </c>
      <c r="AH12" t="n">
        <v>6</v>
      </c>
      <c r="AI12" t="n">
        <v>6</v>
      </c>
      <c r="AJ12" t="n">
        <v>11</v>
      </c>
      <c r="AK12" t="n">
        <v>11</v>
      </c>
      <c r="AL12" t="n">
        <v>2</v>
      </c>
      <c r="AM12" t="n">
        <v>2</v>
      </c>
      <c r="AN12" t="n">
        <v>0</v>
      </c>
      <c r="AO12" t="n">
        <v>0</v>
      </c>
      <c r="AP12" t="inlineStr">
        <is>
          <t>No</t>
        </is>
      </c>
      <c r="AQ12" t="inlineStr">
        <is>
          <t>Yes</t>
        </is>
      </c>
      <c r="AR12">
        <f>HYPERLINK("http://catalog.hathitrust.org/Record/003139951","HathiTrust Record")</f>
        <v/>
      </c>
      <c r="AS12">
        <f>HYPERLINK("https://creighton-primo.hosted.exlibrisgroup.com/primo-explore/search?tab=default_tab&amp;search_scope=EVERYTHING&amp;vid=01CRU&amp;lang=en_US&amp;offset=0&amp;query=any,contains,991002673969702656","Catalog Record")</f>
        <v/>
      </c>
      <c r="AT12">
        <f>HYPERLINK("http://www.worldcat.org/oclc/34966049","WorldCat Record")</f>
        <v/>
      </c>
      <c r="AU12" t="inlineStr">
        <is>
          <t>2577208:eng</t>
        </is>
      </c>
      <c r="AV12" t="inlineStr">
        <is>
          <t>34966049</t>
        </is>
      </c>
      <c r="AW12" t="inlineStr">
        <is>
          <t>991002673969702656</t>
        </is>
      </c>
      <c r="AX12" t="inlineStr">
        <is>
          <t>991002673969702656</t>
        </is>
      </c>
      <c r="AY12" t="inlineStr">
        <is>
          <t>2258200720002656</t>
        </is>
      </c>
      <c r="AZ12" t="inlineStr">
        <is>
          <t>BOOK</t>
        </is>
      </c>
      <c r="BB12" t="inlineStr">
        <is>
          <t>9780275957506</t>
        </is>
      </c>
      <c r="BC12" t="inlineStr">
        <is>
          <t>32285003253803</t>
        </is>
      </c>
      <c r="BD12" t="inlineStr">
        <is>
          <t>893691868</t>
        </is>
      </c>
    </row>
    <row r="13">
      <c r="A13" t="inlineStr">
        <is>
          <t>No</t>
        </is>
      </c>
      <c r="B13" t="inlineStr">
        <is>
          <t>HN110.5.A8 W65</t>
        </is>
      </c>
      <c r="C13" t="inlineStr">
        <is>
          <t>0                      HN 0110500A  8                  W  65</t>
        </is>
      </c>
      <c r="D13" t="inlineStr">
        <is>
          <t>The human condition in Latin America / [by] Eric R. Wolf [and] Edward C. Hansen.</t>
        </is>
      </c>
      <c r="F13" t="inlineStr">
        <is>
          <t>No</t>
        </is>
      </c>
      <c r="G13" t="inlineStr">
        <is>
          <t>1</t>
        </is>
      </c>
      <c r="H13" t="inlineStr">
        <is>
          <t>No</t>
        </is>
      </c>
      <c r="I13" t="inlineStr">
        <is>
          <t>No</t>
        </is>
      </c>
      <c r="J13" t="inlineStr">
        <is>
          <t>0</t>
        </is>
      </c>
      <c r="K13" t="inlineStr">
        <is>
          <t>Wolf, Eric R., 1923-1999.</t>
        </is>
      </c>
      <c r="L13" t="inlineStr">
        <is>
          <t>New York : Oxford University Press, 1972.</t>
        </is>
      </c>
      <c r="M13" t="inlineStr">
        <is>
          <t>1972</t>
        </is>
      </c>
      <c r="O13" t="inlineStr">
        <is>
          <t>eng</t>
        </is>
      </c>
      <c r="P13" t="inlineStr">
        <is>
          <t>nyu</t>
        </is>
      </c>
      <c r="R13" t="inlineStr">
        <is>
          <t xml:space="preserve">HN </t>
        </is>
      </c>
      <c r="S13" t="n">
        <v>7</v>
      </c>
      <c r="T13" t="n">
        <v>7</v>
      </c>
      <c r="U13" t="inlineStr">
        <is>
          <t>2002-12-02</t>
        </is>
      </c>
      <c r="V13" t="inlineStr">
        <is>
          <t>2002-12-02</t>
        </is>
      </c>
      <c r="W13" t="inlineStr">
        <is>
          <t>1994-08-30</t>
        </is>
      </c>
      <c r="X13" t="inlineStr">
        <is>
          <t>1994-08-30</t>
        </is>
      </c>
      <c r="Y13" t="n">
        <v>986</v>
      </c>
      <c r="Z13" t="n">
        <v>827</v>
      </c>
      <c r="AA13" t="n">
        <v>834</v>
      </c>
      <c r="AB13" t="n">
        <v>6</v>
      </c>
      <c r="AC13" t="n">
        <v>6</v>
      </c>
      <c r="AD13" t="n">
        <v>35</v>
      </c>
      <c r="AE13" t="n">
        <v>35</v>
      </c>
      <c r="AF13" t="n">
        <v>15</v>
      </c>
      <c r="AG13" t="n">
        <v>15</v>
      </c>
      <c r="AH13" t="n">
        <v>9</v>
      </c>
      <c r="AI13" t="n">
        <v>9</v>
      </c>
      <c r="AJ13" t="n">
        <v>19</v>
      </c>
      <c r="AK13" t="n">
        <v>19</v>
      </c>
      <c r="AL13" t="n">
        <v>5</v>
      </c>
      <c r="AM13" t="n">
        <v>5</v>
      </c>
      <c r="AN13" t="n">
        <v>0</v>
      </c>
      <c r="AO13" t="n">
        <v>0</v>
      </c>
      <c r="AP13" t="inlineStr">
        <is>
          <t>No</t>
        </is>
      </c>
      <c r="AQ13" t="inlineStr">
        <is>
          <t>No</t>
        </is>
      </c>
      <c r="AS13">
        <f>HYPERLINK("https://creighton-primo.hosted.exlibrisgroup.com/primo-explore/search?tab=default_tab&amp;search_scope=EVERYTHING&amp;vid=01CRU&amp;lang=en_US&amp;offset=0&amp;query=any,contains,991002295909702656","Catalog Record")</f>
        <v/>
      </c>
      <c r="AT13">
        <f>HYPERLINK("http://www.worldcat.org/oclc/315402","WorldCat Record")</f>
        <v/>
      </c>
      <c r="AU13" t="inlineStr">
        <is>
          <t>480481849:eng</t>
        </is>
      </c>
      <c r="AV13" t="inlineStr">
        <is>
          <t>315402</t>
        </is>
      </c>
      <c r="AW13" t="inlineStr">
        <is>
          <t>991002295909702656</t>
        </is>
      </c>
      <c r="AX13" t="inlineStr">
        <is>
          <t>991002295909702656</t>
        </is>
      </c>
      <c r="AY13" t="inlineStr">
        <is>
          <t>2268865970002656</t>
        </is>
      </c>
      <c r="AZ13" t="inlineStr">
        <is>
          <t>BOOK</t>
        </is>
      </c>
      <c r="BC13" t="inlineStr">
        <is>
          <t>32285001777936</t>
        </is>
      </c>
      <c r="BD13" t="inlineStr">
        <is>
          <t>893504244</t>
        </is>
      </c>
    </row>
    <row r="14">
      <c r="A14" t="inlineStr">
        <is>
          <t>No</t>
        </is>
      </c>
      <c r="B14" t="inlineStr">
        <is>
          <t>HN110.5.A8 Z66 1980</t>
        </is>
      </c>
      <c r="C14" t="inlineStr">
        <is>
          <t>0                      HN 0110500A  8                  Z  66          1980</t>
        </is>
      </c>
      <c r="D14" t="inlineStr">
        <is>
          <t>Cultural accumulation in Latin America / Paul E. Zopf, Jr.</t>
        </is>
      </c>
      <c r="F14" t="inlineStr">
        <is>
          <t>No</t>
        </is>
      </c>
      <c r="G14" t="inlineStr">
        <is>
          <t>1</t>
        </is>
      </c>
      <c r="H14" t="inlineStr">
        <is>
          <t>No</t>
        </is>
      </c>
      <c r="I14" t="inlineStr">
        <is>
          <t>No</t>
        </is>
      </c>
      <c r="J14" t="inlineStr">
        <is>
          <t>0</t>
        </is>
      </c>
      <c r="K14" t="inlineStr">
        <is>
          <t>Zopf, Paul E.</t>
        </is>
      </c>
      <c r="L14" t="inlineStr">
        <is>
          <t>Washington, D.C. : University Press of America, c1980.</t>
        </is>
      </c>
      <c r="M14" t="inlineStr">
        <is>
          <t>1980</t>
        </is>
      </c>
      <c r="O14" t="inlineStr">
        <is>
          <t>eng</t>
        </is>
      </c>
      <c r="P14" t="inlineStr">
        <is>
          <t>dcu</t>
        </is>
      </c>
      <c r="R14" t="inlineStr">
        <is>
          <t xml:space="preserve">HN </t>
        </is>
      </c>
      <c r="S14" t="n">
        <v>2</v>
      </c>
      <c r="T14" t="n">
        <v>2</v>
      </c>
      <c r="U14" t="inlineStr">
        <is>
          <t>1999-02-01</t>
        </is>
      </c>
      <c r="V14" t="inlineStr">
        <is>
          <t>1999-02-01</t>
        </is>
      </c>
      <c r="W14" t="inlineStr">
        <is>
          <t>1992-10-09</t>
        </is>
      </c>
      <c r="X14" t="inlineStr">
        <is>
          <t>1992-10-09</t>
        </is>
      </c>
      <c r="Y14" t="n">
        <v>184</v>
      </c>
      <c r="Z14" t="n">
        <v>161</v>
      </c>
      <c r="AA14" t="n">
        <v>163</v>
      </c>
      <c r="AB14" t="n">
        <v>2</v>
      </c>
      <c r="AC14" t="n">
        <v>2</v>
      </c>
      <c r="AD14" t="n">
        <v>9</v>
      </c>
      <c r="AE14" t="n">
        <v>9</v>
      </c>
      <c r="AF14" t="n">
        <v>1</v>
      </c>
      <c r="AG14" t="n">
        <v>1</v>
      </c>
      <c r="AH14" t="n">
        <v>2</v>
      </c>
      <c r="AI14" t="n">
        <v>2</v>
      </c>
      <c r="AJ14" t="n">
        <v>7</v>
      </c>
      <c r="AK14" t="n">
        <v>7</v>
      </c>
      <c r="AL14" t="n">
        <v>1</v>
      </c>
      <c r="AM14" t="n">
        <v>1</v>
      </c>
      <c r="AN14" t="n">
        <v>0</v>
      </c>
      <c r="AO14" t="n">
        <v>0</v>
      </c>
      <c r="AP14" t="inlineStr">
        <is>
          <t>No</t>
        </is>
      </c>
      <c r="AQ14" t="inlineStr">
        <is>
          <t>Yes</t>
        </is>
      </c>
      <c r="AR14">
        <f>HYPERLINK("http://catalog.hathitrust.org/Record/101044926","HathiTrust Record")</f>
        <v/>
      </c>
      <c r="AS14">
        <f>HYPERLINK("https://creighton-primo.hosted.exlibrisgroup.com/primo-explore/search?tab=default_tab&amp;search_scope=EVERYTHING&amp;vid=01CRU&amp;lang=en_US&amp;offset=0&amp;query=any,contains,991004911109702656","Catalog Record")</f>
        <v/>
      </c>
      <c r="AT14">
        <f>HYPERLINK("http://www.worldcat.org/oclc/5992216","WorldCat Record")</f>
        <v/>
      </c>
      <c r="AU14" t="inlineStr">
        <is>
          <t>21008873:eng</t>
        </is>
      </c>
      <c r="AV14" t="inlineStr">
        <is>
          <t>5992216</t>
        </is>
      </c>
      <c r="AW14" t="inlineStr">
        <is>
          <t>991004911109702656</t>
        </is>
      </c>
      <c r="AX14" t="inlineStr">
        <is>
          <t>991004911109702656</t>
        </is>
      </c>
      <c r="AY14" t="inlineStr">
        <is>
          <t>2261638220002656</t>
        </is>
      </c>
      <c r="AZ14" t="inlineStr">
        <is>
          <t>BOOK</t>
        </is>
      </c>
      <c r="BB14" t="inlineStr">
        <is>
          <t>9780819110121</t>
        </is>
      </c>
      <c r="BC14" t="inlineStr">
        <is>
          <t>32285001356467</t>
        </is>
      </c>
      <c r="BD14" t="inlineStr">
        <is>
          <t>893810749</t>
        </is>
      </c>
    </row>
    <row r="15">
      <c r="A15" t="inlineStr">
        <is>
          <t>No</t>
        </is>
      </c>
      <c r="B15" t="inlineStr">
        <is>
          <t>HN110.5.Z9 C62632 1994</t>
        </is>
      </c>
      <c r="C15" t="inlineStr">
        <is>
          <t>0                      HN 0110500Z  9                  C  62632       1994</t>
        </is>
      </c>
      <c r="D15" t="inlineStr">
        <is>
          <t>Cultural expression and grassroots development : cases from Latin America and the Caribbean / edited by Charles David Kleymeyer.</t>
        </is>
      </c>
      <c r="F15" t="inlineStr">
        <is>
          <t>No</t>
        </is>
      </c>
      <c r="G15" t="inlineStr">
        <is>
          <t>1</t>
        </is>
      </c>
      <c r="H15" t="inlineStr">
        <is>
          <t>No</t>
        </is>
      </c>
      <c r="I15" t="inlineStr">
        <is>
          <t>No</t>
        </is>
      </c>
      <c r="J15" t="inlineStr">
        <is>
          <t>0</t>
        </is>
      </c>
      <c r="L15" t="inlineStr">
        <is>
          <t>Boulder, Colo. : L. Rienner, 1994.</t>
        </is>
      </c>
      <c r="M15" t="inlineStr">
        <is>
          <t>1994</t>
        </is>
      </c>
      <c r="O15" t="inlineStr">
        <is>
          <t>eng</t>
        </is>
      </c>
      <c r="P15" t="inlineStr">
        <is>
          <t>cou</t>
        </is>
      </c>
      <c r="R15" t="inlineStr">
        <is>
          <t xml:space="preserve">HN </t>
        </is>
      </c>
      <c r="S15" t="n">
        <v>3</v>
      </c>
      <c r="T15" t="n">
        <v>3</v>
      </c>
      <c r="U15" t="inlineStr">
        <is>
          <t>2003-02-22</t>
        </is>
      </c>
      <c r="V15" t="inlineStr">
        <is>
          <t>2003-02-22</t>
        </is>
      </c>
      <c r="W15" t="inlineStr">
        <is>
          <t>1995-04-05</t>
        </is>
      </c>
      <c r="X15" t="inlineStr">
        <is>
          <t>1995-04-05</t>
        </is>
      </c>
      <c r="Y15" t="n">
        <v>413</v>
      </c>
      <c r="Z15" t="n">
        <v>325</v>
      </c>
      <c r="AA15" t="n">
        <v>337</v>
      </c>
      <c r="AB15" t="n">
        <v>2</v>
      </c>
      <c r="AC15" t="n">
        <v>2</v>
      </c>
      <c r="AD15" t="n">
        <v>12</v>
      </c>
      <c r="AE15" t="n">
        <v>12</v>
      </c>
      <c r="AF15" t="n">
        <v>3</v>
      </c>
      <c r="AG15" t="n">
        <v>3</v>
      </c>
      <c r="AH15" t="n">
        <v>4</v>
      </c>
      <c r="AI15" t="n">
        <v>4</v>
      </c>
      <c r="AJ15" t="n">
        <v>8</v>
      </c>
      <c r="AK15" t="n">
        <v>8</v>
      </c>
      <c r="AL15" t="n">
        <v>1</v>
      </c>
      <c r="AM15" t="n">
        <v>1</v>
      </c>
      <c r="AN15" t="n">
        <v>0</v>
      </c>
      <c r="AO15" t="n">
        <v>0</v>
      </c>
      <c r="AP15" t="inlineStr">
        <is>
          <t>No</t>
        </is>
      </c>
      <c r="AQ15" t="inlineStr">
        <is>
          <t>No</t>
        </is>
      </c>
      <c r="AS15">
        <f>HYPERLINK("https://creighton-primo.hosted.exlibrisgroup.com/primo-explore/search?tab=default_tab&amp;search_scope=EVERYTHING&amp;vid=01CRU&amp;lang=en_US&amp;offset=0&amp;query=any,contains,991002219639702656","Catalog Record")</f>
        <v/>
      </c>
      <c r="AT15">
        <f>HYPERLINK("http://www.worldcat.org/oclc/28586072","WorldCat Record")</f>
        <v/>
      </c>
      <c r="AU15" t="inlineStr">
        <is>
          <t>890665318:eng</t>
        </is>
      </c>
      <c r="AV15" t="inlineStr">
        <is>
          <t>28586072</t>
        </is>
      </c>
      <c r="AW15" t="inlineStr">
        <is>
          <t>991002219639702656</t>
        </is>
      </c>
      <c r="AX15" t="inlineStr">
        <is>
          <t>991002219639702656</t>
        </is>
      </c>
      <c r="AY15" t="inlineStr">
        <is>
          <t>2263724830002656</t>
        </is>
      </c>
      <c r="AZ15" t="inlineStr">
        <is>
          <t>BOOK</t>
        </is>
      </c>
      <c r="BB15" t="inlineStr">
        <is>
          <t>9781555874612</t>
        </is>
      </c>
      <c r="BC15" t="inlineStr">
        <is>
          <t>32285002016532</t>
        </is>
      </c>
      <c r="BD15" t="inlineStr">
        <is>
          <t>893721341</t>
        </is>
      </c>
    </row>
    <row r="16">
      <c r="A16" t="inlineStr">
        <is>
          <t>No</t>
        </is>
      </c>
      <c r="B16" t="inlineStr">
        <is>
          <t>HN110.5.Z9 C62813 1969b</t>
        </is>
      </c>
      <c r="C16" t="inlineStr">
        <is>
          <t>0                      HN 0110500Z  9                  C  62813       1969b</t>
        </is>
      </c>
      <c r="D16" t="inlineStr">
        <is>
          <t>Roads to power in Latin America / translated by Robert Rowland.</t>
        </is>
      </c>
      <c r="F16" t="inlineStr">
        <is>
          <t>No</t>
        </is>
      </c>
      <c r="G16" t="inlineStr">
        <is>
          <t>1</t>
        </is>
      </c>
      <c r="H16" t="inlineStr">
        <is>
          <t>No</t>
        </is>
      </c>
      <c r="I16" t="inlineStr">
        <is>
          <t>No</t>
        </is>
      </c>
      <c r="J16" t="inlineStr">
        <is>
          <t>0</t>
        </is>
      </c>
      <c r="K16" t="inlineStr">
        <is>
          <t>Mercier Vega, Louis, 1914-1977.</t>
        </is>
      </c>
      <c r="L16" t="inlineStr">
        <is>
          <t>New York : Praeger, [1969]</t>
        </is>
      </c>
      <c r="M16" t="inlineStr">
        <is>
          <t>1969</t>
        </is>
      </c>
      <c r="O16" t="inlineStr">
        <is>
          <t>eng</t>
        </is>
      </c>
      <c r="P16" t="inlineStr">
        <is>
          <t>nyu</t>
        </is>
      </c>
      <c r="R16" t="inlineStr">
        <is>
          <t xml:space="preserve">HN </t>
        </is>
      </c>
      <c r="S16" t="n">
        <v>4</v>
      </c>
      <c r="T16" t="n">
        <v>4</v>
      </c>
      <c r="U16" t="inlineStr">
        <is>
          <t>1995-04-22</t>
        </is>
      </c>
      <c r="V16" t="inlineStr">
        <is>
          <t>1995-04-22</t>
        </is>
      </c>
      <c r="W16" t="inlineStr">
        <is>
          <t>1994-02-22</t>
        </is>
      </c>
      <c r="X16" t="inlineStr">
        <is>
          <t>1994-02-22</t>
        </is>
      </c>
      <c r="Y16" t="n">
        <v>335</v>
      </c>
      <c r="Z16" t="n">
        <v>303</v>
      </c>
      <c r="AA16" t="n">
        <v>416</v>
      </c>
      <c r="AB16" t="n">
        <v>3</v>
      </c>
      <c r="AC16" t="n">
        <v>3</v>
      </c>
      <c r="AD16" t="n">
        <v>16</v>
      </c>
      <c r="AE16" t="n">
        <v>23</v>
      </c>
      <c r="AF16" t="n">
        <v>6</v>
      </c>
      <c r="AG16" t="n">
        <v>8</v>
      </c>
      <c r="AH16" t="n">
        <v>6</v>
      </c>
      <c r="AI16" t="n">
        <v>7</v>
      </c>
      <c r="AJ16" t="n">
        <v>8</v>
      </c>
      <c r="AK16" t="n">
        <v>14</v>
      </c>
      <c r="AL16" t="n">
        <v>2</v>
      </c>
      <c r="AM16" t="n">
        <v>2</v>
      </c>
      <c r="AN16" t="n">
        <v>0</v>
      </c>
      <c r="AO16" t="n">
        <v>0</v>
      </c>
      <c r="AP16" t="inlineStr">
        <is>
          <t>No</t>
        </is>
      </c>
      <c r="AQ16" t="inlineStr">
        <is>
          <t>Yes</t>
        </is>
      </c>
      <c r="AR16">
        <f>HYPERLINK("http://catalog.hathitrust.org/Record/000965442","HathiTrust Record")</f>
        <v/>
      </c>
      <c r="AS16">
        <f>HYPERLINK("https://creighton-primo.hosted.exlibrisgroup.com/primo-explore/search?tab=default_tab&amp;search_scope=EVERYTHING&amp;vid=01CRU&amp;lang=en_US&amp;offset=0&amp;query=any,contains,991002800639702656","Catalog Record")</f>
        <v/>
      </c>
      <c r="AT16">
        <f>HYPERLINK("http://www.worldcat.org/oclc/447185","WorldCat Record")</f>
        <v/>
      </c>
      <c r="AU16" t="inlineStr">
        <is>
          <t>4924052779:eng</t>
        </is>
      </c>
      <c r="AV16" t="inlineStr">
        <is>
          <t>447185</t>
        </is>
      </c>
      <c r="AW16" t="inlineStr">
        <is>
          <t>991002800639702656</t>
        </is>
      </c>
      <c r="AX16" t="inlineStr">
        <is>
          <t>991002800639702656</t>
        </is>
      </c>
      <c r="AY16" t="inlineStr">
        <is>
          <t>2268418530002656</t>
        </is>
      </c>
      <c r="AZ16" t="inlineStr">
        <is>
          <t>BOOK</t>
        </is>
      </c>
      <c r="BC16" t="inlineStr">
        <is>
          <t>32285001839249</t>
        </is>
      </c>
      <c r="BD16" t="inlineStr">
        <is>
          <t>893245664</t>
        </is>
      </c>
    </row>
    <row r="17">
      <c r="A17" t="inlineStr">
        <is>
          <t>No</t>
        </is>
      </c>
      <c r="B17" t="inlineStr">
        <is>
          <t>HN110.5.Z9 S66 1981</t>
        </is>
      </c>
      <c r="C17" t="inlineStr">
        <is>
          <t>0                      HN 0110500Z  9                  S  66          1981</t>
        </is>
      </c>
      <c r="D17" t="inlineStr">
        <is>
          <t>Class, state, and power in the Third World, with case studies on class conflict in Latin America / James F. Petras, with Morris H. Morley, Peter DeWitt, and A. Eugene Havens.</t>
        </is>
      </c>
      <c r="F17" t="inlineStr">
        <is>
          <t>No</t>
        </is>
      </c>
      <c r="G17" t="inlineStr">
        <is>
          <t>1</t>
        </is>
      </c>
      <c r="H17" t="inlineStr">
        <is>
          <t>No</t>
        </is>
      </c>
      <c r="I17" t="inlineStr">
        <is>
          <t>No</t>
        </is>
      </c>
      <c r="J17" t="inlineStr">
        <is>
          <t>0</t>
        </is>
      </c>
      <c r="K17" t="inlineStr">
        <is>
          <t>Petras, James F., 1937-</t>
        </is>
      </c>
      <c r="L17" t="inlineStr">
        <is>
          <t>Montclair, N.J. : Allanheld, Osmun, 1981.</t>
        </is>
      </c>
      <c r="M17" t="inlineStr">
        <is>
          <t>1981</t>
        </is>
      </c>
      <c r="O17" t="inlineStr">
        <is>
          <t>eng</t>
        </is>
      </c>
      <c r="P17" t="inlineStr">
        <is>
          <t>nju</t>
        </is>
      </c>
      <c r="Q17" t="inlineStr">
        <is>
          <t>LandMark studies</t>
        </is>
      </c>
      <c r="R17" t="inlineStr">
        <is>
          <t xml:space="preserve">HN </t>
        </is>
      </c>
      <c r="S17" t="n">
        <v>3</v>
      </c>
      <c r="T17" t="n">
        <v>3</v>
      </c>
      <c r="U17" t="inlineStr">
        <is>
          <t>1997-04-02</t>
        </is>
      </c>
      <c r="V17" t="inlineStr">
        <is>
          <t>1997-04-02</t>
        </is>
      </c>
      <c r="W17" t="inlineStr">
        <is>
          <t>1992-10-09</t>
        </is>
      </c>
      <c r="X17" t="inlineStr">
        <is>
          <t>1992-10-09</t>
        </is>
      </c>
      <c r="Y17" t="n">
        <v>596</v>
      </c>
      <c r="Z17" t="n">
        <v>460</v>
      </c>
      <c r="AA17" t="n">
        <v>491</v>
      </c>
      <c r="AB17" t="n">
        <v>5</v>
      </c>
      <c r="AC17" t="n">
        <v>5</v>
      </c>
      <c r="AD17" t="n">
        <v>24</v>
      </c>
      <c r="AE17" t="n">
        <v>25</v>
      </c>
      <c r="AF17" t="n">
        <v>6</v>
      </c>
      <c r="AG17" t="n">
        <v>7</v>
      </c>
      <c r="AH17" t="n">
        <v>8</v>
      </c>
      <c r="AI17" t="n">
        <v>8</v>
      </c>
      <c r="AJ17" t="n">
        <v>12</v>
      </c>
      <c r="AK17" t="n">
        <v>13</v>
      </c>
      <c r="AL17" t="n">
        <v>4</v>
      </c>
      <c r="AM17" t="n">
        <v>4</v>
      </c>
      <c r="AN17" t="n">
        <v>1</v>
      </c>
      <c r="AO17" t="n">
        <v>1</v>
      </c>
      <c r="AP17" t="inlineStr">
        <is>
          <t>No</t>
        </is>
      </c>
      <c r="AQ17" t="inlineStr">
        <is>
          <t>Yes</t>
        </is>
      </c>
      <c r="AR17">
        <f>HYPERLINK("http://catalog.hathitrust.org/Record/000141984","HathiTrust Record")</f>
        <v/>
      </c>
      <c r="AS17">
        <f>HYPERLINK("https://creighton-primo.hosted.exlibrisgroup.com/primo-explore/search?tab=default_tab&amp;search_scope=EVERYTHING&amp;vid=01CRU&amp;lang=en_US&amp;offset=0&amp;query=any,contains,991005059639702656","Catalog Record")</f>
        <v/>
      </c>
      <c r="AT17">
        <f>HYPERLINK("http://www.worldcat.org/oclc/6916260","WorldCat Record")</f>
        <v/>
      </c>
      <c r="AU17" t="inlineStr">
        <is>
          <t>512838:eng</t>
        </is>
      </c>
      <c r="AV17" t="inlineStr">
        <is>
          <t>6916260</t>
        </is>
      </c>
      <c r="AW17" t="inlineStr">
        <is>
          <t>991005059639702656</t>
        </is>
      </c>
      <c r="AX17" t="inlineStr">
        <is>
          <t>991005059639702656</t>
        </is>
      </c>
      <c r="AY17" t="inlineStr">
        <is>
          <t>2266278000002656</t>
        </is>
      </c>
      <c r="AZ17" t="inlineStr">
        <is>
          <t>BOOK</t>
        </is>
      </c>
      <c r="BB17" t="inlineStr">
        <is>
          <t>9780865980181</t>
        </is>
      </c>
      <c r="BC17" t="inlineStr">
        <is>
          <t>32285001356491</t>
        </is>
      </c>
      <c r="BD17" t="inlineStr">
        <is>
          <t>893895792</t>
        </is>
      </c>
    </row>
    <row r="18">
      <c r="A18" t="inlineStr">
        <is>
          <t>No</t>
        </is>
      </c>
      <c r="B18" t="inlineStr">
        <is>
          <t>HN110.Q4 Q4 1974</t>
        </is>
      </c>
      <c r="C18" t="inlineStr">
        <is>
          <t>0                      HN 0110000Q  4                  Q  4           1974</t>
        </is>
      </c>
      <c r="D18" t="inlineStr">
        <is>
          <t>Québec and radical social change / edited by Dimitrios I. Roussopoulos.</t>
        </is>
      </c>
      <c r="F18" t="inlineStr">
        <is>
          <t>No</t>
        </is>
      </c>
      <c r="G18" t="inlineStr">
        <is>
          <t>1</t>
        </is>
      </c>
      <c r="H18" t="inlineStr">
        <is>
          <t>No</t>
        </is>
      </c>
      <c r="I18" t="inlineStr">
        <is>
          <t>No</t>
        </is>
      </c>
      <c r="J18" t="inlineStr">
        <is>
          <t>0</t>
        </is>
      </c>
      <c r="L18" t="inlineStr">
        <is>
          <t>Montréal : Black Rose Books, 1974.</t>
        </is>
      </c>
      <c r="M18" t="inlineStr">
        <is>
          <t>1974</t>
        </is>
      </c>
      <c r="N18" t="inlineStr">
        <is>
          <t>1st ed.</t>
        </is>
      </c>
      <c r="O18" t="inlineStr">
        <is>
          <t>eng</t>
        </is>
      </c>
      <c r="P18" t="inlineStr">
        <is>
          <t>quc</t>
        </is>
      </c>
      <c r="Q18" t="inlineStr">
        <is>
          <t>Black Rose books ; no. E17</t>
        </is>
      </c>
      <c r="R18" t="inlineStr">
        <is>
          <t xml:space="preserve">HN </t>
        </is>
      </c>
      <c r="S18" t="n">
        <v>1</v>
      </c>
      <c r="T18" t="n">
        <v>1</v>
      </c>
      <c r="U18" t="inlineStr">
        <is>
          <t>2004-03-22</t>
        </is>
      </c>
      <c r="V18" t="inlineStr">
        <is>
          <t>2004-03-22</t>
        </is>
      </c>
      <c r="W18" t="inlineStr">
        <is>
          <t>2004-03-22</t>
        </is>
      </c>
      <c r="X18" t="inlineStr">
        <is>
          <t>2004-03-22</t>
        </is>
      </c>
      <c r="Y18" t="n">
        <v>152</v>
      </c>
      <c r="Z18" t="n">
        <v>75</v>
      </c>
      <c r="AA18" t="n">
        <v>77</v>
      </c>
      <c r="AB18" t="n">
        <v>1</v>
      </c>
      <c r="AC18" t="n">
        <v>1</v>
      </c>
      <c r="AD18" t="n">
        <v>4</v>
      </c>
      <c r="AE18" t="n">
        <v>4</v>
      </c>
      <c r="AF18" t="n">
        <v>1</v>
      </c>
      <c r="AG18" t="n">
        <v>1</v>
      </c>
      <c r="AH18" t="n">
        <v>2</v>
      </c>
      <c r="AI18" t="n">
        <v>2</v>
      </c>
      <c r="AJ18" t="n">
        <v>3</v>
      </c>
      <c r="AK18" t="n">
        <v>3</v>
      </c>
      <c r="AL18" t="n">
        <v>0</v>
      </c>
      <c r="AM18" t="n">
        <v>0</v>
      </c>
      <c r="AN18" t="n">
        <v>0</v>
      </c>
      <c r="AO18" t="n">
        <v>0</v>
      </c>
      <c r="AP18" t="inlineStr">
        <is>
          <t>No</t>
        </is>
      </c>
      <c r="AQ18" t="inlineStr">
        <is>
          <t>Yes</t>
        </is>
      </c>
      <c r="AR18">
        <f>HYPERLINK("http://catalog.hathitrust.org/Record/000707883","HathiTrust Record")</f>
        <v/>
      </c>
      <c r="AS18">
        <f>HYPERLINK("https://creighton-primo.hosted.exlibrisgroup.com/primo-explore/search?tab=default_tab&amp;search_scope=EVERYTHING&amp;vid=01CRU&amp;lang=en_US&amp;offset=0&amp;query=any,contains,991004163479702656","Catalog Record")</f>
        <v/>
      </c>
      <c r="AT18">
        <f>HYPERLINK("http://www.worldcat.org/oclc/2586781","WorldCat Record")</f>
        <v/>
      </c>
      <c r="AU18" t="inlineStr">
        <is>
          <t>5578169:eng</t>
        </is>
      </c>
      <c r="AV18" t="inlineStr">
        <is>
          <t>2586781</t>
        </is>
      </c>
      <c r="AW18" t="inlineStr">
        <is>
          <t>991004163479702656</t>
        </is>
      </c>
      <c r="AX18" t="inlineStr">
        <is>
          <t>991004163479702656</t>
        </is>
      </c>
      <c r="AY18" t="inlineStr">
        <is>
          <t>2264039350002656</t>
        </is>
      </c>
      <c r="AZ18" t="inlineStr">
        <is>
          <t>BOOK</t>
        </is>
      </c>
      <c r="BB18" t="inlineStr">
        <is>
          <t>9780919618510</t>
        </is>
      </c>
      <c r="BC18" t="inlineStr">
        <is>
          <t>32285004895503</t>
        </is>
      </c>
      <c r="BD18" t="inlineStr">
        <is>
          <t>893806742</t>
        </is>
      </c>
    </row>
    <row r="19">
      <c r="A19" t="inlineStr">
        <is>
          <t>No</t>
        </is>
      </c>
      <c r="B19" t="inlineStr">
        <is>
          <t>HN110.Z9 R37</t>
        </is>
      </c>
      <c r="C19" t="inlineStr">
        <is>
          <t>0                      HN 0110000Z  9                  R  37</t>
        </is>
      </c>
      <c r="D19" t="inlineStr">
        <is>
          <t>Canada and radical social change / edited by Dimitrios I. Roussopoulos.</t>
        </is>
      </c>
      <c r="F19" t="inlineStr">
        <is>
          <t>No</t>
        </is>
      </c>
      <c r="G19" t="inlineStr">
        <is>
          <t>1</t>
        </is>
      </c>
      <c r="H19" t="inlineStr">
        <is>
          <t>No</t>
        </is>
      </c>
      <c r="I19" t="inlineStr">
        <is>
          <t>No</t>
        </is>
      </c>
      <c r="J19" t="inlineStr">
        <is>
          <t>0</t>
        </is>
      </c>
      <c r="K19" t="inlineStr">
        <is>
          <t>Roussopoulos, Dimitrios I. compiler.</t>
        </is>
      </c>
      <c r="L19" t="inlineStr">
        <is>
          <t>Montréal : Black Rose Books, [1973].</t>
        </is>
      </c>
      <c r="M19" t="inlineStr">
        <is>
          <t>1973</t>
        </is>
      </c>
      <c r="O19" t="inlineStr">
        <is>
          <t>eng</t>
        </is>
      </c>
      <c r="P19" t="inlineStr">
        <is>
          <t>quc</t>
        </is>
      </c>
      <c r="Q19" t="inlineStr">
        <is>
          <t>Black Rose books ; no. D12</t>
        </is>
      </c>
      <c r="R19" t="inlineStr">
        <is>
          <t xml:space="preserve">HN </t>
        </is>
      </c>
      <c r="S19" t="n">
        <v>1</v>
      </c>
      <c r="T19" t="n">
        <v>1</v>
      </c>
      <c r="U19" t="inlineStr">
        <is>
          <t>1993-02-21</t>
        </is>
      </c>
      <c r="V19" t="inlineStr">
        <is>
          <t>1993-02-21</t>
        </is>
      </c>
      <c r="W19" t="inlineStr">
        <is>
          <t>1992-11-02</t>
        </is>
      </c>
      <c r="X19" t="inlineStr">
        <is>
          <t>1992-11-02</t>
        </is>
      </c>
      <c r="Y19" t="n">
        <v>220</v>
      </c>
      <c r="Z19" t="n">
        <v>131</v>
      </c>
      <c r="AA19" t="n">
        <v>138</v>
      </c>
      <c r="AB19" t="n">
        <v>2</v>
      </c>
      <c r="AC19" t="n">
        <v>2</v>
      </c>
      <c r="AD19" t="n">
        <v>4</v>
      </c>
      <c r="AE19" t="n">
        <v>4</v>
      </c>
      <c r="AF19" t="n">
        <v>2</v>
      </c>
      <c r="AG19" t="n">
        <v>2</v>
      </c>
      <c r="AH19" t="n">
        <v>1</v>
      </c>
      <c r="AI19" t="n">
        <v>1</v>
      </c>
      <c r="AJ19" t="n">
        <v>2</v>
      </c>
      <c r="AK19" t="n">
        <v>2</v>
      </c>
      <c r="AL19" t="n">
        <v>1</v>
      </c>
      <c r="AM19" t="n">
        <v>1</v>
      </c>
      <c r="AN19" t="n">
        <v>0</v>
      </c>
      <c r="AO19" t="n">
        <v>0</v>
      </c>
      <c r="AP19" t="inlineStr">
        <is>
          <t>No</t>
        </is>
      </c>
      <c r="AQ19" t="inlineStr">
        <is>
          <t>Yes</t>
        </is>
      </c>
      <c r="AR19">
        <f>HYPERLINK("http://catalog.hathitrust.org/Record/000013674","HathiTrust Record")</f>
        <v/>
      </c>
      <c r="AS19">
        <f>HYPERLINK("https://creighton-primo.hosted.exlibrisgroup.com/primo-explore/search?tab=default_tab&amp;search_scope=EVERYTHING&amp;vid=01CRU&amp;lang=en_US&amp;offset=0&amp;query=any,contains,991003344609702656","Catalog Record")</f>
        <v/>
      </c>
      <c r="AT19">
        <f>HYPERLINK("http://www.worldcat.org/oclc/876219","WorldCat Record")</f>
        <v/>
      </c>
      <c r="AU19" t="inlineStr">
        <is>
          <t>364187131:eng</t>
        </is>
      </c>
      <c r="AV19" t="inlineStr">
        <is>
          <t>876219</t>
        </is>
      </c>
      <c r="AW19" t="inlineStr">
        <is>
          <t>991003344609702656</t>
        </is>
      </c>
      <c r="AX19" t="inlineStr">
        <is>
          <t>991003344609702656</t>
        </is>
      </c>
      <c r="AY19" t="inlineStr">
        <is>
          <t>2263836810002656</t>
        </is>
      </c>
      <c r="AZ19" t="inlineStr">
        <is>
          <t>BOOK</t>
        </is>
      </c>
      <c r="BB19" t="inlineStr">
        <is>
          <t>9780919618107</t>
        </is>
      </c>
      <c r="BC19" t="inlineStr">
        <is>
          <t>32285001380178</t>
        </is>
      </c>
      <c r="BD19" t="inlineStr">
        <is>
          <t>893604703</t>
        </is>
      </c>
    </row>
    <row r="20">
      <c r="A20" t="inlineStr">
        <is>
          <t>No</t>
        </is>
      </c>
      <c r="B20" t="inlineStr">
        <is>
          <t>HN110.Z9 V575 1995</t>
        </is>
      </c>
      <c r="C20" t="inlineStr">
        <is>
          <t>0                      HN 0110000Z  9                  V  575         1995</t>
        </is>
      </c>
      <c r="D20" t="inlineStr">
        <is>
          <t>Violence in Canada : sociopolitical perspectives / edited by Jeffrey Ian Ross ; foreword by Ted Robert Gurr.</t>
        </is>
      </c>
      <c r="F20" t="inlineStr">
        <is>
          <t>No</t>
        </is>
      </c>
      <c r="G20" t="inlineStr">
        <is>
          <t>1</t>
        </is>
      </c>
      <c r="H20" t="inlineStr">
        <is>
          <t>No</t>
        </is>
      </c>
      <c r="I20" t="inlineStr">
        <is>
          <t>No</t>
        </is>
      </c>
      <c r="J20" t="inlineStr">
        <is>
          <t>0</t>
        </is>
      </c>
      <c r="L20" t="inlineStr">
        <is>
          <t>Don Mills, Ont. ; New York : Oxford University Press, c1995.</t>
        </is>
      </c>
      <c r="M20" t="inlineStr">
        <is>
          <t>1995</t>
        </is>
      </c>
      <c r="O20" t="inlineStr">
        <is>
          <t>eng</t>
        </is>
      </c>
      <c r="P20" t="inlineStr">
        <is>
          <t>onc</t>
        </is>
      </c>
      <c r="R20" t="inlineStr">
        <is>
          <t xml:space="preserve">HN </t>
        </is>
      </c>
      <c r="S20" t="n">
        <v>1</v>
      </c>
      <c r="T20" t="n">
        <v>1</v>
      </c>
      <c r="U20" t="inlineStr">
        <is>
          <t>2001-02-11</t>
        </is>
      </c>
      <c r="V20" t="inlineStr">
        <is>
          <t>2001-02-11</t>
        </is>
      </c>
      <c r="W20" t="inlineStr">
        <is>
          <t>1996-04-17</t>
        </is>
      </c>
      <c r="X20" t="inlineStr">
        <is>
          <t>1996-04-17</t>
        </is>
      </c>
      <c r="Y20" t="n">
        <v>259</v>
      </c>
      <c r="Z20" t="n">
        <v>158</v>
      </c>
      <c r="AA20" t="n">
        <v>217</v>
      </c>
      <c r="AB20" t="n">
        <v>1</v>
      </c>
      <c r="AC20" t="n">
        <v>2</v>
      </c>
      <c r="AD20" t="n">
        <v>7</v>
      </c>
      <c r="AE20" t="n">
        <v>8</v>
      </c>
      <c r="AF20" t="n">
        <v>3</v>
      </c>
      <c r="AG20" t="n">
        <v>3</v>
      </c>
      <c r="AH20" t="n">
        <v>2</v>
      </c>
      <c r="AI20" t="n">
        <v>2</v>
      </c>
      <c r="AJ20" t="n">
        <v>7</v>
      </c>
      <c r="AK20" t="n">
        <v>7</v>
      </c>
      <c r="AL20" t="n">
        <v>0</v>
      </c>
      <c r="AM20" t="n">
        <v>1</v>
      </c>
      <c r="AN20" t="n">
        <v>0</v>
      </c>
      <c r="AO20" t="n">
        <v>0</v>
      </c>
      <c r="AP20" t="inlineStr">
        <is>
          <t>No</t>
        </is>
      </c>
      <c r="AQ20" t="inlineStr">
        <is>
          <t>Yes</t>
        </is>
      </c>
      <c r="AR20">
        <f>HYPERLINK("http://catalog.hathitrust.org/Record/003059120","HathiTrust Record")</f>
        <v/>
      </c>
      <c r="AS20">
        <f>HYPERLINK("https://creighton-primo.hosted.exlibrisgroup.com/primo-explore/search?tab=default_tab&amp;search_scope=EVERYTHING&amp;vid=01CRU&amp;lang=en_US&amp;offset=0&amp;query=any,contains,991002562119702656","Catalog Record")</f>
        <v/>
      </c>
      <c r="AT20">
        <f>HYPERLINK("http://www.worldcat.org/oclc/33325913","WorldCat Record")</f>
        <v/>
      </c>
      <c r="AU20" t="inlineStr">
        <is>
          <t>837741837:eng</t>
        </is>
      </c>
      <c r="AV20" t="inlineStr">
        <is>
          <t>33325913</t>
        </is>
      </c>
      <c r="AW20" t="inlineStr">
        <is>
          <t>991002562119702656</t>
        </is>
      </c>
      <c r="AX20" t="inlineStr">
        <is>
          <t>991002562119702656</t>
        </is>
      </c>
      <c r="AY20" t="inlineStr">
        <is>
          <t>2257174250002656</t>
        </is>
      </c>
      <c r="AZ20" t="inlineStr">
        <is>
          <t>BOOK</t>
        </is>
      </c>
      <c r="BB20" t="inlineStr">
        <is>
          <t>9780195410587</t>
        </is>
      </c>
      <c r="BC20" t="inlineStr">
        <is>
          <t>32285002153962</t>
        </is>
      </c>
      <c r="BD20" t="inlineStr">
        <is>
          <t>893347636</t>
        </is>
      </c>
    </row>
    <row r="21">
      <c r="A21" t="inlineStr">
        <is>
          <t>No</t>
        </is>
      </c>
      <c r="B21" t="inlineStr">
        <is>
          <t>HN113 .T88 1986</t>
        </is>
      </c>
      <c r="C21" t="inlineStr">
        <is>
          <t>0                      HN 0113000T  88          1986</t>
        </is>
      </c>
      <c r="D21" t="inlineStr">
        <is>
          <t>From insurrection to revolution in Mexico : social bases of agrarian violence, 1750-1940 / John Tutino.</t>
        </is>
      </c>
      <c r="F21" t="inlineStr">
        <is>
          <t>No</t>
        </is>
      </c>
      <c r="G21" t="inlineStr">
        <is>
          <t>1</t>
        </is>
      </c>
      <c r="H21" t="inlineStr">
        <is>
          <t>No</t>
        </is>
      </c>
      <c r="I21" t="inlineStr">
        <is>
          <t>No</t>
        </is>
      </c>
      <c r="J21" t="inlineStr">
        <is>
          <t>0</t>
        </is>
      </c>
      <c r="K21" t="inlineStr">
        <is>
          <t>Tutino, John, 1947-</t>
        </is>
      </c>
      <c r="L21" t="inlineStr">
        <is>
          <t>Princeton, N.J. : Princeton University Press, c1986.</t>
        </is>
      </c>
      <c r="M21" t="inlineStr">
        <is>
          <t>1986</t>
        </is>
      </c>
      <c r="O21" t="inlineStr">
        <is>
          <t>eng</t>
        </is>
      </c>
      <c r="P21" t="inlineStr">
        <is>
          <t>nju</t>
        </is>
      </c>
      <c r="R21" t="inlineStr">
        <is>
          <t xml:space="preserve">HN </t>
        </is>
      </c>
      <c r="S21" t="n">
        <v>1</v>
      </c>
      <c r="T21" t="n">
        <v>1</v>
      </c>
      <c r="U21" t="inlineStr">
        <is>
          <t>1996-10-13</t>
        </is>
      </c>
      <c r="V21" t="inlineStr">
        <is>
          <t>1996-10-13</t>
        </is>
      </c>
      <c r="W21" t="inlineStr">
        <is>
          <t>1992-10-09</t>
        </is>
      </c>
      <c r="X21" t="inlineStr">
        <is>
          <t>1992-10-09</t>
        </is>
      </c>
      <c r="Y21" t="n">
        <v>586</v>
      </c>
      <c r="Z21" t="n">
        <v>480</v>
      </c>
      <c r="AA21" t="n">
        <v>671</v>
      </c>
      <c r="AB21" t="n">
        <v>4</v>
      </c>
      <c r="AC21" t="n">
        <v>4</v>
      </c>
      <c r="AD21" t="n">
        <v>25</v>
      </c>
      <c r="AE21" t="n">
        <v>34</v>
      </c>
      <c r="AF21" t="n">
        <v>8</v>
      </c>
      <c r="AG21" t="n">
        <v>15</v>
      </c>
      <c r="AH21" t="n">
        <v>7</v>
      </c>
      <c r="AI21" t="n">
        <v>9</v>
      </c>
      <c r="AJ21" t="n">
        <v>15</v>
      </c>
      <c r="AK21" t="n">
        <v>17</v>
      </c>
      <c r="AL21" t="n">
        <v>3</v>
      </c>
      <c r="AM21" t="n">
        <v>3</v>
      </c>
      <c r="AN21" t="n">
        <v>0</v>
      </c>
      <c r="AO21" t="n">
        <v>0</v>
      </c>
      <c r="AP21" t="inlineStr">
        <is>
          <t>No</t>
        </is>
      </c>
      <c r="AQ21" t="inlineStr">
        <is>
          <t>No</t>
        </is>
      </c>
      <c r="AS21">
        <f>HYPERLINK("https://creighton-primo.hosted.exlibrisgroup.com/primo-explore/search?tab=default_tab&amp;search_scope=EVERYTHING&amp;vid=01CRU&amp;lang=en_US&amp;offset=0&amp;query=any,contains,991000853159702656","Catalog Record")</f>
        <v/>
      </c>
      <c r="AT21">
        <f>HYPERLINK("http://www.worldcat.org/oclc/13641996","WorldCat Record")</f>
        <v/>
      </c>
      <c r="AU21" t="inlineStr">
        <is>
          <t>7655264:eng</t>
        </is>
      </c>
      <c r="AV21" t="inlineStr">
        <is>
          <t>13641996</t>
        </is>
      </c>
      <c r="AW21" t="inlineStr">
        <is>
          <t>991000853159702656</t>
        </is>
      </c>
      <c r="AX21" t="inlineStr">
        <is>
          <t>991000853159702656</t>
        </is>
      </c>
      <c r="AY21" t="inlineStr">
        <is>
          <t>2272203990002656</t>
        </is>
      </c>
      <c r="AZ21" t="inlineStr">
        <is>
          <t>BOOK</t>
        </is>
      </c>
      <c r="BB21" t="inlineStr">
        <is>
          <t>9780691077215</t>
        </is>
      </c>
      <c r="BC21" t="inlineStr">
        <is>
          <t>32285001356509</t>
        </is>
      </c>
      <c r="BD21" t="inlineStr">
        <is>
          <t>893626473</t>
        </is>
      </c>
    </row>
    <row r="22">
      <c r="A22" t="inlineStr">
        <is>
          <t>No</t>
        </is>
      </c>
      <c r="B22" t="inlineStr">
        <is>
          <t>HN113.5 .F74</t>
        </is>
      </c>
      <c r="C22" t="inlineStr">
        <is>
          <t>0                      HN 0113500F  74</t>
        </is>
      </c>
      <c r="D22" t="inlineStr">
        <is>
          <t>Social character in a Mexican village : a sociopsychoanalytic study / [by] Erich Fromm [and] Michael Maccoby.</t>
        </is>
      </c>
      <c r="F22" t="inlineStr">
        <is>
          <t>No</t>
        </is>
      </c>
      <c r="G22" t="inlineStr">
        <is>
          <t>1</t>
        </is>
      </c>
      <c r="H22" t="inlineStr">
        <is>
          <t>No</t>
        </is>
      </c>
      <c r="I22" t="inlineStr">
        <is>
          <t>No</t>
        </is>
      </c>
      <c r="J22" t="inlineStr">
        <is>
          <t>0</t>
        </is>
      </c>
      <c r="K22" t="inlineStr">
        <is>
          <t>Fromm, Erich, 1900-1980.</t>
        </is>
      </c>
      <c r="L22" t="inlineStr">
        <is>
          <t>Englewood Cliffs, N.J. : Prentice-Hall, [1970]</t>
        </is>
      </c>
      <c r="M22" t="inlineStr">
        <is>
          <t>1970</t>
        </is>
      </c>
      <c r="O22" t="inlineStr">
        <is>
          <t>eng</t>
        </is>
      </c>
      <c r="P22" t="inlineStr">
        <is>
          <t>nju</t>
        </is>
      </c>
      <c r="R22" t="inlineStr">
        <is>
          <t xml:space="preserve">HN </t>
        </is>
      </c>
      <c r="S22" t="n">
        <v>4</v>
      </c>
      <c r="T22" t="n">
        <v>4</v>
      </c>
      <c r="U22" t="inlineStr">
        <is>
          <t>1996-09-29</t>
        </is>
      </c>
      <c r="V22" t="inlineStr">
        <is>
          <t>1996-09-29</t>
        </is>
      </c>
      <c r="W22" t="inlineStr">
        <is>
          <t>1993-07-13</t>
        </is>
      </c>
      <c r="X22" t="inlineStr">
        <is>
          <t>1993-07-13</t>
        </is>
      </c>
      <c r="Y22" t="n">
        <v>833</v>
      </c>
      <c r="Z22" t="n">
        <v>721</v>
      </c>
      <c r="AA22" t="n">
        <v>1063</v>
      </c>
      <c r="AB22" t="n">
        <v>5</v>
      </c>
      <c r="AC22" t="n">
        <v>8</v>
      </c>
      <c r="AD22" t="n">
        <v>32</v>
      </c>
      <c r="AE22" t="n">
        <v>43</v>
      </c>
      <c r="AF22" t="n">
        <v>11</v>
      </c>
      <c r="AG22" t="n">
        <v>14</v>
      </c>
      <c r="AH22" t="n">
        <v>8</v>
      </c>
      <c r="AI22" t="n">
        <v>10</v>
      </c>
      <c r="AJ22" t="n">
        <v>17</v>
      </c>
      <c r="AK22" t="n">
        <v>20</v>
      </c>
      <c r="AL22" t="n">
        <v>4</v>
      </c>
      <c r="AM22" t="n">
        <v>7</v>
      </c>
      <c r="AN22" t="n">
        <v>0</v>
      </c>
      <c r="AO22" t="n">
        <v>1</v>
      </c>
      <c r="AP22" t="inlineStr">
        <is>
          <t>No</t>
        </is>
      </c>
      <c r="AQ22" t="inlineStr">
        <is>
          <t>Yes</t>
        </is>
      </c>
      <c r="AR22">
        <f>HYPERLINK("http://catalog.hathitrust.org/Record/000975212","HathiTrust Record")</f>
        <v/>
      </c>
      <c r="AS22">
        <f>HYPERLINK("https://creighton-primo.hosted.exlibrisgroup.com/primo-explore/search?tab=default_tab&amp;search_scope=EVERYTHING&amp;vid=01CRU&amp;lang=en_US&amp;offset=0&amp;query=any,contains,991000633949702656","Catalog Record")</f>
        <v/>
      </c>
      <c r="AT22">
        <f>HYPERLINK("http://www.worldcat.org/oclc/106957","WorldCat Record")</f>
        <v/>
      </c>
      <c r="AU22" t="inlineStr">
        <is>
          <t>4663494283:eng</t>
        </is>
      </c>
      <c r="AV22" t="inlineStr">
        <is>
          <t>106957</t>
        </is>
      </c>
      <c r="AW22" t="inlineStr">
        <is>
          <t>991000633949702656</t>
        </is>
      </c>
      <c r="AX22" t="inlineStr">
        <is>
          <t>991000633949702656</t>
        </is>
      </c>
      <c r="AY22" t="inlineStr">
        <is>
          <t>2263676430002656</t>
        </is>
      </c>
      <c r="AZ22" t="inlineStr">
        <is>
          <t>BOOK</t>
        </is>
      </c>
      <c r="BB22" t="inlineStr">
        <is>
          <t>9780138156701</t>
        </is>
      </c>
      <c r="BC22" t="inlineStr">
        <is>
          <t>32285001722205</t>
        </is>
      </c>
      <c r="BD22" t="inlineStr">
        <is>
          <t>893425888</t>
        </is>
      </c>
    </row>
    <row r="23">
      <c r="A23" t="inlineStr">
        <is>
          <t>No</t>
        </is>
      </c>
      <c r="B23" t="inlineStr">
        <is>
          <t>HN120.M47 D48</t>
        </is>
      </c>
      <c r="C23" t="inlineStr">
        <is>
          <t>0                      HN 0120000M  47                 D  48</t>
        </is>
      </c>
      <c r="D23" t="inlineStr">
        <is>
          <t>Modernization in a Mexican ejido : a study in economic adaptation / Billie R. DeWalt.</t>
        </is>
      </c>
      <c r="F23" t="inlineStr">
        <is>
          <t>No</t>
        </is>
      </c>
      <c r="G23" t="inlineStr">
        <is>
          <t>1</t>
        </is>
      </c>
      <c r="H23" t="inlineStr">
        <is>
          <t>No</t>
        </is>
      </c>
      <c r="I23" t="inlineStr">
        <is>
          <t>No</t>
        </is>
      </c>
      <c r="J23" t="inlineStr">
        <is>
          <t>0</t>
        </is>
      </c>
      <c r="K23" t="inlineStr">
        <is>
          <t>DeWalt, Billie R.</t>
        </is>
      </c>
      <c r="L23" t="inlineStr">
        <is>
          <t>Cambridge ; New York : Cambridge University Press, 1979.</t>
        </is>
      </c>
      <c r="M23" t="inlineStr">
        <is>
          <t>1979</t>
        </is>
      </c>
      <c r="O23" t="inlineStr">
        <is>
          <t>eng</t>
        </is>
      </c>
      <c r="P23" t="inlineStr">
        <is>
          <t>enk</t>
        </is>
      </c>
      <c r="Q23" t="inlineStr">
        <is>
          <t>Cambridge Latin American studies ; 33</t>
        </is>
      </c>
      <c r="R23" t="inlineStr">
        <is>
          <t xml:space="preserve">HN </t>
        </is>
      </c>
      <c r="S23" t="n">
        <v>1</v>
      </c>
      <c r="T23" t="n">
        <v>1</v>
      </c>
      <c r="U23" t="inlineStr">
        <is>
          <t>2005-03-01</t>
        </is>
      </c>
      <c r="V23" t="inlineStr">
        <is>
          <t>2005-03-01</t>
        </is>
      </c>
      <c r="W23" t="inlineStr">
        <is>
          <t>1992-10-09</t>
        </is>
      </c>
      <c r="X23" t="inlineStr">
        <is>
          <t>1992-10-09</t>
        </is>
      </c>
      <c r="Y23" t="n">
        <v>447</v>
      </c>
      <c r="Z23" t="n">
        <v>341</v>
      </c>
      <c r="AA23" t="n">
        <v>342</v>
      </c>
      <c r="AB23" t="n">
        <v>2</v>
      </c>
      <c r="AC23" t="n">
        <v>2</v>
      </c>
      <c r="AD23" t="n">
        <v>12</v>
      </c>
      <c r="AE23" t="n">
        <v>12</v>
      </c>
      <c r="AF23" t="n">
        <v>2</v>
      </c>
      <c r="AG23" t="n">
        <v>2</v>
      </c>
      <c r="AH23" t="n">
        <v>5</v>
      </c>
      <c r="AI23" t="n">
        <v>5</v>
      </c>
      <c r="AJ23" t="n">
        <v>10</v>
      </c>
      <c r="AK23" t="n">
        <v>10</v>
      </c>
      <c r="AL23" t="n">
        <v>1</v>
      </c>
      <c r="AM23" t="n">
        <v>1</v>
      </c>
      <c r="AN23" t="n">
        <v>0</v>
      </c>
      <c r="AO23" t="n">
        <v>0</v>
      </c>
      <c r="AP23" t="inlineStr">
        <is>
          <t>No</t>
        </is>
      </c>
      <c r="AQ23" t="inlineStr">
        <is>
          <t>No</t>
        </is>
      </c>
      <c r="AS23">
        <f>HYPERLINK("https://creighton-primo.hosted.exlibrisgroup.com/primo-explore/search?tab=default_tab&amp;search_scope=EVERYTHING&amp;vid=01CRU&amp;lang=en_US&amp;offset=0&amp;query=any,contains,991004498539702656","Catalog Record")</f>
        <v/>
      </c>
      <c r="AT23">
        <f>HYPERLINK("http://www.worldcat.org/oclc/3707669","WorldCat Record")</f>
        <v/>
      </c>
      <c r="AU23" t="inlineStr">
        <is>
          <t>808110128:eng</t>
        </is>
      </c>
      <c r="AV23" t="inlineStr">
        <is>
          <t>3707669</t>
        </is>
      </c>
      <c r="AW23" t="inlineStr">
        <is>
          <t>991004498539702656</t>
        </is>
      </c>
      <c r="AX23" t="inlineStr">
        <is>
          <t>991004498539702656</t>
        </is>
      </c>
      <c r="AY23" t="inlineStr">
        <is>
          <t>2262919370002656</t>
        </is>
      </c>
      <c r="AZ23" t="inlineStr">
        <is>
          <t>BOOK</t>
        </is>
      </c>
      <c r="BB23" t="inlineStr">
        <is>
          <t>9780521220644</t>
        </is>
      </c>
      <c r="BC23" t="inlineStr">
        <is>
          <t>32285001356517</t>
        </is>
      </c>
      <c r="BD23" t="inlineStr">
        <is>
          <t>893869784</t>
        </is>
      </c>
    </row>
    <row r="24">
      <c r="A24" t="inlineStr">
        <is>
          <t>No</t>
        </is>
      </c>
      <c r="B24" t="inlineStr">
        <is>
          <t>HN120.T52 U77 1993</t>
        </is>
      </c>
      <c r="C24" t="inlineStr">
        <is>
          <t>0                      HN 0120000T  52                 U  77          1993</t>
        </is>
      </c>
      <c r="D24" t="inlineStr">
        <is>
          <t>Across the wire : life and hard times on the Mexican border / Luis Alberto Urrea ; photographs by John Lueders-Booth.</t>
        </is>
      </c>
      <c r="F24" t="inlineStr">
        <is>
          <t>No</t>
        </is>
      </c>
      <c r="G24" t="inlineStr">
        <is>
          <t>1</t>
        </is>
      </c>
      <c r="H24" t="inlineStr">
        <is>
          <t>No</t>
        </is>
      </c>
      <c r="I24" t="inlineStr">
        <is>
          <t>No</t>
        </is>
      </c>
      <c r="J24" t="inlineStr">
        <is>
          <t>0</t>
        </is>
      </c>
      <c r="K24" t="inlineStr">
        <is>
          <t>Urrea, Luis Alberto.</t>
        </is>
      </c>
      <c r="L24" t="inlineStr">
        <is>
          <t>New York : Anchor Books, 1993.</t>
        </is>
      </c>
      <c r="M24" t="inlineStr">
        <is>
          <t>1993</t>
        </is>
      </c>
      <c r="N24" t="inlineStr">
        <is>
          <t>1st Anchor Books ed.</t>
        </is>
      </c>
      <c r="O24" t="inlineStr">
        <is>
          <t>eng</t>
        </is>
      </c>
      <c r="P24" t="inlineStr">
        <is>
          <t>nyu</t>
        </is>
      </c>
      <c r="R24" t="inlineStr">
        <is>
          <t xml:space="preserve">HN </t>
        </is>
      </c>
      <c r="S24" t="n">
        <v>11</v>
      </c>
      <c r="T24" t="n">
        <v>11</v>
      </c>
      <c r="U24" t="inlineStr">
        <is>
          <t>2005-10-25</t>
        </is>
      </c>
      <c r="V24" t="inlineStr">
        <is>
          <t>2005-10-25</t>
        </is>
      </c>
      <c r="W24" t="inlineStr">
        <is>
          <t>1993-07-22</t>
        </is>
      </c>
      <c r="X24" t="inlineStr">
        <is>
          <t>1993-07-22</t>
        </is>
      </c>
      <c r="Y24" t="n">
        <v>982</v>
      </c>
      <c r="Z24" t="n">
        <v>953</v>
      </c>
      <c r="AA24" t="n">
        <v>988</v>
      </c>
      <c r="AB24" t="n">
        <v>7</v>
      </c>
      <c r="AC24" t="n">
        <v>7</v>
      </c>
      <c r="AD24" t="n">
        <v>30</v>
      </c>
      <c r="AE24" t="n">
        <v>30</v>
      </c>
      <c r="AF24" t="n">
        <v>10</v>
      </c>
      <c r="AG24" t="n">
        <v>10</v>
      </c>
      <c r="AH24" t="n">
        <v>7</v>
      </c>
      <c r="AI24" t="n">
        <v>7</v>
      </c>
      <c r="AJ24" t="n">
        <v>15</v>
      </c>
      <c r="AK24" t="n">
        <v>15</v>
      </c>
      <c r="AL24" t="n">
        <v>5</v>
      </c>
      <c r="AM24" t="n">
        <v>5</v>
      </c>
      <c r="AN24" t="n">
        <v>0</v>
      </c>
      <c r="AO24" t="n">
        <v>0</v>
      </c>
      <c r="AP24" t="inlineStr">
        <is>
          <t>No</t>
        </is>
      </c>
      <c r="AQ24" t="inlineStr">
        <is>
          <t>No</t>
        </is>
      </c>
      <c r="AS24">
        <f>HYPERLINK("https://creighton-primo.hosted.exlibrisgroup.com/primo-explore/search?tab=default_tab&amp;search_scope=EVERYTHING&amp;vid=01CRU&amp;lang=en_US&amp;offset=0&amp;query=any,contains,991005415739702656","Catalog Record")</f>
        <v/>
      </c>
      <c r="AT24">
        <f>HYPERLINK("http://www.worldcat.org/oclc/26551974","WorldCat Record")</f>
        <v/>
      </c>
      <c r="AU24" t="inlineStr">
        <is>
          <t>473832355:eng</t>
        </is>
      </c>
      <c r="AV24" t="inlineStr">
        <is>
          <t>26551974</t>
        </is>
      </c>
      <c r="AW24" t="inlineStr">
        <is>
          <t>991005415739702656</t>
        </is>
      </c>
      <c r="AX24" t="inlineStr">
        <is>
          <t>991005415739702656</t>
        </is>
      </c>
      <c r="AY24" t="inlineStr">
        <is>
          <t>2258596350002656</t>
        </is>
      </c>
      <c r="AZ24" t="inlineStr">
        <is>
          <t>BOOK</t>
        </is>
      </c>
      <c r="BB24" t="inlineStr">
        <is>
          <t>9780385425308</t>
        </is>
      </c>
      <c r="BC24" t="inlineStr">
        <is>
          <t>32285001703551</t>
        </is>
      </c>
      <c r="BD24" t="inlineStr">
        <is>
          <t>893230664</t>
        </is>
      </c>
    </row>
    <row r="25">
      <c r="A25" t="inlineStr">
        <is>
          <t>No</t>
        </is>
      </c>
      <c r="B25" t="inlineStr">
        <is>
          <t>HN123.5 .R6 2003</t>
        </is>
      </c>
      <c r="C25" t="inlineStr">
        <is>
          <t>0                      HN 0123500R  6           2003</t>
        </is>
      </c>
      <c r="D25" t="inlineStr">
        <is>
          <t>Transnational conflicts : Central America, social change, and globalization / William I. Robinson.</t>
        </is>
      </c>
      <c r="F25" t="inlineStr">
        <is>
          <t>No</t>
        </is>
      </c>
      <c r="G25" t="inlineStr">
        <is>
          <t>1</t>
        </is>
      </c>
      <c r="H25" t="inlineStr">
        <is>
          <t>No</t>
        </is>
      </c>
      <c r="I25" t="inlineStr">
        <is>
          <t>No</t>
        </is>
      </c>
      <c r="J25" t="inlineStr">
        <is>
          <t>0</t>
        </is>
      </c>
      <c r="K25" t="inlineStr">
        <is>
          <t>Robinson, William I.</t>
        </is>
      </c>
      <c r="L25" t="inlineStr">
        <is>
          <t>London ; New York : VERSO, 2003.</t>
        </is>
      </c>
      <c r="M25" t="inlineStr">
        <is>
          <t>2003</t>
        </is>
      </c>
      <c r="O25" t="inlineStr">
        <is>
          <t>eng</t>
        </is>
      </c>
      <c r="P25" t="inlineStr">
        <is>
          <t>enk</t>
        </is>
      </c>
      <c r="R25" t="inlineStr">
        <is>
          <t xml:space="preserve">HN </t>
        </is>
      </c>
      <c r="S25" t="n">
        <v>2</v>
      </c>
      <c r="T25" t="n">
        <v>2</v>
      </c>
      <c r="U25" t="inlineStr">
        <is>
          <t>2008-11-16</t>
        </is>
      </c>
      <c r="V25" t="inlineStr">
        <is>
          <t>2008-11-16</t>
        </is>
      </c>
      <c r="W25" t="inlineStr">
        <is>
          <t>2006-02-15</t>
        </is>
      </c>
      <c r="X25" t="inlineStr">
        <is>
          <t>2006-02-15</t>
        </is>
      </c>
      <c r="Y25" t="n">
        <v>400</v>
      </c>
      <c r="Z25" t="n">
        <v>316</v>
      </c>
      <c r="AA25" t="n">
        <v>324</v>
      </c>
      <c r="AB25" t="n">
        <v>4</v>
      </c>
      <c r="AC25" t="n">
        <v>4</v>
      </c>
      <c r="AD25" t="n">
        <v>18</v>
      </c>
      <c r="AE25" t="n">
        <v>19</v>
      </c>
      <c r="AF25" t="n">
        <v>6</v>
      </c>
      <c r="AG25" t="n">
        <v>7</v>
      </c>
      <c r="AH25" t="n">
        <v>6</v>
      </c>
      <c r="AI25" t="n">
        <v>6</v>
      </c>
      <c r="AJ25" t="n">
        <v>8</v>
      </c>
      <c r="AK25" t="n">
        <v>8</v>
      </c>
      <c r="AL25" t="n">
        <v>3</v>
      </c>
      <c r="AM25" t="n">
        <v>3</v>
      </c>
      <c r="AN25" t="n">
        <v>0</v>
      </c>
      <c r="AO25" t="n">
        <v>0</v>
      </c>
      <c r="AP25" t="inlineStr">
        <is>
          <t>No</t>
        </is>
      </c>
      <c r="AQ25" t="inlineStr">
        <is>
          <t>No</t>
        </is>
      </c>
      <c r="AS25">
        <f>HYPERLINK("https://creighton-primo.hosted.exlibrisgroup.com/primo-explore/search?tab=default_tab&amp;search_scope=EVERYTHING&amp;vid=01CRU&amp;lang=en_US&amp;offset=0&amp;query=any,contains,991004742639702656","Catalog Record")</f>
        <v/>
      </c>
      <c r="AT25">
        <f>HYPERLINK("http://www.worldcat.org/oclc/52312536","WorldCat Record")</f>
        <v/>
      </c>
      <c r="AU25" t="inlineStr">
        <is>
          <t>796429593:eng</t>
        </is>
      </c>
      <c r="AV25" t="inlineStr">
        <is>
          <t>52312536</t>
        </is>
      </c>
      <c r="AW25" t="inlineStr">
        <is>
          <t>991004742639702656</t>
        </is>
      </c>
      <c r="AX25" t="inlineStr">
        <is>
          <t>991004742639702656</t>
        </is>
      </c>
      <c r="AY25" t="inlineStr">
        <is>
          <t>2256071400002656</t>
        </is>
      </c>
      <c r="AZ25" t="inlineStr">
        <is>
          <t>BOOK</t>
        </is>
      </c>
      <c r="BB25" t="inlineStr">
        <is>
          <t>9781859844397</t>
        </is>
      </c>
      <c r="BC25" t="inlineStr">
        <is>
          <t>32285005163372</t>
        </is>
      </c>
      <c r="BD25" t="inlineStr">
        <is>
          <t>893795224</t>
        </is>
      </c>
    </row>
    <row r="26">
      <c r="A26" t="inlineStr">
        <is>
          <t>No</t>
        </is>
      </c>
      <c r="B26" t="inlineStr">
        <is>
          <t>HN13 .B84 2000</t>
        </is>
      </c>
      <c r="C26" t="inlineStr">
        <is>
          <t>0                      HN 0013000B  84          2000</t>
        </is>
      </c>
      <c r="D26" t="inlineStr">
        <is>
          <t>Social movements in advanced capitalism : the political economy and cultural construction of social activism / Steven M. Buechler.</t>
        </is>
      </c>
      <c r="F26" t="inlineStr">
        <is>
          <t>No</t>
        </is>
      </c>
      <c r="G26" t="inlineStr">
        <is>
          <t>1</t>
        </is>
      </c>
      <c r="H26" t="inlineStr">
        <is>
          <t>No</t>
        </is>
      </c>
      <c r="I26" t="inlineStr">
        <is>
          <t>No</t>
        </is>
      </c>
      <c r="J26" t="inlineStr">
        <is>
          <t>0</t>
        </is>
      </c>
      <c r="K26" t="inlineStr">
        <is>
          <t>Buechler, Steven M., 1951-</t>
        </is>
      </c>
      <c r="L26" t="inlineStr">
        <is>
          <t>New York : Oxford University Press, 2000.</t>
        </is>
      </c>
      <c r="M26" t="inlineStr">
        <is>
          <t>2000</t>
        </is>
      </c>
      <c r="O26" t="inlineStr">
        <is>
          <t>eng</t>
        </is>
      </c>
      <c r="P26" t="inlineStr">
        <is>
          <t>nyu</t>
        </is>
      </c>
      <c r="R26" t="inlineStr">
        <is>
          <t xml:space="preserve">HN </t>
        </is>
      </c>
      <c r="S26" t="n">
        <v>5</v>
      </c>
      <c r="T26" t="n">
        <v>5</v>
      </c>
      <c r="U26" t="inlineStr">
        <is>
          <t>2004-06-11</t>
        </is>
      </c>
      <c r="V26" t="inlineStr">
        <is>
          <t>2004-06-11</t>
        </is>
      </c>
      <c r="W26" t="inlineStr">
        <is>
          <t>2001-01-03</t>
        </is>
      </c>
      <c r="X26" t="inlineStr">
        <is>
          <t>2001-01-03</t>
        </is>
      </c>
      <c r="Y26" t="n">
        <v>497</v>
      </c>
      <c r="Z26" t="n">
        <v>366</v>
      </c>
      <c r="AA26" t="n">
        <v>366</v>
      </c>
      <c r="AB26" t="n">
        <v>4</v>
      </c>
      <c r="AC26" t="n">
        <v>4</v>
      </c>
      <c r="AD26" t="n">
        <v>25</v>
      </c>
      <c r="AE26" t="n">
        <v>25</v>
      </c>
      <c r="AF26" t="n">
        <v>9</v>
      </c>
      <c r="AG26" t="n">
        <v>9</v>
      </c>
      <c r="AH26" t="n">
        <v>7</v>
      </c>
      <c r="AI26" t="n">
        <v>7</v>
      </c>
      <c r="AJ26" t="n">
        <v>13</v>
      </c>
      <c r="AK26" t="n">
        <v>13</v>
      </c>
      <c r="AL26" t="n">
        <v>3</v>
      </c>
      <c r="AM26" t="n">
        <v>3</v>
      </c>
      <c r="AN26" t="n">
        <v>0</v>
      </c>
      <c r="AO26" t="n">
        <v>0</v>
      </c>
      <c r="AP26" t="inlineStr">
        <is>
          <t>No</t>
        </is>
      </c>
      <c r="AQ26" t="inlineStr">
        <is>
          <t>No</t>
        </is>
      </c>
      <c r="AS26">
        <f>HYPERLINK("https://creighton-primo.hosted.exlibrisgroup.com/primo-explore/search?tab=default_tab&amp;search_scope=EVERYTHING&amp;vid=01CRU&amp;lang=en_US&amp;offset=0&amp;query=any,contains,991003321559702656","Catalog Record")</f>
        <v/>
      </c>
      <c r="AT26">
        <f>HYPERLINK("http://www.worldcat.org/oclc/39787354","WorldCat Record")</f>
        <v/>
      </c>
      <c r="AU26" t="inlineStr">
        <is>
          <t>836989475:eng</t>
        </is>
      </c>
      <c r="AV26" t="inlineStr">
        <is>
          <t>39787354</t>
        </is>
      </c>
      <c r="AW26" t="inlineStr">
        <is>
          <t>991003321559702656</t>
        </is>
      </c>
      <c r="AX26" t="inlineStr">
        <is>
          <t>991003321559702656</t>
        </is>
      </c>
      <c r="AY26" t="inlineStr">
        <is>
          <t>2267165290002656</t>
        </is>
      </c>
      <c r="AZ26" t="inlineStr">
        <is>
          <t>BOOK</t>
        </is>
      </c>
      <c r="BB26" t="inlineStr">
        <is>
          <t>9780195126037</t>
        </is>
      </c>
      <c r="BC26" t="inlineStr">
        <is>
          <t>32285004279245</t>
        </is>
      </c>
      <c r="BD26" t="inlineStr">
        <is>
          <t>893531083</t>
        </is>
      </c>
    </row>
    <row r="27">
      <c r="A27" t="inlineStr">
        <is>
          <t>No</t>
        </is>
      </c>
      <c r="B27" t="inlineStr">
        <is>
          <t>HN13 .M38</t>
        </is>
      </c>
      <c r="C27" t="inlineStr">
        <is>
          <t>0                      HN 0013000M  38</t>
        </is>
      </c>
      <c r="D27" t="inlineStr">
        <is>
          <t>Social problems as social movements / Armand L. Mauss. --</t>
        </is>
      </c>
      <c r="F27" t="inlineStr">
        <is>
          <t>No</t>
        </is>
      </c>
      <c r="G27" t="inlineStr">
        <is>
          <t>1</t>
        </is>
      </c>
      <c r="H27" t="inlineStr">
        <is>
          <t>No</t>
        </is>
      </c>
      <c r="I27" t="inlineStr">
        <is>
          <t>No</t>
        </is>
      </c>
      <c r="J27" t="inlineStr">
        <is>
          <t>0</t>
        </is>
      </c>
      <c r="K27" t="inlineStr">
        <is>
          <t>Mauss, Armand L.</t>
        </is>
      </c>
      <c r="L27" t="inlineStr">
        <is>
          <t>Philadelphia : Lippincott, [1975]</t>
        </is>
      </c>
      <c r="M27" t="inlineStr">
        <is>
          <t>1975</t>
        </is>
      </c>
      <c r="O27" t="inlineStr">
        <is>
          <t>eng</t>
        </is>
      </c>
      <c r="P27" t="inlineStr">
        <is>
          <t>pau</t>
        </is>
      </c>
      <c r="R27" t="inlineStr">
        <is>
          <t xml:space="preserve">HN </t>
        </is>
      </c>
      <c r="S27" t="n">
        <v>1</v>
      </c>
      <c r="T27" t="n">
        <v>1</v>
      </c>
      <c r="U27" t="inlineStr">
        <is>
          <t>2006-02-21</t>
        </is>
      </c>
      <c r="V27" t="inlineStr">
        <is>
          <t>2006-02-21</t>
        </is>
      </c>
      <c r="W27" t="inlineStr">
        <is>
          <t>1992-09-23</t>
        </is>
      </c>
      <c r="X27" t="inlineStr">
        <is>
          <t>1992-09-23</t>
        </is>
      </c>
      <c r="Y27" t="n">
        <v>358</v>
      </c>
      <c r="Z27" t="n">
        <v>290</v>
      </c>
      <c r="AA27" t="n">
        <v>295</v>
      </c>
      <c r="AB27" t="n">
        <v>6</v>
      </c>
      <c r="AC27" t="n">
        <v>6</v>
      </c>
      <c r="AD27" t="n">
        <v>15</v>
      </c>
      <c r="AE27" t="n">
        <v>15</v>
      </c>
      <c r="AF27" t="n">
        <v>3</v>
      </c>
      <c r="AG27" t="n">
        <v>3</v>
      </c>
      <c r="AH27" t="n">
        <v>2</v>
      </c>
      <c r="AI27" t="n">
        <v>2</v>
      </c>
      <c r="AJ27" t="n">
        <v>8</v>
      </c>
      <c r="AK27" t="n">
        <v>8</v>
      </c>
      <c r="AL27" t="n">
        <v>4</v>
      </c>
      <c r="AM27" t="n">
        <v>4</v>
      </c>
      <c r="AN27" t="n">
        <v>0</v>
      </c>
      <c r="AO27" t="n">
        <v>0</v>
      </c>
      <c r="AP27" t="inlineStr">
        <is>
          <t>No</t>
        </is>
      </c>
      <c r="AQ27" t="inlineStr">
        <is>
          <t>No</t>
        </is>
      </c>
      <c r="AS27">
        <f>HYPERLINK("https://creighton-primo.hosted.exlibrisgroup.com/primo-explore/search?tab=default_tab&amp;search_scope=EVERYTHING&amp;vid=01CRU&amp;lang=en_US&amp;offset=0&amp;query=any,contains,991003598679702656","Catalog Record")</f>
        <v/>
      </c>
      <c r="AT27">
        <f>HYPERLINK("http://www.worldcat.org/oclc/1176691","WorldCat Record")</f>
        <v/>
      </c>
      <c r="AU27" t="inlineStr">
        <is>
          <t>2123279:eng</t>
        </is>
      </c>
      <c r="AV27" t="inlineStr">
        <is>
          <t>1176691</t>
        </is>
      </c>
      <c r="AW27" t="inlineStr">
        <is>
          <t>991003598679702656</t>
        </is>
      </c>
      <c r="AX27" t="inlineStr">
        <is>
          <t>991003598679702656</t>
        </is>
      </c>
      <c r="AY27" t="inlineStr">
        <is>
          <t>2269717550002656</t>
        </is>
      </c>
      <c r="AZ27" t="inlineStr">
        <is>
          <t>BOOK</t>
        </is>
      </c>
      <c r="BB27" t="inlineStr">
        <is>
          <t>9780397473250</t>
        </is>
      </c>
      <c r="BC27" t="inlineStr">
        <is>
          <t>32285001269140</t>
        </is>
      </c>
      <c r="BD27" t="inlineStr">
        <is>
          <t>893717849</t>
        </is>
      </c>
    </row>
    <row r="28">
      <c r="A28" t="inlineStr">
        <is>
          <t>No</t>
        </is>
      </c>
      <c r="B28" t="inlineStr">
        <is>
          <t>HN13 .S652 1987</t>
        </is>
      </c>
      <c r="C28" t="inlineStr">
        <is>
          <t>0                      HN 0013000S  652         1987</t>
        </is>
      </c>
      <c r="D28" t="inlineStr">
        <is>
          <t>Social movements in an organizational society : collected essays / edited by Mayer N. Zald and John D. McCarthy.</t>
        </is>
      </c>
      <c r="F28" t="inlineStr">
        <is>
          <t>No</t>
        </is>
      </c>
      <c r="G28" t="inlineStr">
        <is>
          <t>1</t>
        </is>
      </c>
      <c r="H28" t="inlineStr">
        <is>
          <t>No</t>
        </is>
      </c>
      <c r="I28" t="inlineStr">
        <is>
          <t>No</t>
        </is>
      </c>
      <c r="J28" t="inlineStr">
        <is>
          <t>0</t>
        </is>
      </c>
      <c r="L28" t="inlineStr">
        <is>
          <t>New Brunswick, N.J., U.S.A. : Transaction Books, c1987.</t>
        </is>
      </c>
      <c r="M28" t="inlineStr">
        <is>
          <t>1986</t>
        </is>
      </c>
      <c r="O28" t="inlineStr">
        <is>
          <t>eng</t>
        </is>
      </c>
      <c r="P28" t="inlineStr">
        <is>
          <t>nju</t>
        </is>
      </c>
      <c r="R28" t="inlineStr">
        <is>
          <t xml:space="preserve">HN </t>
        </is>
      </c>
      <c r="S28" t="n">
        <v>12</v>
      </c>
      <c r="T28" t="n">
        <v>12</v>
      </c>
      <c r="U28" t="inlineStr">
        <is>
          <t>1998-11-05</t>
        </is>
      </c>
      <c r="V28" t="inlineStr">
        <is>
          <t>1998-11-05</t>
        </is>
      </c>
      <c r="W28" t="inlineStr">
        <is>
          <t>1990-02-08</t>
        </is>
      </c>
      <c r="X28" t="inlineStr">
        <is>
          <t>1990-02-08</t>
        </is>
      </c>
      <c r="Y28" t="n">
        <v>369</v>
      </c>
      <c r="Z28" t="n">
        <v>278</v>
      </c>
      <c r="AA28" t="n">
        <v>314</v>
      </c>
      <c r="AB28" t="n">
        <v>2</v>
      </c>
      <c r="AC28" t="n">
        <v>2</v>
      </c>
      <c r="AD28" t="n">
        <v>14</v>
      </c>
      <c r="AE28" t="n">
        <v>15</v>
      </c>
      <c r="AF28" t="n">
        <v>3</v>
      </c>
      <c r="AG28" t="n">
        <v>4</v>
      </c>
      <c r="AH28" t="n">
        <v>5</v>
      </c>
      <c r="AI28" t="n">
        <v>5</v>
      </c>
      <c r="AJ28" t="n">
        <v>8</v>
      </c>
      <c r="AK28" t="n">
        <v>9</v>
      </c>
      <c r="AL28" t="n">
        <v>1</v>
      </c>
      <c r="AM28" t="n">
        <v>1</v>
      </c>
      <c r="AN28" t="n">
        <v>0</v>
      </c>
      <c r="AO28" t="n">
        <v>0</v>
      </c>
      <c r="AP28" t="inlineStr">
        <is>
          <t>No</t>
        </is>
      </c>
      <c r="AQ28" t="inlineStr">
        <is>
          <t>No</t>
        </is>
      </c>
      <c r="AS28">
        <f>HYPERLINK("https://creighton-primo.hosted.exlibrisgroup.com/primo-explore/search?tab=default_tab&amp;search_scope=EVERYTHING&amp;vid=01CRU&amp;lang=en_US&amp;offset=0&amp;query=any,contains,991000872519702656","Catalog Record")</f>
        <v/>
      </c>
      <c r="AT28">
        <f>HYPERLINK("http://www.worldcat.org/oclc/13793895","WorldCat Record")</f>
        <v/>
      </c>
      <c r="AU28" t="inlineStr">
        <is>
          <t>836656429:eng</t>
        </is>
      </c>
      <c r="AV28" t="inlineStr">
        <is>
          <t>13793895</t>
        </is>
      </c>
      <c r="AW28" t="inlineStr">
        <is>
          <t>991000872519702656</t>
        </is>
      </c>
      <c r="AX28" t="inlineStr">
        <is>
          <t>991000872519702656</t>
        </is>
      </c>
      <c r="AY28" t="inlineStr">
        <is>
          <t>2272153670002656</t>
        </is>
      </c>
      <c r="AZ28" t="inlineStr">
        <is>
          <t>BOOK</t>
        </is>
      </c>
      <c r="BB28" t="inlineStr">
        <is>
          <t>9780887381195</t>
        </is>
      </c>
      <c r="BC28" t="inlineStr">
        <is>
          <t>32285000033935</t>
        </is>
      </c>
      <c r="BD28" t="inlineStr">
        <is>
          <t>893515692</t>
        </is>
      </c>
    </row>
    <row r="29">
      <c r="A29" t="inlineStr">
        <is>
          <t>No</t>
        </is>
      </c>
      <c r="B29" t="inlineStr">
        <is>
          <t>HN132 B937a 1975</t>
        </is>
      </c>
      <c r="C29" t="inlineStr">
        <is>
          <t>0                      HN 0132000B  937a        1975</t>
        </is>
      </c>
      <c r="D29" t="inlineStr">
        <is>
          <t>The art of empathy : a manual for improving accuracy of interpersonal perception.</t>
        </is>
      </c>
      <c r="F29" t="inlineStr">
        <is>
          <t>No</t>
        </is>
      </c>
      <c r="G29" t="inlineStr">
        <is>
          <t>1</t>
        </is>
      </c>
      <c r="H29" t="inlineStr">
        <is>
          <t>No</t>
        </is>
      </c>
      <c r="I29" t="inlineStr">
        <is>
          <t>No</t>
        </is>
      </c>
      <c r="J29" t="inlineStr">
        <is>
          <t>0</t>
        </is>
      </c>
      <c r="K29" t="inlineStr">
        <is>
          <t>Bullmer, Kenneth.</t>
        </is>
      </c>
      <c r="L29" t="inlineStr">
        <is>
          <t>New York, Human Sciences Press [1975]</t>
        </is>
      </c>
      <c r="M29" t="inlineStr">
        <is>
          <t>1975</t>
        </is>
      </c>
      <c r="O29" t="inlineStr">
        <is>
          <t>eng</t>
        </is>
      </c>
      <c r="P29" t="inlineStr">
        <is>
          <t>nyu</t>
        </is>
      </c>
      <c r="R29" t="inlineStr">
        <is>
          <t xml:space="preserve">HN </t>
        </is>
      </c>
      <c r="S29" t="n">
        <v>2</v>
      </c>
      <c r="T29" t="n">
        <v>2</v>
      </c>
      <c r="U29" t="inlineStr">
        <is>
          <t>2008-05-28</t>
        </is>
      </c>
      <c r="V29" t="inlineStr">
        <is>
          <t>2008-05-28</t>
        </is>
      </c>
      <c r="W29" t="inlineStr">
        <is>
          <t>1997-07-29</t>
        </is>
      </c>
      <c r="X29" t="inlineStr">
        <is>
          <t>1997-07-29</t>
        </is>
      </c>
      <c r="Y29" t="n">
        <v>568</v>
      </c>
      <c r="Z29" t="n">
        <v>465</v>
      </c>
      <c r="AA29" t="n">
        <v>479</v>
      </c>
      <c r="AB29" t="n">
        <v>2</v>
      </c>
      <c r="AC29" t="n">
        <v>2</v>
      </c>
      <c r="AD29" t="n">
        <v>20</v>
      </c>
      <c r="AE29" t="n">
        <v>21</v>
      </c>
      <c r="AF29" t="n">
        <v>11</v>
      </c>
      <c r="AG29" t="n">
        <v>11</v>
      </c>
      <c r="AH29" t="n">
        <v>3</v>
      </c>
      <c r="AI29" t="n">
        <v>3</v>
      </c>
      <c r="AJ29" t="n">
        <v>11</v>
      </c>
      <c r="AK29" t="n">
        <v>12</v>
      </c>
      <c r="AL29" t="n">
        <v>1</v>
      </c>
      <c r="AM29" t="n">
        <v>1</v>
      </c>
      <c r="AN29" t="n">
        <v>0</v>
      </c>
      <c r="AO29" t="n">
        <v>0</v>
      </c>
      <c r="AP29" t="inlineStr">
        <is>
          <t>No</t>
        </is>
      </c>
      <c r="AQ29" t="inlineStr">
        <is>
          <t>Yes</t>
        </is>
      </c>
      <c r="AR29">
        <f>HYPERLINK("http://catalog.hathitrust.org/Record/000715016","HathiTrust Record")</f>
        <v/>
      </c>
      <c r="AS29">
        <f>HYPERLINK("https://creighton-primo.hosted.exlibrisgroup.com/primo-explore/search?tab=default_tab&amp;search_scope=EVERYTHING&amp;vid=01CRU&amp;lang=en_US&amp;offset=0&amp;query=any,contains,991005309269702656","Catalog Record")</f>
        <v/>
      </c>
      <c r="AT29">
        <f>HYPERLINK("http://www.worldcat.org/oclc/948129","WorldCat Record")</f>
        <v/>
      </c>
      <c r="AU29" t="inlineStr">
        <is>
          <t>535228:eng</t>
        </is>
      </c>
      <c r="AV29" t="inlineStr">
        <is>
          <t>948129</t>
        </is>
      </c>
      <c r="AW29" t="inlineStr">
        <is>
          <t>991005309269702656</t>
        </is>
      </c>
      <c r="AX29" t="inlineStr">
        <is>
          <t>991005309269702656</t>
        </is>
      </c>
      <c r="AY29" t="inlineStr">
        <is>
          <t>2264853150002656</t>
        </is>
      </c>
      <c r="AZ29" t="inlineStr">
        <is>
          <t>BOOK</t>
        </is>
      </c>
      <c r="BB29" t="inlineStr">
        <is>
          <t>9780877052289</t>
        </is>
      </c>
      <c r="BC29" t="inlineStr">
        <is>
          <t>32285003015830</t>
        </is>
      </c>
      <c r="BD29" t="inlineStr">
        <is>
          <t>893802106</t>
        </is>
      </c>
    </row>
    <row r="30">
      <c r="A30" t="inlineStr">
        <is>
          <t>No</t>
        </is>
      </c>
      <c r="B30" t="inlineStr">
        <is>
          <t>HN15 .R7</t>
        </is>
      </c>
      <c r="C30" t="inlineStr">
        <is>
          <t>0                      HN 0015000R  7</t>
        </is>
      </c>
      <c r="D30" t="inlineStr">
        <is>
          <t>Proposed roads to freedom; socialism, anarchism and syndicalism, by Bertrand Russell, F. S. R.</t>
        </is>
      </c>
      <c r="F30" t="inlineStr">
        <is>
          <t>No</t>
        </is>
      </c>
      <c r="G30" t="inlineStr">
        <is>
          <t>1</t>
        </is>
      </c>
      <c r="H30" t="inlineStr">
        <is>
          <t>No</t>
        </is>
      </c>
      <c r="I30" t="inlineStr">
        <is>
          <t>No</t>
        </is>
      </c>
      <c r="J30" t="inlineStr">
        <is>
          <t>0</t>
        </is>
      </c>
      <c r="K30" t="inlineStr">
        <is>
          <t>Russell, Bertrand, 1872-1970.</t>
        </is>
      </c>
      <c r="L30" t="inlineStr">
        <is>
          <t>New York, H. Holt and company, 1919.</t>
        </is>
      </c>
      <c r="M30" t="inlineStr">
        <is>
          <t>1919</t>
        </is>
      </c>
      <c r="O30" t="inlineStr">
        <is>
          <t>eng</t>
        </is>
      </c>
      <c r="P30" t="inlineStr">
        <is>
          <t>nyu</t>
        </is>
      </c>
      <c r="R30" t="inlineStr">
        <is>
          <t xml:space="preserve">HN </t>
        </is>
      </c>
      <c r="S30" t="n">
        <v>8</v>
      </c>
      <c r="T30" t="n">
        <v>8</v>
      </c>
      <c r="U30" t="inlineStr">
        <is>
          <t>2004-03-01</t>
        </is>
      </c>
      <c r="V30" t="inlineStr">
        <is>
          <t>2004-03-01</t>
        </is>
      </c>
      <c r="W30" t="inlineStr">
        <is>
          <t>1997-08-04</t>
        </is>
      </c>
      <c r="X30" t="inlineStr">
        <is>
          <t>1997-08-04</t>
        </is>
      </c>
      <c r="Y30" t="n">
        <v>559</v>
      </c>
      <c r="Z30" t="n">
        <v>512</v>
      </c>
      <c r="AA30" t="n">
        <v>1767</v>
      </c>
      <c r="AB30" t="n">
        <v>7</v>
      </c>
      <c r="AC30" t="n">
        <v>17</v>
      </c>
      <c r="AD30" t="n">
        <v>25</v>
      </c>
      <c r="AE30" t="n">
        <v>58</v>
      </c>
      <c r="AF30" t="n">
        <v>8</v>
      </c>
      <c r="AG30" t="n">
        <v>22</v>
      </c>
      <c r="AH30" t="n">
        <v>3</v>
      </c>
      <c r="AI30" t="n">
        <v>11</v>
      </c>
      <c r="AJ30" t="n">
        <v>12</v>
      </c>
      <c r="AK30" t="n">
        <v>21</v>
      </c>
      <c r="AL30" t="n">
        <v>6</v>
      </c>
      <c r="AM30" t="n">
        <v>14</v>
      </c>
      <c r="AN30" t="n">
        <v>1</v>
      </c>
      <c r="AO30" t="n">
        <v>1</v>
      </c>
      <c r="AP30" t="inlineStr">
        <is>
          <t>Yes</t>
        </is>
      </c>
      <c r="AQ30" t="inlineStr">
        <is>
          <t>No</t>
        </is>
      </c>
      <c r="AR30">
        <f>HYPERLINK("http://catalog.hathitrust.org/Record/001109550","HathiTrust Record")</f>
        <v/>
      </c>
      <c r="AS30">
        <f>HYPERLINK("https://creighton-primo.hosted.exlibrisgroup.com/primo-explore/search?tab=default_tab&amp;search_scope=EVERYTHING&amp;vid=01CRU&amp;lang=en_US&amp;offset=0&amp;query=any,contains,991001998249702656","Catalog Record")</f>
        <v/>
      </c>
      <c r="AT30">
        <f>HYPERLINK("http://www.worldcat.org/oclc/256049","WorldCat Record")</f>
        <v/>
      </c>
      <c r="AU30" t="inlineStr">
        <is>
          <t>499457976:eng</t>
        </is>
      </c>
      <c r="AV30" t="inlineStr">
        <is>
          <t>256049</t>
        </is>
      </c>
      <c r="AW30" t="inlineStr">
        <is>
          <t>991001998249702656</t>
        </is>
      </c>
      <c r="AX30" t="inlineStr">
        <is>
          <t>991001998249702656</t>
        </is>
      </c>
      <c r="AY30" t="inlineStr">
        <is>
          <t>2272142330002656</t>
        </is>
      </c>
      <c r="AZ30" t="inlineStr">
        <is>
          <t>BOOK</t>
        </is>
      </c>
      <c r="BC30" t="inlineStr">
        <is>
          <t>32285003040465</t>
        </is>
      </c>
      <c r="BD30" t="inlineStr">
        <is>
          <t>893773099</t>
        </is>
      </c>
    </row>
    <row r="31">
      <c r="A31" t="inlineStr">
        <is>
          <t>No</t>
        </is>
      </c>
      <c r="B31" t="inlineStr">
        <is>
          <t>HN150.S3 T8</t>
        </is>
      </c>
      <c r="C31" t="inlineStr">
        <is>
          <t>0                      HN 0150000S  3                  T  8</t>
        </is>
      </c>
      <c r="D31" t="inlineStr">
        <is>
          <t>Caste in a peasant society; a case study in the dynamics of caste.</t>
        </is>
      </c>
      <c r="F31" t="inlineStr">
        <is>
          <t>No</t>
        </is>
      </c>
      <c r="G31" t="inlineStr">
        <is>
          <t>1</t>
        </is>
      </c>
      <c r="H31" t="inlineStr">
        <is>
          <t>No</t>
        </is>
      </c>
      <c r="I31" t="inlineStr">
        <is>
          <t>No</t>
        </is>
      </c>
      <c r="J31" t="inlineStr">
        <is>
          <t>0</t>
        </is>
      </c>
      <c r="K31" t="inlineStr">
        <is>
          <t>Tumin, Melvin M. (Melvin Marvin), 1919-1994.</t>
        </is>
      </c>
      <c r="L31" t="inlineStr">
        <is>
          <t>Princeton, Princeton University Press, 1952.</t>
        </is>
      </c>
      <c r="M31" t="inlineStr">
        <is>
          <t>1952</t>
        </is>
      </c>
      <c r="O31" t="inlineStr">
        <is>
          <t>eng</t>
        </is>
      </c>
      <c r="P31" t="inlineStr">
        <is>
          <t>nju</t>
        </is>
      </c>
      <c r="R31" t="inlineStr">
        <is>
          <t xml:space="preserve">HN </t>
        </is>
      </c>
      <c r="S31" t="n">
        <v>2</v>
      </c>
      <c r="T31" t="n">
        <v>2</v>
      </c>
      <c r="U31" t="inlineStr">
        <is>
          <t>1997-08-10</t>
        </is>
      </c>
      <c r="V31" t="inlineStr">
        <is>
          <t>1997-08-10</t>
        </is>
      </c>
      <c r="W31" t="inlineStr">
        <is>
          <t>1997-08-06</t>
        </is>
      </c>
      <c r="X31" t="inlineStr">
        <is>
          <t>1997-08-06</t>
        </is>
      </c>
      <c r="Y31" t="n">
        <v>468</v>
      </c>
      <c r="Z31" t="n">
        <v>395</v>
      </c>
      <c r="AA31" t="n">
        <v>631</v>
      </c>
      <c r="AB31" t="n">
        <v>3</v>
      </c>
      <c r="AC31" t="n">
        <v>3</v>
      </c>
      <c r="AD31" t="n">
        <v>17</v>
      </c>
      <c r="AE31" t="n">
        <v>26</v>
      </c>
      <c r="AF31" t="n">
        <v>4</v>
      </c>
      <c r="AG31" t="n">
        <v>10</v>
      </c>
      <c r="AH31" t="n">
        <v>4</v>
      </c>
      <c r="AI31" t="n">
        <v>8</v>
      </c>
      <c r="AJ31" t="n">
        <v>9</v>
      </c>
      <c r="AK31" t="n">
        <v>13</v>
      </c>
      <c r="AL31" t="n">
        <v>2</v>
      </c>
      <c r="AM31" t="n">
        <v>2</v>
      </c>
      <c r="AN31" t="n">
        <v>0</v>
      </c>
      <c r="AO31" t="n">
        <v>0</v>
      </c>
      <c r="AP31" t="inlineStr">
        <is>
          <t>Yes</t>
        </is>
      </c>
      <c r="AQ31" t="inlineStr">
        <is>
          <t>No</t>
        </is>
      </c>
      <c r="AR31">
        <f>HYPERLINK("http://catalog.hathitrust.org/Record/000975221","HathiTrust Record")</f>
        <v/>
      </c>
      <c r="AS31">
        <f>HYPERLINK("https://creighton-primo.hosted.exlibrisgroup.com/primo-explore/search?tab=default_tab&amp;search_scope=EVERYTHING&amp;vid=01CRU&amp;lang=en_US&amp;offset=0&amp;query=any,contains,991002001679702656","Catalog Record")</f>
        <v/>
      </c>
      <c r="AT31">
        <f>HYPERLINK("http://www.worldcat.org/oclc/256583","WorldCat Record")</f>
        <v/>
      </c>
      <c r="AU31" t="inlineStr">
        <is>
          <t>65435460:eng</t>
        </is>
      </c>
      <c r="AV31" t="inlineStr">
        <is>
          <t>256583</t>
        </is>
      </c>
      <c r="AW31" t="inlineStr">
        <is>
          <t>991002001679702656</t>
        </is>
      </c>
      <c r="AX31" t="inlineStr">
        <is>
          <t>991002001679702656</t>
        </is>
      </c>
      <c r="AY31" t="inlineStr">
        <is>
          <t>2272308410002656</t>
        </is>
      </c>
      <c r="AZ31" t="inlineStr">
        <is>
          <t>BOOK</t>
        </is>
      </c>
      <c r="BC31" t="inlineStr">
        <is>
          <t>32285003044830</t>
        </is>
      </c>
      <c r="BD31" t="inlineStr">
        <is>
          <t>893322454</t>
        </is>
      </c>
    </row>
    <row r="32">
      <c r="A32" t="inlineStr">
        <is>
          <t>No</t>
        </is>
      </c>
      <c r="B32" t="inlineStr">
        <is>
          <t>HN16 .D75 2001</t>
        </is>
      </c>
      <c r="C32" t="inlineStr">
        <is>
          <t>0                      HN 0016000D  75          2001</t>
        </is>
      </c>
      <c r="D32" t="inlineStr">
        <is>
          <t>The principles of social policy / Robert F. Drake.</t>
        </is>
      </c>
      <c r="F32" t="inlineStr">
        <is>
          <t>No</t>
        </is>
      </c>
      <c r="G32" t="inlineStr">
        <is>
          <t>1</t>
        </is>
      </c>
      <c r="H32" t="inlineStr">
        <is>
          <t>No</t>
        </is>
      </c>
      <c r="I32" t="inlineStr">
        <is>
          <t>No</t>
        </is>
      </c>
      <c r="J32" t="inlineStr">
        <is>
          <t>0</t>
        </is>
      </c>
      <c r="K32" t="inlineStr">
        <is>
          <t>Drake, Robert F.</t>
        </is>
      </c>
      <c r="L32" t="inlineStr">
        <is>
          <t>Basingstoke, Hampshire, [England] ; New York : Palgrave, 2001.</t>
        </is>
      </c>
      <c r="M32" t="inlineStr">
        <is>
          <t>2001</t>
        </is>
      </c>
      <c r="O32" t="inlineStr">
        <is>
          <t>eng</t>
        </is>
      </c>
      <c r="P32" t="inlineStr">
        <is>
          <t>enk</t>
        </is>
      </c>
      <c r="R32" t="inlineStr">
        <is>
          <t xml:space="preserve">HN </t>
        </is>
      </c>
      <c r="S32" t="n">
        <v>3</v>
      </c>
      <c r="T32" t="n">
        <v>3</v>
      </c>
      <c r="U32" t="inlineStr">
        <is>
          <t>2010-12-07</t>
        </is>
      </c>
      <c r="V32" t="inlineStr">
        <is>
          <t>2010-12-07</t>
        </is>
      </c>
      <c r="W32" t="inlineStr">
        <is>
          <t>2001-10-25</t>
        </is>
      </c>
      <c r="X32" t="inlineStr">
        <is>
          <t>2001-10-25</t>
        </is>
      </c>
      <c r="Y32" t="n">
        <v>303</v>
      </c>
      <c r="Z32" t="n">
        <v>163</v>
      </c>
      <c r="AA32" t="n">
        <v>168</v>
      </c>
      <c r="AB32" t="n">
        <v>1</v>
      </c>
      <c r="AC32" t="n">
        <v>1</v>
      </c>
      <c r="AD32" t="n">
        <v>6</v>
      </c>
      <c r="AE32" t="n">
        <v>6</v>
      </c>
      <c r="AF32" t="n">
        <v>0</v>
      </c>
      <c r="AG32" t="n">
        <v>0</v>
      </c>
      <c r="AH32" t="n">
        <v>4</v>
      </c>
      <c r="AI32" t="n">
        <v>4</v>
      </c>
      <c r="AJ32" t="n">
        <v>4</v>
      </c>
      <c r="AK32" t="n">
        <v>4</v>
      </c>
      <c r="AL32" t="n">
        <v>0</v>
      </c>
      <c r="AM32" t="n">
        <v>0</v>
      </c>
      <c r="AN32" t="n">
        <v>0</v>
      </c>
      <c r="AO32" t="n">
        <v>0</v>
      </c>
      <c r="AP32" t="inlineStr">
        <is>
          <t>No</t>
        </is>
      </c>
      <c r="AQ32" t="inlineStr">
        <is>
          <t>No</t>
        </is>
      </c>
      <c r="AS32">
        <f>HYPERLINK("https://creighton-primo.hosted.exlibrisgroup.com/primo-explore/search?tab=default_tab&amp;search_scope=EVERYTHING&amp;vid=01CRU&amp;lang=en_US&amp;offset=0&amp;query=any,contains,991003629199702656","Catalog Record")</f>
        <v/>
      </c>
      <c r="AT32">
        <f>HYPERLINK("http://www.worldcat.org/oclc/45917159","WorldCat Record")</f>
        <v/>
      </c>
      <c r="AU32" t="inlineStr">
        <is>
          <t>20374232:eng</t>
        </is>
      </c>
      <c r="AV32" t="inlineStr">
        <is>
          <t>45917159</t>
        </is>
      </c>
      <c r="AW32" t="inlineStr">
        <is>
          <t>991003629199702656</t>
        </is>
      </c>
      <c r="AX32" t="inlineStr">
        <is>
          <t>991003629199702656</t>
        </is>
      </c>
      <c r="AY32" t="inlineStr">
        <is>
          <t>2270016040002656</t>
        </is>
      </c>
      <c r="AZ32" t="inlineStr">
        <is>
          <t>BOOK</t>
        </is>
      </c>
      <c r="BB32" t="inlineStr">
        <is>
          <t>9780333763377</t>
        </is>
      </c>
      <c r="BC32" t="inlineStr">
        <is>
          <t>32285004415369</t>
        </is>
      </c>
      <c r="BD32" t="inlineStr">
        <is>
          <t>893793836</t>
        </is>
      </c>
    </row>
    <row r="33">
      <c r="A33" t="inlineStr">
        <is>
          <t>No</t>
        </is>
      </c>
      <c r="B33" t="inlineStr">
        <is>
          <t>HN16 .F765 1992</t>
        </is>
      </c>
      <c r="C33" t="inlineStr">
        <is>
          <t>0                      HN 0016000F  765         1992</t>
        </is>
      </c>
      <c r="D33" t="inlineStr">
        <is>
          <t>Frontiers in social movement theory / edited by Aldon D. Morris and Carol McClurg Mueller.</t>
        </is>
      </c>
      <c r="F33" t="inlineStr">
        <is>
          <t>No</t>
        </is>
      </c>
      <c r="G33" t="inlineStr">
        <is>
          <t>1</t>
        </is>
      </c>
      <c r="H33" t="inlineStr">
        <is>
          <t>No</t>
        </is>
      </c>
      <c r="I33" t="inlineStr">
        <is>
          <t>No</t>
        </is>
      </c>
      <c r="J33" t="inlineStr">
        <is>
          <t>0</t>
        </is>
      </c>
      <c r="L33" t="inlineStr">
        <is>
          <t>New Haven, Conn. : Yale University Press, c1992.</t>
        </is>
      </c>
      <c r="M33" t="inlineStr">
        <is>
          <t>1992</t>
        </is>
      </c>
      <c r="O33" t="inlineStr">
        <is>
          <t>eng</t>
        </is>
      </c>
      <c r="P33" t="inlineStr">
        <is>
          <t>ctu</t>
        </is>
      </c>
      <c r="R33" t="inlineStr">
        <is>
          <t xml:space="preserve">HN </t>
        </is>
      </c>
      <c r="S33" t="n">
        <v>13</v>
      </c>
      <c r="T33" t="n">
        <v>13</v>
      </c>
      <c r="U33" t="inlineStr">
        <is>
          <t>2000-09-25</t>
        </is>
      </c>
      <c r="V33" t="inlineStr">
        <is>
          <t>2000-09-25</t>
        </is>
      </c>
      <c r="W33" t="inlineStr">
        <is>
          <t>1993-04-21</t>
        </is>
      </c>
      <c r="X33" t="inlineStr">
        <is>
          <t>1993-04-21</t>
        </is>
      </c>
      <c r="Y33" t="n">
        <v>644</v>
      </c>
      <c r="Z33" t="n">
        <v>463</v>
      </c>
      <c r="AA33" t="n">
        <v>464</v>
      </c>
      <c r="AB33" t="n">
        <v>3</v>
      </c>
      <c r="AC33" t="n">
        <v>3</v>
      </c>
      <c r="AD33" t="n">
        <v>20</v>
      </c>
      <c r="AE33" t="n">
        <v>20</v>
      </c>
      <c r="AF33" t="n">
        <v>5</v>
      </c>
      <c r="AG33" t="n">
        <v>5</v>
      </c>
      <c r="AH33" t="n">
        <v>7</v>
      </c>
      <c r="AI33" t="n">
        <v>7</v>
      </c>
      <c r="AJ33" t="n">
        <v>9</v>
      </c>
      <c r="AK33" t="n">
        <v>9</v>
      </c>
      <c r="AL33" t="n">
        <v>2</v>
      </c>
      <c r="AM33" t="n">
        <v>2</v>
      </c>
      <c r="AN33" t="n">
        <v>0</v>
      </c>
      <c r="AO33" t="n">
        <v>0</v>
      </c>
      <c r="AP33" t="inlineStr">
        <is>
          <t>No</t>
        </is>
      </c>
      <c r="AQ33" t="inlineStr">
        <is>
          <t>No</t>
        </is>
      </c>
      <c r="AS33">
        <f>HYPERLINK("https://creighton-primo.hosted.exlibrisgroup.com/primo-explore/search?tab=default_tab&amp;search_scope=EVERYTHING&amp;vid=01CRU&amp;lang=en_US&amp;offset=0&amp;query=any,contains,991001987669702656","Catalog Record")</f>
        <v/>
      </c>
      <c r="AT33">
        <f>HYPERLINK("http://www.worldcat.org/oclc/25246590","WorldCat Record")</f>
        <v/>
      </c>
      <c r="AU33" t="inlineStr">
        <is>
          <t>351806561:eng</t>
        </is>
      </c>
      <c r="AV33" t="inlineStr">
        <is>
          <t>25246590</t>
        </is>
      </c>
      <c r="AW33" t="inlineStr">
        <is>
          <t>991001987669702656</t>
        </is>
      </c>
      <c r="AX33" t="inlineStr">
        <is>
          <t>991001987669702656</t>
        </is>
      </c>
      <c r="AY33" t="inlineStr">
        <is>
          <t>2256302010002656</t>
        </is>
      </c>
      <c r="AZ33" t="inlineStr">
        <is>
          <t>BOOK</t>
        </is>
      </c>
      <c r="BB33" t="inlineStr">
        <is>
          <t>9780300054859</t>
        </is>
      </c>
      <c r="BC33" t="inlineStr">
        <is>
          <t>32285001580322</t>
        </is>
      </c>
      <c r="BD33" t="inlineStr">
        <is>
          <t>893596905</t>
        </is>
      </c>
    </row>
    <row r="34">
      <c r="A34" t="inlineStr">
        <is>
          <t>No</t>
        </is>
      </c>
      <c r="B34" t="inlineStr">
        <is>
          <t>HN16 .G46 1985</t>
        </is>
      </c>
      <c r="C34" t="inlineStr">
        <is>
          <t>0                      HN 0016000G  46          1985</t>
        </is>
      </c>
      <c r="D34" t="inlineStr">
        <is>
          <t>Ideology and social welfare / Vic George and Paul Wilding.</t>
        </is>
      </c>
      <c r="F34" t="inlineStr">
        <is>
          <t>No</t>
        </is>
      </c>
      <c r="G34" t="inlineStr">
        <is>
          <t>1</t>
        </is>
      </c>
      <c r="H34" t="inlineStr">
        <is>
          <t>No</t>
        </is>
      </c>
      <c r="I34" t="inlineStr">
        <is>
          <t>No</t>
        </is>
      </c>
      <c r="J34" t="inlineStr">
        <is>
          <t>0</t>
        </is>
      </c>
      <c r="K34" t="inlineStr">
        <is>
          <t>George, Victor.</t>
        </is>
      </c>
      <c r="L34" t="inlineStr">
        <is>
          <t>London ; Boston : Routledge &amp; Kegan Paul, 1985.</t>
        </is>
      </c>
      <c r="M34" t="inlineStr">
        <is>
          <t>1985</t>
        </is>
      </c>
      <c r="N34" t="inlineStr">
        <is>
          <t>Completely rev., expanded and updated.</t>
        </is>
      </c>
      <c r="O34" t="inlineStr">
        <is>
          <t>eng</t>
        </is>
      </c>
      <c r="P34" t="inlineStr">
        <is>
          <t>enk</t>
        </is>
      </c>
      <c r="Q34" t="inlineStr">
        <is>
          <t>Radical social policy</t>
        </is>
      </c>
      <c r="R34" t="inlineStr">
        <is>
          <t xml:space="preserve">HN </t>
        </is>
      </c>
      <c r="S34" t="n">
        <v>5</v>
      </c>
      <c r="T34" t="n">
        <v>5</v>
      </c>
      <c r="U34" t="inlineStr">
        <is>
          <t>1999-03-04</t>
        </is>
      </c>
      <c r="V34" t="inlineStr">
        <is>
          <t>1999-03-04</t>
        </is>
      </c>
      <c r="W34" t="inlineStr">
        <is>
          <t>1992-09-23</t>
        </is>
      </c>
      <c r="X34" t="inlineStr">
        <is>
          <t>1992-09-23</t>
        </is>
      </c>
      <c r="Y34" t="n">
        <v>331</v>
      </c>
      <c r="Z34" t="n">
        <v>164</v>
      </c>
      <c r="AA34" t="n">
        <v>398</v>
      </c>
      <c r="AB34" t="n">
        <v>3</v>
      </c>
      <c r="AC34" t="n">
        <v>3</v>
      </c>
      <c r="AD34" t="n">
        <v>11</v>
      </c>
      <c r="AE34" t="n">
        <v>18</v>
      </c>
      <c r="AF34" t="n">
        <v>3</v>
      </c>
      <c r="AG34" t="n">
        <v>6</v>
      </c>
      <c r="AH34" t="n">
        <v>4</v>
      </c>
      <c r="AI34" t="n">
        <v>6</v>
      </c>
      <c r="AJ34" t="n">
        <v>6</v>
      </c>
      <c r="AK34" t="n">
        <v>9</v>
      </c>
      <c r="AL34" t="n">
        <v>2</v>
      </c>
      <c r="AM34" t="n">
        <v>2</v>
      </c>
      <c r="AN34" t="n">
        <v>0</v>
      </c>
      <c r="AO34" t="n">
        <v>0</v>
      </c>
      <c r="AP34" t="inlineStr">
        <is>
          <t>No</t>
        </is>
      </c>
      <c r="AQ34" t="inlineStr">
        <is>
          <t>Yes</t>
        </is>
      </c>
      <c r="AR34">
        <f>HYPERLINK("http://catalog.hathitrust.org/Record/000374878","HathiTrust Record")</f>
        <v/>
      </c>
      <c r="AS34">
        <f>HYPERLINK("https://creighton-primo.hosted.exlibrisgroup.com/primo-explore/search?tab=default_tab&amp;search_scope=EVERYTHING&amp;vid=01CRU&amp;lang=en_US&amp;offset=0&amp;query=any,contains,991000568009702656","Catalog Record")</f>
        <v/>
      </c>
      <c r="AT34">
        <f>HYPERLINK("http://www.worldcat.org/oclc/11623676","WorldCat Record")</f>
        <v/>
      </c>
      <c r="AU34" t="inlineStr">
        <is>
          <t>4472018:eng</t>
        </is>
      </c>
      <c r="AV34" t="inlineStr">
        <is>
          <t>11623676</t>
        </is>
      </c>
      <c r="AW34" t="inlineStr">
        <is>
          <t>991000568009702656</t>
        </is>
      </c>
      <c r="AX34" t="inlineStr">
        <is>
          <t>991000568009702656</t>
        </is>
      </c>
      <c r="AY34" t="inlineStr">
        <is>
          <t>2262355600002656</t>
        </is>
      </c>
      <c r="AZ34" t="inlineStr">
        <is>
          <t>BOOK</t>
        </is>
      </c>
      <c r="BB34" t="inlineStr">
        <is>
          <t>9780710206022</t>
        </is>
      </c>
      <c r="BC34" t="inlineStr">
        <is>
          <t>32285001269199</t>
        </is>
      </c>
      <c r="BD34" t="inlineStr">
        <is>
          <t>893444378</t>
        </is>
      </c>
    </row>
    <row r="35">
      <c r="A35" t="inlineStr">
        <is>
          <t>No</t>
        </is>
      </c>
      <c r="B35" t="inlineStr">
        <is>
          <t>HN16 .S3</t>
        </is>
      </c>
      <c r="C35" t="inlineStr">
        <is>
          <t>0                      HN 0016000S  3</t>
        </is>
      </c>
      <c r="D35" t="inlineStr">
        <is>
          <t>Human dignity &amp; human numbers [by] James V. Schall.</t>
        </is>
      </c>
      <c r="F35" t="inlineStr">
        <is>
          <t>No</t>
        </is>
      </c>
      <c r="G35" t="inlineStr">
        <is>
          <t>1</t>
        </is>
      </c>
      <c r="H35" t="inlineStr">
        <is>
          <t>Yes</t>
        </is>
      </c>
      <c r="I35" t="inlineStr">
        <is>
          <t>No</t>
        </is>
      </c>
      <c r="J35" t="inlineStr">
        <is>
          <t>0</t>
        </is>
      </c>
      <c r="K35" t="inlineStr">
        <is>
          <t>Schall, James V.</t>
        </is>
      </c>
      <c r="L35" t="inlineStr">
        <is>
          <t>Staten Island, N.Y., Alba House [1971]</t>
        </is>
      </c>
      <c r="M35" t="inlineStr">
        <is>
          <t>1971</t>
        </is>
      </c>
      <c r="O35" t="inlineStr">
        <is>
          <t>eng</t>
        </is>
      </c>
      <c r="P35" t="inlineStr">
        <is>
          <t>nyu</t>
        </is>
      </c>
      <c r="R35" t="inlineStr">
        <is>
          <t xml:space="preserve">HN </t>
        </is>
      </c>
      <c r="S35" t="n">
        <v>0</v>
      </c>
      <c r="T35" t="n">
        <v>2</v>
      </c>
      <c r="V35" t="inlineStr">
        <is>
          <t>2003-02-06</t>
        </is>
      </c>
      <c r="W35" t="inlineStr">
        <is>
          <t>1997-08-04</t>
        </is>
      </c>
      <c r="X35" t="inlineStr">
        <is>
          <t>1997-08-04</t>
        </is>
      </c>
      <c r="Y35" t="n">
        <v>195</v>
      </c>
      <c r="Z35" t="n">
        <v>168</v>
      </c>
      <c r="AA35" t="n">
        <v>168</v>
      </c>
      <c r="AB35" t="n">
        <v>4</v>
      </c>
      <c r="AC35" t="n">
        <v>4</v>
      </c>
      <c r="AD35" t="n">
        <v>22</v>
      </c>
      <c r="AE35" t="n">
        <v>22</v>
      </c>
      <c r="AF35" t="n">
        <v>7</v>
      </c>
      <c r="AG35" t="n">
        <v>7</v>
      </c>
      <c r="AH35" t="n">
        <v>4</v>
      </c>
      <c r="AI35" t="n">
        <v>4</v>
      </c>
      <c r="AJ35" t="n">
        <v>18</v>
      </c>
      <c r="AK35" t="n">
        <v>18</v>
      </c>
      <c r="AL35" t="n">
        <v>0</v>
      </c>
      <c r="AM35" t="n">
        <v>0</v>
      </c>
      <c r="AN35" t="n">
        <v>1</v>
      </c>
      <c r="AO35" t="n">
        <v>1</v>
      </c>
      <c r="AP35" t="inlineStr">
        <is>
          <t>No</t>
        </is>
      </c>
      <c r="AQ35" t="inlineStr">
        <is>
          <t>No</t>
        </is>
      </c>
      <c r="AS35">
        <f>HYPERLINK("https://creighton-primo.hosted.exlibrisgroup.com/primo-explore/search?tab=default_tab&amp;search_scope=EVERYTHING&amp;vid=01CRU&amp;lang=en_US&amp;offset=0&amp;query=any,contains,991001765789702656","Catalog Record")</f>
        <v/>
      </c>
      <c r="AT35">
        <f>HYPERLINK("http://www.worldcat.org/oclc/221237","WorldCat Record")</f>
        <v/>
      </c>
      <c r="AU35" t="inlineStr">
        <is>
          <t>181246104:eng</t>
        </is>
      </c>
      <c r="AV35" t="inlineStr">
        <is>
          <t>221237</t>
        </is>
      </c>
      <c r="AW35" t="inlineStr">
        <is>
          <t>991001765789702656</t>
        </is>
      </c>
      <c r="AX35" t="inlineStr">
        <is>
          <t>991001765789702656</t>
        </is>
      </c>
      <c r="AY35" t="inlineStr">
        <is>
          <t>2258241020002656</t>
        </is>
      </c>
      <c r="AZ35" t="inlineStr">
        <is>
          <t>BOOK</t>
        </is>
      </c>
      <c r="BB35" t="inlineStr">
        <is>
          <t>9780818902178</t>
        </is>
      </c>
      <c r="BC35" t="inlineStr">
        <is>
          <t>32285003040515</t>
        </is>
      </c>
      <c r="BD35" t="inlineStr">
        <is>
          <t>893232238</t>
        </is>
      </c>
    </row>
    <row r="36">
      <c r="A36" t="inlineStr">
        <is>
          <t>No</t>
        </is>
      </c>
      <c r="B36" t="inlineStr">
        <is>
          <t>HN16 .S54 1994</t>
        </is>
      </c>
      <c r="C36" t="inlineStr">
        <is>
          <t>0                      HN 0016000S  54          1994</t>
        </is>
      </c>
      <c r="D36" t="inlineStr">
        <is>
          <t>Social revolutions in the modern world / Theda Skocpol.</t>
        </is>
      </c>
      <c r="F36" t="inlineStr">
        <is>
          <t>No</t>
        </is>
      </c>
      <c r="G36" t="inlineStr">
        <is>
          <t>1</t>
        </is>
      </c>
      <c r="H36" t="inlineStr">
        <is>
          <t>No</t>
        </is>
      </c>
      <c r="I36" t="inlineStr">
        <is>
          <t>No</t>
        </is>
      </c>
      <c r="J36" t="inlineStr">
        <is>
          <t>0</t>
        </is>
      </c>
      <c r="K36" t="inlineStr">
        <is>
          <t>Skocpol, Theda.</t>
        </is>
      </c>
      <c r="L36" t="inlineStr">
        <is>
          <t>Cambridge [England] ; New York : Cambridge University Press, 1994.</t>
        </is>
      </c>
      <c r="M36" t="inlineStr">
        <is>
          <t>1994</t>
        </is>
      </c>
      <c r="O36" t="inlineStr">
        <is>
          <t>eng</t>
        </is>
      </c>
      <c r="P36" t="inlineStr">
        <is>
          <t>enk</t>
        </is>
      </c>
      <c r="Q36" t="inlineStr">
        <is>
          <t>Cambridge studies in comparative politics</t>
        </is>
      </c>
      <c r="R36" t="inlineStr">
        <is>
          <t xml:space="preserve">HN </t>
        </is>
      </c>
      <c r="S36" t="n">
        <v>17</v>
      </c>
      <c r="T36" t="n">
        <v>17</v>
      </c>
      <c r="U36" t="inlineStr">
        <is>
          <t>2009-10-12</t>
        </is>
      </c>
      <c r="V36" t="inlineStr">
        <is>
          <t>2009-10-12</t>
        </is>
      </c>
      <c r="W36" t="inlineStr">
        <is>
          <t>1995-12-01</t>
        </is>
      </c>
      <c r="X36" t="inlineStr">
        <is>
          <t>1995-12-01</t>
        </is>
      </c>
      <c r="Y36" t="n">
        <v>632</v>
      </c>
      <c r="Z36" t="n">
        <v>414</v>
      </c>
      <c r="AA36" t="n">
        <v>421</v>
      </c>
      <c r="AB36" t="n">
        <v>4</v>
      </c>
      <c r="AC36" t="n">
        <v>4</v>
      </c>
      <c r="AD36" t="n">
        <v>22</v>
      </c>
      <c r="AE36" t="n">
        <v>22</v>
      </c>
      <c r="AF36" t="n">
        <v>9</v>
      </c>
      <c r="AG36" t="n">
        <v>9</v>
      </c>
      <c r="AH36" t="n">
        <v>7</v>
      </c>
      <c r="AI36" t="n">
        <v>7</v>
      </c>
      <c r="AJ36" t="n">
        <v>10</v>
      </c>
      <c r="AK36" t="n">
        <v>10</v>
      </c>
      <c r="AL36" t="n">
        <v>3</v>
      </c>
      <c r="AM36" t="n">
        <v>3</v>
      </c>
      <c r="AN36" t="n">
        <v>0</v>
      </c>
      <c r="AO36" t="n">
        <v>0</v>
      </c>
      <c r="AP36" t="inlineStr">
        <is>
          <t>No</t>
        </is>
      </c>
      <c r="AQ36" t="inlineStr">
        <is>
          <t>No</t>
        </is>
      </c>
      <c r="AS36">
        <f>HYPERLINK("https://creighton-primo.hosted.exlibrisgroup.com/primo-explore/search?tab=default_tab&amp;search_scope=EVERYTHING&amp;vid=01CRU&amp;lang=en_US&amp;offset=0&amp;query=any,contains,991002291129702656","Catalog Record")</f>
        <v/>
      </c>
      <c r="AT36">
        <f>HYPERLINK("http://www.worldcat.org/oclc/29702288","WorldCat Record")</f>
        <v/>
      </c>
      <c r="AU36" t="inlineStr">
        <is>
          <t>31678849:eng</t>
        </is>
      </c>
      <c r="AV36" t="inlineStr">
        <is>
          <t>29702288</t>
        </is>
      </c>
      <c r="AW36" t="inlineStr">
        <is>
          <t>991002291129702656</t>
        </is>
      </c>
      <c r="AX36" t="inlineStr">
        <is>
          <t>991002291129702656</t>
        </is>
      </c>
      <c r="AY36" t="inlineStr">
        <is>
          <t>2261307330002656</t>
        </is>
      </c>
      <c r="AZ36" t="inlineStr">
        <is>
          <t>BOOK</t>
        </is>
      </c>
      <c r="BB36" t="inlineStr">
        <is>
          <t>9780521400886</t>
        </is>
      </c>
      <c r="BC36" t="inlineStr">
        <is>
          <t>32285002107570</t>
        </is>
      </c>
      <c r="BD36" t="inlineStr">
        <is>
          <t>893898578</t>
        </is>
      </c>
    </row>
    <row r="37">
      <c r="A37" t="inlineStr">
        <is>
          <t>No</t>
        </is>
      </c>
      <c r="B37" t="inlineStr">
        <is>
          <t>HN16 .S67 1988</t>
        </is>
      </c>
      <c r="C37" t="inlineStr">
        <is>
          <t>0                      HN 0016000S  67          1988</t>
        </is>
      </c>
      <c r="D37" t="inlineStr">
        <is>
          <t>Principles of social welfare : an introduction to thinking about the welfare state / Paul Spicker.</t>
        </is>
      </c>
      <c r="F37" t="inlineStr">
        <is>
          <t>No</t>
        </is>
      </c>
      <c r="G37" t="inlineStr">
        <is>
          <t>1</t>
        </is>
      </c>
      <c r="H37" t="inlineStr">
        <is>
          <t>No</t>
        </is>
      </c>
      <c r="I37" t="inlineStr">
        <is>
          <t>No</t>
        </is>
      </c>
      <c r="J37" t="inlineStr">
        <is>
          <t>0</t>
        </is>
      </c>
      <c r="K37" t="inlineStr">
        <is>
          <t>Spicker, Paul.</t>
        </is>
      </c>
      <c r="L37" t="inlineStr">
        <is>
          <t>London ; New York : Routledge, 1988.</t>
        </is>
      </c>
      <c r="M37" t="inlineStr">
        <is>
          <t>1988</t>
        </is>
      </c>
      <c r="O37" t="inlineStr">
        <is>
          <t>eng</t>
        </is>
      </c>
      <c r="P37" t="inlineStr">
        <is>
          <t>enk</t>
        </is>
      </c>
      <c r="R37" t="inlineStr">
        <is>
          <t xml:space="preserve">HN </t>
        </is>
      </c>
      <c r="S37" t="n">
        <v>4</v>
      </c>
      <c r="T37" t="n">
        <v>4</v>
      </c>
      <c r="U37" t="inlineStr">
        <is>
          <t>1994-12-07</t>
        </is>
      </c>
      <c r="V37" t="inlineStr">
        <is>
          <t>1994-12-07</t>
        </is>
      </c>
      <c r="W37" t="inlineStr">
        <is>
          <t>1992-09-23</t>
        </is>
      </c>
      <c r="X37" t="inlineStr">
        <is>
          <t>1992-09-23</t>
        </is>
      </c>
      <c r="Y37" t="n">
        <v>296</v>
      </c>
      <c r="Z37" t="n">
        <v>148</v>
      </c>
      <c r="AA37" t="n">
        <v>153</v>
      </c>
      <c r="AB37" t="n">
        <v>2</v>
      </c>
      <c r="AC37" t="n">
        <v>2</v>
      </c>
      <c r="AD37" t="n">
        <v>6</v>
      </c>
      <c r="AE37" t="n">
        <v>6</v>
      </c>
      <c r="AF37" t="n">
        <v>1</v>
      </c>
      <c r="AG37" t="n">
        <v>1</v>
      </c>
      <c r="AH37" t="n">
        <v>2</v>
      </c>
      <c r="AI37" t="n">
        <v>2</v>
      </c>
      <c r="AJ37" t="n">
        <v>3</v>
      </c>
      <c r="AK37" t="n">
        <v>3</v>
      </c>
      <c r="AL37" t="n">
        <v>1</v>
      </c>
      <c r="AM37" t="n">
        <v>1</v>
      </c>
      <c r="AN37" t="n">
        <v>0</v>
      </c>
      <c r="AO37" t="n">
        <v>0</v>
      </c>
      <c r="AP37" t="inlineStr">
        <is>
          <t>No</t>
        </is>
      </c>
      <c r="AQ37" t="inlineStr">
        <is>
          <t>No</t>
        </is>
      </c>
      <c r="AS37">
        <f>HYPERLINK("https://creighton-primo.hosted.exlibrisgroup.com/primo-explore/search?tab=default_tab&amp;search_scope=EVERYTHING&amp;vid=01CRU&amp;lang=en_US&amp;offset=0&amp;query=any,contains,991001244419702656","Catalog Record")</f>
        <v/>
      </c>
      <c r="AT37">
        <f>HYPERLINK("http://www.worldcat.org/oclc/17648749","WorldCat Record")</f>
        <v/>
      </c>
      <c r="AU37" t="inlineStr">
        <is>
          <t>16220332:eng</t>
        </is>
      </c>
      <c r="AV37" t="inlineStr">
        <is>
          <t>17648749</t>
        </is>
      </c>
      <c r="AW37" t="inlineStr">
        <is>
          <t>991001244419702656</t>
        </is>
      </c>
      <c r="AX37" t="inlineStr">
        <is>
          <t>991001244419702656</t>
        </is>
      </c>
      <c r="AY37" t="inlineStr">
        <is>
          <t>2258759150002656</t>
        </is>
      </c>
      <c r="AZ37" t="inlineStr">
        <is>
          <t>BOOK</t>
        </is>
      </c>
      <c r="BB37" t="inlineStr">
        <is>
          <t>9780415006309</t>
        </is>
      </c>
      <c r="BC37" t="inlineStr">
        <is>
          <t>32285001269231</t>
        </is>
      </c>
      <c r="BD37" t="inlineStr">
        <is>
          <t>893438998</t>
        </is>
      </c>
    </row>
    <row r="38">
      <c r="A38" t="inlineStr">
        <is>
          <t>No</t>
        </is>
      </c>
      <c r="B38" t="inlineStr">
        <is>
          <t>HN160.Z9 C62 1989</t>
        </is>
      </c>
      <c r="C38" t="inlineStr">
        <is>
          <t>0                      HN 0160000Z  9                  C  62          1989</t>
        </is>
      </c>
      <c r="D38" t="inlineStr">
        <is>
          <t>Don't be afraid, gringo : a Honduran woman speaks from the heart : the story of Elvia Alvarado / translated and edited by Medea Benjamin.</t>
        </is>
      </c>
      <c r="F38" t="inlineStr">
        <is>
          <t>No</t>
        </is>
      </c>
      <c r="G38" t="inlineStr">
        <is>
          <t>1</t>
        </is>
      </c>
      <c r="H38" t="inlineStr">
        <is>
          <t>No</t>
        </is>
      </c>
      <c r="I38" t="inlineStr">
        <is>
          <t>No</t>
        </is>
      </c>
      <c r="J38" t="inlineStr">
        <is>
          <t>0</t>
        </is>
      </c>
      <c r="K38" t="inlineStr">
        <is>
          <t>Alvarado, Elvia.</t>
        </is>
      </c>
      <c r="L38" t="inlineStr">
        <is>
          <t>New York : Harper &amp; Row, 1989.</t>
        </is>
      </c>
      <c r="M38" t="inlineStr">
        <is>
          <t>1989</t>
        </is>
      </c>
      <c r="N38" t="inlineStr">
        <is>
          <t>1st Perennial library ed.</t>
        </is>
      </c>
      <c r="O38" t="inlineStr">
        <is>
          <t>eng</t>
        </is>
      </c>
      <c r="P38" t="inlineStr">
        <is>
          <t>nyu</t>
        </is>
      </c>
      <c r="R38" t="inlineStr">
        <is>
          <t xml:space="preserve">HN </t>
        </is>
      </c>
      <c r="S38" t="n">
        <v>16</v>
      </c>
      <c r="T38" t="n">
        <v>16</v>
      </c>
      <c r="U38" t="inlineStr">
        <is>
          <t>2008-09-09</t>
        </is>
      </c>
      <c r="V38" t="inlineStr">
        <is>
          <t>2008-09-09</t>
        </is>
      </c>
      <c r="W38" t="inlineStr">
        <is>
          <t>1992-05-08</t>
        </is>
      </c>
      <c r="X38" t="inlineStr">
        <is>
          <t>1992-05-08</t>
        </is>
      </c>
      <c r="Y38" t="n">
        <v>469</v>
      </c>
      <c r="Z38" t="n">
        <v>449</v>
      </c>
      <c r="AA38" t="n">
        <v>766</v>
      </c>
      <c r="AB38" t="n">
        <v>4</v>
      </c>
      <c r="AC38" t="n">
        <v>6</v>
      </c>
      <c r="AD38" t="n">
        <v>18</v>
      </c>
      <c r="AE38" t="n">
        <v>32</v>
      </c>
      <c r="AF38" t="n">
        <v>7</v>
      </c>
      <c r="AG38" t="n">
        <v>11</v>
      </c>
      <c r="AH38" t="n">
        <v>2</v>
      </c>
      <c r="AI38" t="n">
        <v>6</v>
      </c>
      <c r="AJ38" t="n">
        <v>9</v>
      </c>
      <c r="AK38" t="n">
        <v>15</v>
      </c>
      <c r="AL38" t="n">
        <v>3</v>
      </c>
      <c r="AM38" t="n">
        <v>5</v>
      </c>
      <c r="AN38" t="n">
        <v>0</v>
      </c>
      <c r="AO38" t="n">
        <v>1</v>
      </c>
      <c r="AP38" t="inlineStr">
        <is>
          <t>No</t>
        </is>
      </c>
      <c r="AQ38" t="inlineStr">
        <is>
          <t>No</t>
        </is>
      </c>
      <c r="AS38">
        <f>HYPERLINK("https://creighton-primo.hosted.exlibrisgroup.com/primo-explore/search?tab=default_tab&amp;search_scope=EVERYTHING&amp;vid=01CRU&amp;lang=en_US&amp;offset=0&amp;query=any,contains,991001552809702656","Catalog Record")</f>
        <v/>
      </c>
      <c r="AT38">
        <f>HYPERLINK("http://www.worldcat.org/oclc/20258581","WorldCat Record")</f>
        <v/>
      </c>
      <c r="AU38" t="inlineStr">
        <is>
          <t>12825778:eng</t>
        </is>
      </c>
      <c r="AV38" t="inlineStr">
        <is>
          <t>20258581</t>
        </is>
      </c>
      <c r="AW38" t="inlineStr">
        <is>
          <t>991001552809702656</t>
        </is>
      </c>
      <c r="AX38" t="inlineStr">
        <is>
          <t>991001552809702656</t>
        </is>
      </c>
      <c r="AY38" t="inlineStr">
        <is>
          <t>2262545010002656</t>
        </is>
      </c>
      <c r="AZ38" t="inlineStr">
        <is>
          <t>BOOK</t>
        </is>
      </c>
      <c r="BB38" t="inlineStr">
        <is>
          <t>9780060972059</t>
        </is>
      </c>
      <c r="BC38" t="inlineStr">
        <is>
          <t>32285001038750</t>
        </is>
      </c>
      <c r="BD38" t="inlineStr">
        <is>
          <t>893503487</t>
        </is>
      </c>
    </row>
    <row r="39">
      <c r="A39" t="inlineStr">
        <is>
          <t>No</t>
        </is>
      </c>
      <c r="B39" t="inlineStr">
        <is>
          <t>HN17 .I7 2004</t>
        </is>
      </c>
      <c r="C39" t="inlineStr">
        <is>
          <t>0                      HN 0017000I  7           2004</t>
        </is>
      </c>
      <c r="D39" t="inlineStr">
        <is>
          <t>Investing in children, youth, families, and communities : strengths-based research and policy / edited by Kenneth I. Maton ... [et al.].</t>
        </is>
      </c>
      <c r="F39" t="inlineStr">
        <is>
          <t>No</t>
        </is>
      </c>
      <c r="G39" t="inlineStr">
        <is>
          <t>1</t>
        </is>
      </c>
      <c r="H39" t="inlineStr">
        <is>
          <t>No</t>
        </is>
      </c>
      <c r="I39" t="inlineStr">
        <is>
          <t>No</t>
        </is>
      </c>
      <c r="J39" t="inlineStr">
        <is>
          <t>0</t>
        </is>
      </c>
      <c r="L39" t="inlineStr">
        <is>
          <t>Washington, DC : APA Books, c2004.</t>
        </is>
      </c>
      <c r="M39" t="inlineStr">
        <is>
          <t>2004</t>
        </is>
      </c>
      <c r="O39" t="inlineStr">
        <is>
          <t>eng</t>
        </is>
      </c>
      <c r="P39" t="inlineStr">
        <is>
          <t>dcu</t>
        </is>
      </c>
      <c r="R39" t="inlineStr">
        <is>
          <t xml:space="preserve">HN </t>
        </is>
      </c>
      <c r="S39" t="n">
        <v>2</v>
      </c>
      <c r="T39" t="n">
        <v>2</v>
      </c>
      <c r="U39" t="inlineStr">
        <is>
          <t>2004-10-03</t>
        </is>
      </c>
      <c r="V39" t="inlineStr">
        <is>
          <t>2004-10-03</t>
        </is>
      </c>
      <c r="W39" t="inlineStr">
        <is>
          <t>2004-04-19</t>
        </is>
      </c>
      <c r="X39" t="inlineStr">
        <is>
          <t>2004-04-19</t>
        </is>
      </c>
      <c r="Y39" t="n">
        <v>266</v>
      </c>
      <c r="Z39" t="n">
        <v>224</v>
      </c>
      <c r="AA39" t="n">
        <v>368</v>
      </c>
      <c r="AB39" t="n">
        <v>3</v>
      </c>
      <c r="AC39" t="n">
        <v>4</v>
      </c>
      <c r="AD39" t="n">
        <v>15</v>
      </c>
      <c r="AE39" t="n">
        <v>21</v>
      </c>
      <c r="AF39" t="n">
        <v>6</v>
      </c>
      <c r="AG39" t="n">
        <v>8</v>
      </c>
      <c r="AH39" t="n">
        <v>3</v>
      </c>
      <c r="AI39" t="n">
        <v>3</v>
      </c>
      <c r="AJ39" t="n">
        <v>7</v>
      </c>
      <c r="AK39" t="n">
        <v>10</v>
      </c>
      <c r="AL39" t="n">
        <v>2</v>
      </c>
      <c r="AM39" t="n">
        <v>3</v>
      </c>
      <c r="AN39" t="n">
        <v>0</v>
      </c>
      <c r="AO39" t="n">
        <v>0</v>
      </c>
      <c r="AP39" t="inlineStr">
        <is>
          <t>No</t>
        </is>
      </c>
      <c r="AQ39" t="inlineStr">
        <is>
          <t>No</t>
        </is>
      </c>
      <c r="AS39">
        <f>HYPERLINK("https://creighton-primo.hosted.exlibrisgroup.com/primo-explore/search?tab=default_tab&amp;search_scope=EVERYTHING&amp;vid=01CRU&amp;lang=en_US&amp;offset=0&amp;query=any,contains,991004263139702656","Catalog Record")</f>
        <v/>
      </c>
      <c r="AT39">
        <f>HYPERLINK("http://www.worldcat.org/oclc/52727309","WorldCat Record")</f>
        <v/>
      </c>
      <c r="AU39" t="inlineStr">
        <is>
          <t>892730938:eng</t>
        </is>
      </c>
      <c r="AV39" t="inlineStr">
        <is>
          <t>52727309</t>
        </is>
      </c>
      <c r="AW39" t="inlineStr">
        <is>
          <t>991004263139702656</t>
        </is>
      </c>
      <c r="AX39" t="inlineStr">
        <is>
          <t>991004263139702656</t>
        </is>
      </c>
      <c r="AY39" t="inlineStr">
        <is>
          <t>2256508520002656</t>
        </is>
      </c>
      <c r="AZ39" t="inlineStr">
        <is>
          <t>BOOK</t>
        </is>
      </c>
      <c r="BB39" t="inlineStr">
        <is>
          <t>9781591470625</t>
        </is>
      </c>
      <c r="BC39" t="inlineStr">
        <is>
          <t>32285004899976</t>
        </is>
      </c>
      <c r="BD39" t="inlineStr">
        <is>
          <t>893500355</t>
        </is>
      </c>
    </row>
    <row r="40">
      <c r="A40" t="inlineStr">
        <is>
          <t>No</t>
        </is>
      </c>
      <c r="B40" t="inlineStr">
        <is>
          <t>HN17 .S59</t>
        </is>
      </c>
      <c r="C40" t="inlineStr">
        <is>
          <t>0                      HN 0017000S  59</t>
        </is>
      </c>
      <c r="D40" t="inlineStr">
        <is>
          <t>Social movements and social change / edited by Robert H. Lauer.</t>
        </is>
      </c>
      <c r="F40" t="inlineStr">
        <is>
          <t>No</t>
        </is>
      </c>
      <c r="G40" t="inlineStr">
        <is>
          <t>1</t>
        </is>
      </c>
      <c r="H40" t="inlineStr">
        <is>
          <t>No</t>
        </is>
      </c>
      <c r="I40" t="inlineStr">
        <is>
          <t>No</t>
        </is>
      </c>
      <c r="J40" t="inlineStr">
        <is>
          <t>0</t>
        </is>
      </c>
      <c r="L40" t="inlineStr">
        <is>
          <t>Carbondale : Southern Illinois University Press, c1976.</t>
        </is>
      </c>
      <c r="M40" t="inlineStr">
        <is>
          <t>1976</t>
        </is>
      </c>
      <c r="O40" t="inlineStr">
        <is>
          <t>eng</t>
        </is>
      </c>
      <c r="P40" t="inlineStr">
        <is>
          <t>ilu</t>
        </is>
      </c>
      <c r="R40" t="inlineStr">
        <is>
          <t xml:space="preserve">HN </t>
        </is>
      </c>
      <c r="S40" t="n">
        <v>2</v>
      </c>
      <c r="T40" t="n">
        <v>2</v>
      </c>
      <c r="U40" t="inlineStr">
        <is>
          <t>2010-12-07</t>
        </is>
      </c>
      <c r="V40" t="inlineStr">
        <is>
          <t>2010-12-07</t>
        </is>
      </c>
      <c r="W40" t="inlineStr">
        <is>
          <t>1997-08-04</t>
        </is>
      </c>
      <c r="X40" t="inlineStr">
        <is>
          <t>1997-08-04</t>
        </is>
      </c>
      <c r="Y40" t="n">
        <v>668</v>
      </c>
      <c r="Z40" t="n">
        <v>580</v>
      </c>
      <c r="AA40" t="n">
        <v>581</v>
      </c>
      <c r="AB40" t="n">
        <v>6</v>
      </c>
      <c r="AC40" t="n">
        <v>6</v>
      </c>
      <c r="AD40" t="n">
        <v>30</v>
      </c>
      <c r="AE40" t="n">
        <v>30</v>
      </c>
      <c r="AF40" t="n">
        <v>13</v>
      </c>
      <c r="AG40" t="n">
        <v>13</v>
      </c>
      <c r="AH40" t="n">
        <v>5</v>
      </c>
      <c r="AI40" t="n">
        <v>5</v>
      </c>
      <c r="AJ40" t="n">
        <v>13</v>
      </c>
      <c r="AK40" t="n">
        <v>13</v>
      </c>
      <c r="AL40" t="n">
        <v>5</v>
      </c>
      <c r="AM40" t="n">
        <v>5</v>
      </c>
      <c r="AN40" t="n">
        <v>0</v>
      </c>
      <c r="AO40" t="n">
        <v>0</v>
      </c>
      <c r="AP40" t="inlineStr">
        <is>
          <t>No</t>
        </is>
      </c>
      <c r="AQ40" t="inlineStr">
        <is>
          <t>No</t>
        </is>
      </c>
      <c r="AS40">
        <f>HYPERLINK("https://creighton-primo.hosted.exlibrisgroup.com/primo-explore/search?tab=default_tab&amp;search_scope=EVERYTHING&amp;vid=01CRU&amp;lang=en_US&amp;offset=0&amp;query=any,contains,991004091049702656","Catalog Record")</f>
        <v/>
      </c>
      <c r="AT40">
        <f>HYPERLINK("http://www.worldcat.org/oclc/2345678","WorldCat Record")</f>
        <v/>
      </c>
      <c r="AU40" t="inlineStr">
        <is>
          <t>10175805068:eng</t>
        </is>
      </c>
      <c r="AV40" t="inlineStr">
        <is>
          <t>2345678</t>
        </is>
      </c>
      <c r="AW40" t="inlineStr">
        <is>
          <t>991004091049702656</t>
        </is>
      </c>
      <c r="AX40" t="inlineStr">
        <is>
          <t>991004091049702656</t>
        </is>
      </c>
      <c r="AY40" t="inlineStr">
        <is>
          <t>2262050160002656</t>
        </is>
      </c>
      <c r="AZ40" t="inlineStr">
        <is>
          <t>BOOK</t>
        </is>
      </c>
      <c r="BB40" t="inlineStr">
        <is>
          <t>9780809307715</t>
        </is>
      </c>
      <c r="BC40" t="inlineStr">
        <is>
          <t>32285003040523</t>
        </is>
      </c>
      <c r="BD40" t="inlineStr">
        <is>
          <t>893263087</t>
        </is>
      </c>
    </row>
    <row r="41">
      <c r="A41" t="inlineStr">
        <is>
          <t>No</t>
        </is>
      </c>
      <c r="B41" t="inlineStr">
        <is>
          <t>HN17 .T69 2000</t>
        </is>
      </c>
      <c r="C41" t="inlineStr">
        <is>
          <t>0                      HN 0017000T  69          2000</t>
        </is>
      </c>
      <c r="D41" t="inlineStr">
        <is>
          <t>On the edge : political cults right and left / Dennis Tourish, Tim Wohlforth.</t>
        </is>
      </c>
      <c r="F41" t="inlineStr">
        <is>
          <t>No</t>
        </is>
      </c>
      <c r="G41" t="inlineStr">
        <is>
          <t>1</t>
        </is>
      </c>
      <c r="H41" t="inlineStr">
        <is>
          <t>No</t>
        </is>
      </c>
      <c r="I41" t="inlineStr">
        <is>
          <t>No</t>
        </is>
      </c>
      <c r="J41" t="inlineStr">
        <is>
          <t>0</t>
        </is>
      </c>
      <c r="K41" t="inlineStr">
        <is>
          <t>Tourish, Dennis.</t>
        </is>
      </c>
      <c r="L41" t="inlineStr">
        <is>
          <t>Armonk, N.Y. : M.E. Sharpe , c2000.</t>
        </is>
      </c>
      <c r="M41" t="inlineStr">
        <is>
          <t>2000</t>
        </is>
      </c>
      <c r="O41" t="inlineStr">
        <is>
          <t>eng</t>
        </is>
      </c>
      <c r="P41" t="inlineStr">
        <is>
          <t>nyu</t>
        </is>
      </c>
      <c r="R41" t="inlineStr">
        <is>
          <t xml:space="preserve">HN </t>
        </is>
      </c>
      <c r="S41" t="n">
        <v>1</v>
      </c>
      <c r="T41" t="n">
        <v>1</v>
      </c>
      <c r="U41" t="inlineStr">
        <is>
          <t>2002-09-26</t>
        </is>
      </c>
      <c r="V41" t="inlineStr">
        <is>
          <t>2002-09-26</t>
        </is>
      </c>
      <c r="W41" t="inlineStr">
        <is>
          <t>2002-09-26</t>
        </is>
      </c>
      <c r="X41" t="inlineStr">
        <is>
          <t>2002-09-26</t>
        </is>
      </c>
      <c r="Y41" t="n">
        <v>461</v>
      </c>
      <c r="Z41" t="n">
        <v>392</v>
      </c>
      <c r="AA41" t="n">
        <v>421</v>
      </c>
      <c r="AB41" t="n">
        <v>4</v>
      </c>
      <c r="AC41" t="n">
        <v>4</v>
      </c>
      <c r="AD41" t="n">
        <v>16</v>
      </c>
      <c r="AE41" t="n">
        <v>17</v>
      </c>
      <c r="AF41" t="n">
        <v>4</v>
      </c>
      <c r="AG41" t="n">
        <v>5</v>
      </c>
      <c r="AH41" t="n">
        <v>5</v>
      </c>
      <c r="AI41" t="n">
        <v>6</v>
      </c>
      <c r="AJ41" t="n">
        <v>8</v>
      </c>
      <c r="AK41" t="n">
        <v>8</v>
      </c>
      <c r="AL41" t="n">
        <v>3</v>
      </c>
      <c r="AM41" t="n">
        <v>3</v>
      </c>
      <c r="AN41" t="n">
        <v>0</v>
      </c>
      <c r="AO41" t="n">
        <v>0</v>
      </c>
      <c r="AP41" t="inlineStr">
        <is>
          <t>No</t>
        </is>
      </c>
      <c r="AQ41" t="inlineStr">
        <is>
          <t>No</t>
        </is>
      </c>
      <c r="AS41">
        <f>HYPERLINK("https://creighton-primo.hosted.exlibrisgroup.com/primo-explore/search?tab=default_tab&amp;search_scope=EVERYTHING&amp;vid=01CRU&amp;lang=en_US&amp;offset=0&amp;query=any,contains,991003875299702656","Catalog Record")</f>
        <v/>
      </c>
      <c r="AT41">
        <f>HYPERLINK("http://www.worldcat.org/oclc/43434639","WorldCat Record")</f>
        <v/>
      </c>
      <c r="AU41" t="inlineStr">
        <is>
          <t>371652446:eng</t>
        </is>
      </c>
      <c r="AV41" t="inlineStr">
        <is>
          <t>43434639</t>
        </is>
      </c>
      <c r="AW41" t="inlineStr">
        <is>
          <t>991003875299702656</t>
        </is>
      </c>
      <c r="AX41" t="inlineStr">
        <is>
          <t>991003875299702656</t>
        </is>
      </c>
      <c r="AY41" t="inlineStr">
        <is>
          <t>2255654300002656</t>
        </is>
      </c>
      <c r="AZ41" t="inlineStr">
        <is>
          <t>BOOK</t>
        </is>
      </c>
      <c r="BB41" t="inlineStr">
        <is>
          <t>9780765606396</t>
        </is>
      </c>
      <c r="BC41" t="inlineStr">
        <is>
          <t>32285004649694</t>
        </is>
      </c>
      <c r="BD41" t="inlineStr">
        <is>
          <t>893693243</t>
        </is>
      </c>
    </row>
    <row r="42">
      <c r="A42" t="inlineStr">
        <is>
          <t>No</t>
        </is>
      </c>
      <c r="B42" t="inlineStr">
        <is>
          <t>HN17 .W4 1974</t>
        </is>
      </c>
      <c r="C42" t="inlineStr">
        <is>
          <t>0                      HN 0017000W  4           1974</t>
        </is>
      </c>
      <c r="D42" t="inlineStr">
        <is>
          <t>The new world order; whether it is attainable, how it can be attained, and what sort of world a world at peace will have to be.</t>
        </is>
      </c>
      <c r="F42" t="inlineStr">
        <is>
          <t>No</t>
        </is>
      </c>
      <c r="G42" t="inlineStr">
        <is>
          <t>1</t>
        </is>
      </c>
      <c r="H42" t="inlineStr">
        <is>
          <t>No</t>
        </is>
      </c>
      <c r="I42" t="inlineStr">
        <is>
          <t>No</t>
        </is>
      </c>
      <c r="J42" t="inlineStr">
        <is>
          <t>0</t>
        </is>
      </c>
      <c r="K42" t="inlineStr">
        <is>
          <t>Wells, H. G. (Herbert George), 1866-1946.</t>
        </is>
      </c>
      <c r="L42" t="inlineStr">
        <is>
          <t>Westport, Conn., Greenwood Press [1974, c1940]</t>
        </is>
      </c>
      <c r="M42" t="inlineStr">
        <is>
          <t>1974</t>
        </is>
      </c>
      <c r="O42" t="inlineStr">
        <is>
          <t>eng</t>
        </is>
      </c>
      <c r="P42" t="inlineStr">
        <is>
          <t>ctu</t>
        </is>
      </c>
      <c r="R42" t="inlineStr">
        <is>
          <t xml:space="preserve">HN </t>
        </is>
      </c>
      <c r="S42" t="n">
        <v>1</v>
      </c>
      <c r="T42" t="n">
        <v>1</v>
      </c>
      <c r="U42" t="inlineStr">
        <is>
          <t>2002-11-07</t>
        </is>
      </c>
      <c r="V42" t="inlineStr">
        <is>
          <t>2002-11-07</t>
        </is>
      </c>
      <c r="W42" t="inlineStr">
        <is>
          <t>1997-08-04</t>
        </is>
      </c>
      <c r="X42" t="inlineStr">
        <is>
          <t>1997-08-04</t>
        </is>
      </c>
      <c r="Y42" t="n">
        <v>73</v>
      </c>
      <c r="Z42" t="n">
        <v>66</v>
      </c>
      <c r="AA42" t="n">
        <v>425</v>
      </c>
      <c r="AB42" t="n">
        <v>1</v>
      </c>
      <c r="AC42" t="n">
        <v>2</v>
      </c>
      <c r="AD42" t="n">
        <v>5</v>
      </c>
      <c r="AE42" t="n">
        <v>13</v>
      </c>
      <c r="AF42" t="n">
        <v>1</v>
      </c>
      <c r="AG42" t="n">
        <v>5</v>
      </c>
      <c r="AH42" t="n">
        <v>3</v>
      </c>
      <c r="AI42" t="n">
        <v>5</v>
      </c>
      <c r="AJ42" t="n">
        <v>3</v>
      </c>
      <c r="AK42" t="n">
        <v>6</v>
      </c>
      <c r="AL42" t="n">
        <v>0</v>
      </c>
      <c r="AM42" t="n">
        <v>1</v>
      </c>
      <c r="AN42" t="n">
        <v>0</v>
      </c>
      <c r="AO42" t="n">
        <v>0</v>
      </c>
      <c r="AP42" t="inlineStr">
        <is>
          <t>No</t>
        </is>
      </c>
      <c r="AQ42" t="inlineStr">
        <is>
          <t>No</t>
        </is>
      </c>
      <c r="AS42">
        <f>HYPERLINK("https://creighton-primo.hosted.exlibrisgroup.com/primo-explore/search?tab=default_tab&amp;search_scope=EVERYTHING&amp;vid=01CRU&amp;lang=en_US&amp;offset=0&amp;query=any,contains,991003276659702656","Catalog Record")</f>
        <v/>
      </c>
      <c r="AT42">
        <f>HYPERLINK("http://www.worldcat.org/oclc/800596","WorldCat Record")</f>
        <v/>
      </c>
      <c r="AU42" t="inlineStr">
        <is>
          <t>1596996:eng</t>
        </is>
      </c>
      <c r="AV42" t="inlineStr">
        <is>
          <t>800596</t>
        </is>
      </c>
      <c r="AW42" t="inlineStr">
        <is>
          <t>991003276659702656</t>
        </is>
      </c>
      <c r="AX42" t="inlineStr">
        <is>
          <t>991003276659702656</t>
        </is>
      </c>
      <c r="AY42" t="inlineStr">
        <is>
          <t>2266985620002656</t>
        </is>
      </c>
      <c r="AZ42" t="inlineStr">
        <is>
          <t>BOOK</t>
        </is>
      </c>
      <c r="BB42" t="inlineStr">
        <is>
          <t>9780837173184</t>
        </is>
      </c>
      <c r="BC42" t="inlineStr">
        <is>
          <t>32285003040531</t>
        </is>
      </c>
      <c r="BD42" t="inlineStr">
        <is>
          <t>893793480</t>
        </is>
      </c>
    </row>
    <row r="43">
      <c r="A43" t="inlineStr">
        <is>
          <t>No</t>
        </is>
      </c>
      <c r="B43" t="inlineStr">
        <is>
          <t>HN17.5 .C354 2000</t>
        </is>
      </c>
      <c r="C43" t="inlineStr">
        <is>
          <t>0                      HN 0017500C  354         2000</t>
        </is>
      </c>
      <c r="D43" t="inlineStr">
        <is>
          <t>End of millennium / Manuel Castells.</t>
        </is>
      </c>
      <c r="F43" t="inlineStr">
        <is>
          <t>No</t>
        </is>
      </c>
      <c r="G43" t="inlineStr">
        <is>
          <t>1</t>
        </is>
      </c>
      <c r="H43" t="inlineStr">
        <is>
          <t>No</t>
        </is>
      </c>
      <c r="I43" t="inlineStr">
        <is>
          <t>No</t>
        </is>
      </c>
      <c r="J43" t="inlineStr">
        <is>
          <t>0</t>
        </is>
      </c>
      <c r="K43" t="inlineStr">
        <is>
          <t>Castells, Manuel, 1942-</t>
        </is>
      </c>
      <c r="L43" t="inlineStr">
        <is>
          <t>Oxford ; Malden, MA : Blackwell Publishers, 2000.</t>
        </is>
      </c>
      <c r="M43" t="inlineStr">
        <is>
          <t>2000</t>
        </is>
      </c>
      <c r="N43" t="inlineStr">
        <is>
          <t>2nd ed.</t>
        </is>
      </c>
      <c r="O43" t="inlineStr">
        <is>
          <t>eng</t>
        </is>
      </c>
      <c r="P43" t="inlineStr">
        <is>
          <t>enk</t>
        </is>
      </c>
      <c r="Q43" t="inlineStr">
        <is>
          <t>Information age ; v. 3</t>
        </is>
      </c>
      <c r="R43" t="inlineStr">
        <is>
          <t xml:space="preserve">HN </t>
        </is>
      </c>
      <c r="S43" t="n">
        <v>1</v>
      </c>
      <c r="T43" t="n">
        <v>1</v>
      </c>
      <c r="U43" t="inlineStr">
        <is>
          <t>2004-03-08</t>
        </is>
      </c>
      <c r="V43" t="inlineStr">
        <is>
          <t>2004-03-08</t>
        </is>
      </c>
      <c r="W43" t="inlineStr">
        <is>
          <t>2004-03-08</t>
        </is>
      </c>
      <c r="X43" t="inlineStr">
        <is>
          <t>2004-03-08</t>
        </is>
      </c>
      <c r="Y43" t="n">
        <v>582</v>
      </c>
      <c r="Z43" t="n">
        <v>352</v>
      </c>
      <c r="AA43" t="n">
        <v>688</v>
      </c>
      <c r="AB43" t="n">
        <v>1</v>
      </c>
      <c r="AC43" t="n">
        <v>2</v>
      </c>
      <c r="AD43" t="n">
        <v>19</v>
      </c>
      <c r="AE43" t="n">
        <v>28</v>
      </c>
      <c r="AF43" t="n">
        <v>10</v>
      </c>
      <c r="AG43" t="n">
        <v>14</v>
      </c>
      <c r="AH43" t="n">
        <v>4</v>
      </c>
      <c r="AI43" t="n">
        <v>6</v>
      </c>
      <c r="AJ43" t="n">
        <v>10</v>
      </c>
      <c r="AK43" t="n">
        <v>15</v>
      </c>
      <c r="AL43" t="n">
        <v>0</v>
      </c>
      <c r="AM43" t="n">
        <v>1</v>
      </c>
      <c r="AN43" t="n">
        <v>0</v>
      </c>
      <c r="AO43" t="n">
        <v>0</v>
      </c>
      <c r="AP43" t="inlineStr">
        <is>
          <t>No</t>
        </is>
      </c>
      <c r="AQ43" t="inlineStr">
        <is>
          <t>No</t>
        </is>
      </c>
      <c r="AS43">
        <f>HYPERLINK("https://creighton-primo.hosted.exlibrisgroup.com/primo-explore/search?tab=default_tab&amp;search_scope=EVERYTHING&amp;vid=01CRU&amp;lang=en_US&amp;offset=0&amp;query=any,contains,991004244489702656","Catalog Record")</f>
        <v/>
      </c>
      <c r="AT43">
        <f>HYPERLINK("http://www.worldcat.org/oclc/43885757","WorldCat Record")</f>
        <v/>
      </c>
      <c r="AU43" t="inlineStr">
        <is>
          <t>350312589:eng</t>
        </is>
      </c>
      <c r="AV43" t="inlineStr">
        <is>
          <t>43885757</t>
        </is>
      </c>
      <c r="AW43" t="inlineStr">
        <is>
          <t>991004244489702656</t>
        </is>
      </c>
      <c r="AX43" t="inlineStr">
        <is>
          <t>991004244489702656</t>
        </is>
      </c>
      <c r="AY43" t="inlineStr">
        <is>
          <t>2255729930002656</t>
        </is>
      </c>
      <c r="AZ43" t="inlineStr">
        <is>
          <t>BOOK</t>
        </is>
      </c>
      <c r="BB43" t="inlineStr">
        <is>
          <t>9780631221395</t>
        </is>
      </c>
      <c r="BC43" t="inlineStr">
        <is>
          <t>32285004892781</t>
        </is>
      </c>
      <c r="BD43" t="inlineStr">
        <is>
          <t>893417389</t>
        </is>
      </c>
    </row>
    <row r="44">
      <c r="A44" t="inlineStr">
        <is>
          <t>No</t>
        </is>
      </c>
      <c r="B44" t="inlineStr">
        <is>
          <t>HN17.5 .C655 1994</t>
        </is>
      </c>
      <c r="C44" t="inlineStr">
        <is>
          <t>0                      HN 0017500C  655         1994</t>
        </is>
      </c>
      <c r="D44" t="inlineStr">
        <is>
          <t>Contemporary societies : problems and prospects / edited by Daniel J. Curran, Claire M. Renzetti.</t>
        </is>
      </c>
      <c r="F44" t="inlineStr">
        <is>
          <t>No</t>
        </is>
      </c>
      <c r="G44" t="inlineStr">
        <is>
          <t>1</t>
        </is>
      </c>
      <c r="H44" t="inlineStr">
        <is>
          <t>No</t>
        </is>
      </c>
      <c r="I44" t="inlineStr">
        <is>
          <t>No</t>
        </is>
      </c>
      <c r="J44" t="inlineStr">
        <is>
          <t>0</t>
        </is>
      </c>
      <c r="L44" t="inlineStr">
        <is>
          <t>Englewood Cliffs, N.J. : Prentice Hall, c1994.</t>
        </is>
      </c>
      <c r="M44" t="inlineStr">
        <is>
          <t>1993</t>
        </is>
      </c>
      <c r="O44" t="inlineStr">
        <is>
          <t>eng</t>
        </is>
      </c>
      <c r="P44" t="inlineStr">
        <is>
          <t>nju</t>
        </is>
      </c>
      <c r="R44" t="inlineStr">
        <is>
          <t xml:space="preserve">HN </t>
        </is>
      </c>
      <c r="S44" t="n">
        <v>13</v>
      </c>
      <c r="T44" t="n">
        <v>13</v>
      </c>
      <c r="U44" t="inlineStr">
        <is>
          <t>2010-12-07</t>
        </is>
      </c>
      <c r="V44" t="inlineStr">
        <is>
          <t>2010-12-07</t>
        </is>
      </c>
      <c r="W44" t="inlineStr">
        <is>
          <t>1994-07-12</t>
        </is>
      </c>
      <c r="X44" t="inlineStr">
        <is>
          <t>1994-07-12</t>
        </is>
      </c>
      <c r="Y44" t="n">
        <v>67</v>
      </c>
      <c r="Z44" t="n">
        <v>54</v>
      </c>
      <c r="AA44" t="n">
        <v>56</v>
      </c>
      <c r="AB44" t="n">
        <v>2</v>
      </c>
      <c r="AC44" t="n">
        <v>2</v>
      </c>
      <c r="AD44" t="n">
        <v>5</v>
      </c>
      <c r="AE44" t="n">
        <v>5</v>
      </c>
      <c r="AF44" t="n">
        <v>1</v>
      </c>
      <c r="AG44" t="n">
        <v>1</v>
      </c>
      <c r="AH44" t="n">
        <v>1</v>
      </c>
      <c r="AI44" t="n">
        <v>1</v>
      </c>
      <c r="AJ44" t="n">
        <v>4</v>
      </c>
      <c r="AK44" t="n">
        <v>4</v>
      </c>
      <c r="AL44" t="n">
        <v>1</v>
      </c>
      <c r="AM44" t="n">
        <v>1</v>
      </c>
      <c r="AN44" t="n">
        <v>0</v>
      </c>
      <c r="AO44" t="n">
        <v>0</v>
      </c>
      <c r="AP44" t="inlineStr">
        <is>
          <t>No</t>
        </is>
      </c>
      <c r="AQ44" t="inlineStr">
        <is>
          <t>Yes</t>
        </is>
      </c>
      <c r="AR44">
        <f>HYPERLINK("http://catalog.hathitrust.org/Record/009806011","HathiTrust Record")</f>
        <v/>
      </c>
      <c r="AS44">
        <f>HYPERLINK("https://creighton-primo.hosted.exlibrisgroup.com/primo-explore/search?tab=default_tab&amp;search_scope=EVERYTHING&amp;vid=01CRU&amp;lang=en_US&amp;offset=0&amp;query=any,contains,991002166749702656","Catalog Record")</f>
        <v/>
      </c>
      <c r="AT44">
        <f>HYPERLINK("http://www.worldcat.org/oclc/27896590","WorldCat Record")</f>
        <v/>
      </c>
      <c r="AU44" t="inlineStr">
        <is>
          <t>1046522283:eng</t>
        </is>
      </c>
      <c r="AV44" t="inlineStr">
        <is>
          <t>27896590</t>
        </is>
      </c>
      <c r="AW44" t="inlineStr">
        <is>
          <t>991002166749702656</t>
        </is>
      </c>
      <c r="AX44" t="inlineStr">
        <is>
          <t>991002166749702656</t>
        </is>
      </c>
      <c r="AY44" t="inlineStr">
        <is>
          <t>2260343740002656</t>
        </is>
      </c>
      <c r="AZ44" t="inlineStr">
        <is>
          <t>BOOK</t>
        </is>
      </c>
      <c r="BB44" t="inlineStr">
        <is>
          <t>9780131770317</t>
        </is>
      </c>
      <c r="BC44" t="inlineStr">
        <is>
          <t>32285001931459</t>
        </is>
      </c>
      <c r="BD44" t="inlineStr">
        <is>
          <t>893873184</t>
        </is>
      </c>
    </row>
    <row r="45">
      <c r="A45" t="inlineStr">
        <is>
          <t>No</t>
        </is>
      </c>
      <c r="B45" t="inlineStr">
        <is>
          <t>HN17.5 .C664 2004</t>
        </is>
      </c>
      <c r="C45" t="inlineStr">
        <is>
          <t>0                      HN 0017500C  664         2004</t>
        </is>
      </c>
      <c r="D45" t="inlineStr">
        <is>
          <t>Confronting capitalism : dispatches from a global movement / edited by Eddie Yuen, Daniel Burton-Rose, and George Katsiaficas.</t>
        </is>
      </c>
      <c r="F45" t="inlineStr">
        <is>
          <t>No</t>
        </is>
      </c>
      <c r="G45" t="inlineStr">
        <is>
          <t>1</t>
        </is>
      </c>
      <c r="H45" t="inlineStr">
        <is>
          <t>No</t>
        </is>
      </c>
      <c r="I45" t="inlineStr">
        <is>
          <t>No</t>
        </is>
      </c>
      <c r="J45" t="inlineStr">
        <is>
          <t>0</t>
        </is>
      </c>
      <c r="L45" t="inlineStr">
        <is>
          <t>Brooklyn, NY : Soft Skull Press ; [Berkeley, Calif.] : Distributed by Publishers Group West, 2004.</t>
        </is>
      </c>
      <c r="M45" t="inlineStr">
        <is>
          <t>2003</t>
        </is>
      </c>
      <c r="O45" t="inlineStr">
        <is>
          <t>eng</t>
        </is>
      </c>
      <c r="P45" t="inlineStr">
        <is>
          <t>nyu</t>
        </is>
      </c>
      <c r="R45" t="inlineStr">
        <is>
          <t xml:space="preserve">HN </t>
        </is>
      </c>
      <c r="S45" t="n">
        <v>3</v>
      </c>
      <c r="T45" t="n">
        <v>3</v>
      </c>
      <c r="U45" t="inlineStr">
        <is>
          <t>2004-08-02</t>
        </is>
      </c>
      <c r="V45" t="inlineStr">
        <is>
          <t>2004-08-02</t>
        </is>
      </c>
      <c r="W45" t="inlineStr">
        <is>
          <t>2004-07-21</t>
        </is>
      </c>
      <c r="X45" t="inlineStr">
        <is>
          <t>2004-07-21</t>
        </is>
      </c>
      <c r="Y45" t="n">
        <v>173</v>
      </c>
      <c r="Z45" t="n">
        <v>125</v>
      </c>
      <c r="AA45" t="n">
        <v>132</v>
      </c>
      <c r="AB45" t="n">
        <v>1</v>
      </c>
      <c r="AC45" t="n">
        <v>1</v>
      </c>
      <c r="AD45" t="n">
        <v>9</v>
      </c>
      <c r="AE45" t="n">
        <v>10</v>
      </c>
      <c r="AF45" t="n">
        <v>4</v>
      </c>
      <c r="AG45" t="n">
        <v>4</v>
      </c>
      <c r="AH45" t="n">
        <v>3</v>
      </c>
      <c r="AI45" t="n">
        <v>3</v>
      </c>
      <c r="AJ45" t="n">
        <v>4</v>
      </c>
      <c r="AK45" t="n">
        <v>5</v>
      </c>
      <c r="AL45" t="n">
        <v>0</v>
      </c>
      <c r="AM45" t="n">
        <v>0</v>
      </c>
      <c r="AN45" t="n">
        <v>0</v>
      </c>
      <c r="AO45" t="n">
        <v>0</v>
      </c>
      <c r="AP45" t="inlineStr">
        <is>
          <t>No</t>
        </is>
      </c>
      <c r="AQ45" t="inlineStr">
        <is>
          <t>No</t>
        </is>
      </c>
      <c r="AS45">
        <f>HYPERLINK("https://creighton-primo.hosted.exlibrisgroup.com/primo-explore/search?tab=default_tab&amp;search_scope=EVERYTHING&amp;vid=01CRU&amp;lang=en_US&amp;offset=0&amp;query=any,contains,991004313749702656","Catalog Record")</f>
        <v/>
      </c>
      <c r="AT45">
        <f>HYPERLINK("http://www.worldcat.org/oclc/53069400","WorldCat Record")</f>
        <v/>
      </c>
      <c r="AU45" t="inlineStr">
        <is>
          <t>837690446:eng</t>
        </is>
      </c>
      <c r="AV45" t="inlineStr">
        <is>
          <t>53069400</t>
        </is>
      </c>
      <c r="AW45" t="inlineStr">
        <is>
          <t>991004313749702656</t>
        </is>
      </c>
      <c r="AX45" t="inlineStr">
        <is>
          <t>991004313749702656</t>
        </is>
      </c>
      <c r="AY45" t="inlineStr">
        <is>
          <t>2262982280002656</t>
        </is>
      </c>
      <c r="AZ45" t="inlineStr">
        <is>
          <t>BOOK</t>
        </is>
      </c>
      <c r="BB45" t="inlineStr">
        <is>
          <t>9781932360028</t>
        </is>
      </c>
      <c r="BC45" t="inlineStr">
        <is>
          <t>32285004924402</t>
        </is>
      </c>
      <c r="BD45" t="inlineStr">
        <is>
          <t>893423649</t>
        </is>
      </c>
    </row>
    <row r="46">
      <c r="A46" t="inlineStr">
        <is>
          <t>No</t>
        </is>
      </c>
      <c r="B46" t="inlineStr">
        <is>
          <t>HN17.5 .D3</t>
        </is>
      </c>
      <c r="C46" t="inlineStr">
        <is>
          <t>0                      HN 0017500D  3</t>
        </is>
      </c>
      <c r="D46" t="inlineStr">
        <is>
          <t>Social problems; enduring major issues and social change, by F. James Davis.</t>
        </is>
      </c>
      <c r="F46" t="inlineStr">
        <is>
          <t>No</t>
        </is>
      </c>
      <c r="G46" t="inlineStr">
        <is>
          <t>1</t>
        </is>
      </c>
      <c r="H46" t="inlineStr">
        <is>
          <t>No</t>
        </is>
      </c>
      <c r="I46" t="inlineStr">
        <is>
          <t>No</t>
        </is>
      </c>
      <c r="J46" t="inlineStr">
        <is>
          <t>0</t>
        </is>
      </c>
      <c r="K46" t="inlineStr">
        <is>
          <t>Davis, F. James (Floyd James), 1920-2012.</t>
        </is>
      </c>
      <c r="L46" t="inlineStr">
        <is>
          <t>New York, Free Press [1970]</t>
        </is>
      </c>
      <c r="M46" t="inlineStr">
        <is>
          <t>1970</t>
        </is>
      </c>
      <c r="O46" t="inlineStr">
        <is>
          <t>eng</t>
        </is>
      </c>
      <c r="P46" t="inlineStr">
        <is>
          <t>nyu</t>
        </is>
      </c>
      <c r="R46" t="inlineStr">
        <is>
          <t xml:space="preserve">HN </t>
        </is>
      </c>
      <c r="S46" t="n">
        <v>3</v>
      </c>
      <c r="T46" t="n">
        <v>3</v>
      </c>
      <c r="U46" t="inlineStr">
        <is>
          <t>2010-12-07</t>
        </is>
      </c>
      <c r="V46" t="inlineStr">
        <is>
          <t>2010-12-07</t>
        </is>
      </c>
      <c r="W46" t="inlineStr">
        <is>
          <t>1997-08-04</t>
        </is>
      </c>
      <c r="X46" t="inlineStr">
        <is>
          <t>1997-08-04</t>
        </is>
      </c>
      <c r="Y46" t="n">
        <v>462</v>
      </c>
      <c r="Z46" t="n">
        <v>377</v>
      </c>
      <c r="AA46" t="n">
        <v>383</v>
      </c>
      <c r="AB46" t="n">
        <v>2</v>
      </c>
      <c r="AC46" t="n">
        <v>2</v>
      </c>
      <c r="AD46" t="n">
        <v>11</v>
      </c>
      <c r="AE46" t="n">
        <v>11</v>
      </c>
      <c r="AF46" t="n">
        <v>2</v>
      </c>
      <c r="AG46" t="n">
        <v>2</v>
      </c>
      <c r="AH46" t="n">
        <v>4</v>
      </c>
      <c r="AI46" t="n">
        <v>4</v>
      </c>
      <c r="AJ46" t="n">
        <v>6</v>
      </c>
      <c r="AK46" t="n">
        <v>6</v>
      </c>
      <c r="AL46" t="n">
        <v>1</v>
      </c>
      <c r="AM46" t="n">
        <v>1</v>
      </c>
      <c r="AN46" t="n">
        <v>0</v>
      </c>
      <c r="AO46" t="n">
        <v>0</v>
      </c>
      <c r="AP46" t="inlineStr">
        <is>
          <t>No</t>
        </is>
      </c>
      <c r="AQ46" t="inlineStr">
        <is>
          <t>Yes</t>
        </is>
      </c>
      <c r="AR46">
        <f>HYPERLINK("http://catalog.hathitrust.org/Record/000840104","HathiTrust Record")</f>
        <v/>
      </c>
      <c r="AS46">
        <f>HYPERLINK("https://creighton-primo.hosted.exlibrisgroup.com/primo-explore/search?tab=default_tab&amp;search_scope=EVERYTHING&amp;vid=01CRU&amp;lang=en_US&amp;offset=0&amp;query=any,contains,991000323549702656","Catalog Record")</f>
        <v/>
      </c>
      <c r="AT46">
        <f>HYPERLINK("http://www.worldcat.org/oclc/69730","WorldCat Record")</f>
        <v/>
      </c>
      <c r="AU46" t="inlineStr">
        <is>
          <t>147387741:eng</t>
        </is>
      </c>
      <c r="AV46" t="inlineStr">
        <is>
          <t>69730</t>
        </is>
      </c>
      <c r="AW46" t="inlineStr">
        <is>
          <t>991000323549702656</t>
        </is>
      </c>
      <c r="AX46" t="inlineStr">
        <is>
          <t>991000323549702656</t>
        </is>
      </c>
      <c r="AY46" t="inlineStr">
        <is>
          <t>2259575040002656</t>
        </is>
      </c>
      <c r="AZ46" t="inlineStr">
        <is>
          <t>BOOK</t>
        </is>
      </c>
      <c r="BC46" t="inlineStr">
        <is>
          <t>32285003040564</t>
        </is>
      </c>
      <c r="BD46" t="inlineStr">
        <is>
          <t>893431863</t>
        </is>
      </c>
    </row>
    <row r="47">
      <c r="A47" t="inlineStr">
        <is>
          <t>No</t>
        </is>
      </c>
      <c r="B47" t="inlineStr">
        <is>
          <t>HN17.5 .D48</t>
        </is>
      </c>
      <c r="C47" t="inlineStr">
        <is>
          <t>0                      HN 0017500D  48</t>
        </is>
      </c>
      <c r="D47" t="inlineStr">
        <is>
          <t>The Development of welfare states in Europe and America / edited by Peter Flora and Arnold J. Heidenheimer.</t>
        </is>
      </c>
      <c r="F47" t="inlineStr">
        <is>
          <t>No</t>
        </is>
      </c>
      <c r="G47" t="inlineStr">
        <is>
          <t>1</t>
        </is>
      </c>
      <c r="H47" t="inlineStr">
        <is>
          <t>No</t>
        </is>
      </c>
      <c r="I47" t="inlineStr">
        <is>
          <t>No</t>
        </is>
      </c>
      <c r="J47" t="inlineStr">
        <is>
          <t>0</t>
        </is>
      </c>
      <c r="L47" t="inlineStr">
        <is>
          <t>New Brunswick, U.S.A. : Transaction Books, c1981.</t>
        </is>
      </c>
      <c r="M47" t="inlineStr">
        <is>
          <t>1981</t>
        </is>
      </c>
      <c r="O47" t="inlineStr">
        <is>
          <t>eng</t>
        </is>
      </c>
      <c r="P47" t="inlineStr">
        <is>
          <t>nju</t>
        </is>
      </c>
      <c r="R47" t="inlineStr">
        <is>
          <t xml:space="preserve">HN </t>
        </is>
      </c>
      <c r="S47" t="n">
        <v>10</v>
      </c>
      <c r="T47" t="n">
        <v>10</v>
      </c>
      <c r="U47" t="inlineStr">
        <is>
          <t>2003-03-21</t>
        </is>
      </c>
      <c r="V47" t="inlineStr">
        <is>
          <t>2003-03-21</t>
        </is>
      </c>
      <c r="W47" t="inlineStr">
        <is>
          <t>1990-06-12</t>
        </is>
      </c>
      <c r="X47" t="inlineStr">
        <is>
          <t>1990-06-12</t>
        </is>
      </c>
      <c r="Y47" t="n">
        <v>608</v>
      </c>
      <c r="Z47" t="n">
        <v>445</v>
      </c>
      <c r="AA47" t="n">
        <v>497</v>
      </c>
      <c r="AB47" t="n">
        <v>3</v>
      </c>
      <c r="AC47" t="n">
        <v>3</v>
      </c>
      <c r="AD47" t="n">
        <v>25</v>
      </c>
      <c r="AE47" t="n">
        <v>28</v>
      </c>
      <c r="AF47" t="n">
        <v>9</v>
      </c>
      <c r="AG47" t="n">
        <v>11</v>
      </c>
      <c r="AH47" t="n">
        <v>8</v>
      </c>
      <c r="AI47" t="n">
        <v>8</v>
      </c>
      <c r="AJ47" t="n">
        <v>12</v>
      </c>
      <c r="AK47" t="n">
        <v>14</v>
      </c>
      <c r="AL47" t="n">
        <v>2</v>
      </c>
      <c r="AM47" t="n">
        <v>2</v>
      </c>
      <c r="AN47" t="n">
        <v>2</v>
      </c>
      <c r="AO47" t="n">
        <v>2</v>
      </c>
      <c r="AP47" t="inlineStr">
        <is>
          <t>No</t>
        </is>
      </c>
      <c r="AQ47" t="inlineStr">
        <is>
          <t>No</t>
        </is>
      </c>
      <c r="AS47">
        <f>HYPERLINK("https://creighton-primo.hosted.exlibrisgroup.com/primo-explore/search?tab=default_tab&amp;search_scope=EVERYTHING&amp;vid=01CRU&amp;lang=en_US&amp;offset=0&amp;query=any,contains,991004882749702656","Catalog Record")</f>
        <v/>
      </c>
      <c r="AT47">
        <f>HYPERLINK("http://www.worldcat.org/oclc/5829562","WorldCat Record")</f>
        <v/>
      </c>
      <c r="AU47" t="inlineStr">
        <is>
          <t>365246601:eng</t>
        </is>
      </c>
      <c r="AV47" t="inlineStr">
        <is>
          <t>5829562</t>
        </is>
      </c>
      <c r="AW47" t="inlineStr">
        <is>
          <t>991004882749702656</t>
        </is>
      </c>
      <c r="AX47" t="inlineStr">
        <is>
          <t>991004882749702656</t>
        </is>
      </c>
      <c r="AY47" t="inlineStr">
        <is>
          <t>2261103050002656</t>
        </is>
      </c>
      <c r="AZ47" t="inlineStr">
        <is>
          <t>BOOK</t>
        </is>
      </c>
      <c r="BB47" t="inlineStr">
        <is>
          <t>9780878553570</t>
        </is>
      </c>
      <c r="BC47" t="inlineStr">
        <is>
          <t>32285000190750</t>
        </is>
      </c>
      <c r="BD47" t="inlineStr">
        <is>
          <t>893338234</t>
        </is>
      </c>
    </row>
    <row r="48">
      <c r="A48" t="inlineStr">
        <is>
          <t>No</t>
        </is>
      </c>
      <c r="B48" t="inlineStr">
        <is>
          <t>HN17.5 .G58 2002</t>
        </is>
      </c>
      <c r="C48" t="inlineStr">
        <is>
          <t>0                      HN 0017500G  58          2002</t>
        </is>
      </c>
      <c r="D48" t="inlineStr">
        <is>
          <t>Globalization and resistance : transnational dimensions of social movements / edited by Jackie Smith and Hank Johnston.</t>
        </is>
      </c>
      <c r="F48" t="inlineStr">
        <is>
          <t>No</t>
        </is>
      </c>
      <c r="G48" t="inlineStr">
        <is>
          <t>1</t>
        </is>
      </c>
      <c r="H48" t="inlineStr">
        <is>
          <t>No</t>
        </is>
      </c>
      <c r="I48" t="inlineStr">
        <is>
          <t>No</t>
        </is>
      </c>
      <c r="J48" t="inlineStr">
        <is>
          <t>0</t>
        </is>
      </c>
      <c r="L48" t="inlineStr">
        <is>
          <t>Lanham : Rowman &amp; Littlefield, c2002.</t>
        </is>
      </c>
      <c r="M48" t="inlineStr">
        <is>
          <t>2002</t>
        </is>
      </c>
      <c r="O48" t="inlineStr">
        <is>
          <t>eng</t>
        </is>
      </c>
      <c r="P48" t="inlineStr">
        <is>
          <t>mdu</t>
        </is>
      </c>
      <c r="R48" t="inlineStr">
        <is>
          <t xml:space="preserve">HN </t>
        </is>
      </c>
      <c r="S48" t="n">
        <v>3</v>
      </c>
      <c r="T48" t="n">
        <v>3</v>
      </c>
      <c r="U48" t="inlineStr">
        <is>
          <t>2007-12-10</t>
        </is>
      </c>
      <c r="V48" t="inlineStr">
        <is>
          <t>2007-12-10</t>
        </is>
      </c>
      <c r="W48" t="inlineStr">
        <is>
          <t>2003-12-15</t>
        </is>
      </c>
      <c r="X48" t="inlineStr">
        <is>
          <t>2003-12-15</t>
        </is>
      </c>
      <c r="Y48" t="n">
        <v>369</v>
      </c>
      <c r="Z48" t="n">
        <v>253</v>
      </c>
      <c r="AA48" t="n">
        <v>271</v>
      </c>
      <c r="AB48" t="n">
        <v>3</v>
      </c>
      <c r="AC48" t="n">
        <v>3</v>
      </c>
      <c r="AD48" t="n">
        <v>16</v>
      </c>
      <c r="AE48" t="n">
        <v>16</v>
      </c>
      <c r="AF48" t="n">
        <v>6</v>
      </c>
      <c r="AG48" t="n">
        <v>6</v>
      </c>
      <c r="AH48" t="n">
        <v>5</v>
      </c>
      <c r="AI48" t="n">
        <v>5</v>
      </c>
      <c r="AJ48" t="n">
        <v>8</v>
      </c>
      <c r="AK48" t="n">
        <v>8</v>
      </c>
      <c r="AL48" t="n">
        <v>2</v>
      </c>
      <c r="AM48" t="n">
        <v>2</v>
      </c>
      <c r="AN48" t="n">
        <v>0</v>
      </c>
      <c r="AO48" t="n">
        <v>0</v>
      </c>
      <c r="AP48" t="inlineStr">
        <is>
          <t>No</t>
        </is>
      </c>
      <c r="AQ48" t="inlineStr">
        <is>
          <t>Yes</t>
        </is>
      </c>
      <c r="AR48">
        <f>HYPERLINK("http://catalog.hathitrust.org/Record/004275364","HathiTrust Record")</f>
        <v/>
      </c>
      <c r="AS48">
        <f>HYPERLINK("https://creighton-primo.hosted.exlibrisgroup.com/primo-explore/search?tab=default_tab&amp;search_scope=EVERYTHING&amp;vid=01CRU&amp;lang=en_US&amp;offset=0&amp;query=any,contains,991004175079702656","Catalog Record")</f>
        <v/>
      </c>
      <c r="AT48">
        <f>HYPERLINK("http://www.worldcat.org/oclc/49679824","WorldCat Record")</f>
        <v/>
      </c>
      <c r="AU48" t="inlineStr">
        <is>
          <t>863799316:eng</t>
        </is>
      </c>
      <c r="AV48" t="inlineStr">
        <is>
          <t>49679824</t>
        </is>
      </c>
      <c r="AW48" t="inlineStr">
        <is>
          <t>991004175079702656</t>
        </is>
      </c>
      <c r="AX48" t="inlineStr">
        <is>
          <t>991004175079702656</t>
        </is>
      </c>
      <c r="AY48" t="inlineStr">
        <is>
          <t>2264078830002656</t>
        </is>
      </c>
      <c r="AZ48" t="inlineStr">
        <is>
          <t>BOOK</t>
        </is>
      </c>
      <c r="BB48" t="inlineStr">
        <is>
          <t>9780742519893</t>
        </is>
      </c>
      <c r="BC48" t="inlineStr">
        <is>
          <t>32285004847280</t>
        </is>
      </c>
      <c r="BD48" t="inlineStr">
        <is>
          <t>893318886</t>
        </is>
      </c>
    </row>
    <row r="49">
      <c r="A49" t="inlineStr">
        <is>
          <t>No</t>
        </is>
      </c>
      <c r="B49" t="inlineStr">
        <is>
          <t>HN17.5 .K85 1978b</t>
        </is>
      </c>
      <c r="C49" t="inlineStr">
        <is>
          <t>0                      HN 0017500K  85          1978b</t>
        </is>
      </c>
      <c r="D49" t="inlineStr">
        <is>
          <t>Prophecy and progress : the sociology of industrial and post-industrial society / Krishan Kumar.</t>
        </is>
      </c>
      <c r="F49" t="inlineStr">
        <is>
          <t>No</t>
        </is>
      </c>
      <c r="G49" t="inlineStr">
        <is>
          <t>1</t>
        </is>
      </c>
      <c r="H49" t="inlineStr">
        <is>
          <t>No</t>
        </is>
      </c>
      <c r="I49" t="inlineStr">
        <is>
          <t>No</t>
        </is>
      </c>
      <c r="J49" t="inlineStr">
        <is>
          <t>0</t>
        </is>
      </c>
      <c r="K49" t="inlineStr">
        <is>
          <t>Kumar, Krishan, 1942-</t>
        </is>
      </c>
      <c r="L49" t="inlineStr">
        <is>
          <t>Harmondsworth ; New York : Penguin Books, 1978.</t>
        </is>
      </c>
      <c r="M49" t="inlineStr">
        <is>
          <t>1978</t>
        </is>
      </c>
      <c r="O49" t="inlineStr">
        <is>
          <t>eng</t>
        </is>
      </c>
      <c r="P49" t="inlineStr">
        <is>
          <t>enk</t>
        </is>
      </c>
      <c r="Q49" t="inlineStr">
        <is>
          <t>Pelican sociology</t>
        </is>
      </c>
      <c r="R49" t="inlineStr">
        <is>
          <t xml:space="preserve">HN </t>
        </is>
      </c>
      <c r="S49" t="n">
        <v>2</v>
      </c>
      <c r="T49" t="n">
        <v>2</v>
      </c>
      <c r="U49" t="inlineStr">
        <is>
          <t>1994-02-28</t>
        </is>
      </c>
      <c r="V49" t="inlineStr">
        <is>
          <t>1994-02-28</t>
        </is>
      </c>
      <c r="W49" t="inlineStr">
        <is>
          <t>1992-09-23</t>
        </is>
      </c>
      <c r="X49" t="inlineStr">
        <is>
          <t>1992-09-23</t>
        </is>
      </c>
      <c r="Y49" t="n">
        <v>483</v>
      </c>
      <c r="Z49" t="n">
        <v>323</v>
      </c>
      <c r="AA49" t="n">
        <v>383</v>
      </c>
      <c r="AB49" t="n">
        <v>2</v>
      </c>
      <c r="AC49" t="n">
        <v>3</v>
      </c>
      <c r="AD49" t="n">
        <v>14</v>
      </c>
      <c r="AE49" t="n">
        <v>19</v>
      </c>
      <c r="AF49" t="n">
        <v>5</v>
      </c>
      <c r="AG49" t="n">
        <v>6</v>
      </c>
      <c r="AH49" t="n">
        <v>4</v>
      </c>
      <c r="AI49" t="n">
        <v>4</v>
      </c>
      <c r="AJ49" t="n">
        <v>9</v>
      </c>
      <c r="AK49" t="n">
        <v>13</v>
      </c>
      <c r="AL49" t="n">
        <v>1</v>
      </c>
      <c r="AM49" t="n">
        <v>2</v>
      </c>
      <c r="AN49" t="n">
        <v>0</v>
      </c>
      <c r="AO49" t="n">
        <v>0</v>
      </c>
      <c r="AP49" t="inlineStr">
        <is>
          <t>No</t>
        </is>
      </c>
      <c r="AQ49" t="inlineStr">
        <is>
          <t>Yes</t>
        </is>
      </c>
      <c r="AR49">
        <f>HYPERLINK("http://catalog.hathitrust.org/Record/007115394","HathiTrust Record")</f>
        <v/>
      </c>
      <c r="AS49">
        <f>HYPERLINK("https://creighton-primo.hosted.exlibrisgroup.com/primo-explore/search?tab=default_tab&amp;search_scope=EVERYTHING&amp;vid=01CRU&amp;lang=en_US&amp;offset=0&amp;query=any,contains,991004637239702656","Catalog Record")</f>
        <v/>
      </c>
      <c r="AT49">
        <f>HYPERLINK("http://www.worldcat.org/oclc/4424633","WorldCat Record")</f>
        <v/>
      </c>
      <c r="AU49" t="inlineStr">
        <is>
          <t>14519029:eng</t>
        </is>
      </c>
      <c r="AV49" t="inlineStr">
        <is>
          <t>4424633</t>
        </is>
      </c>
      <c r="AW49" t="inlineStr">
        <is>
          <t>991004637239702656</t>
        </is>
      </c>
      <c r="AX49" t="inlineStr">
        <is>
          <t>991004637239702656</t>
        </is>
      </c>
      <c r="AY49" t="inlineStr">
        <is>
          <t>2272593970002656</t>
        </is>
      </c>
      <c r="AZ49" t="inlineStr">
        <is>
          <t>BOOK</t>
        </is>
      </c>
      <c r="BB49" t="inlineStr">
        <is>
          <t>9780140220391</t>
        </is>
      </c>
      <c r="BC49" t="inlineStr">
        <is>
          <t>32285001269272</t>
        </is>
      </c>
      <c r="BD49" t="inlineStr">
        <is>
          <t>893876351</t>
        </is>
      </c>
    </row>
    <row r="50">
      <c r="A50" t="inlineStr">
        <is>
          <t>No</t>
        </is>
      </c>
      <c r="B50" t="inlineStr">
        <is>
          <t>HN17.5 .M337 1978</t>
        </is>
      </c>
      <c r="C50" t="inlineStr">
        <is>
          <t>0                      HN 0017500M  337         1978</t>
        </is>
      </c>
      <c r="D50" t="inlineStr">
        <is>
          <t>Major social issues : a multidisciplinary view / edited by J. Milton Yinger and Stephen J. Cutler.</t>
        </is>
      </c>
      <c r="F50" t="inlineStr">
        <is>
          <t>No</t>
        </is>
      </c>
      <c r="G50" t="inlineStr">
        <is>
          <t>1</t>
        </is>
      </c>
      <c r="H50" t="inlineStr">
        <is>
          <t>No</t>
        </is>
      </c>
      <c r="I50" t="inlineStr">
        <is>
          <t>No</t>
        </is>
      </c>
      <c r="J50" t="inlineStr">
        <is>
          <t>0</t>
        </is>
      </c>
      <c r="L50" t="inlineStr">
        <is>
          <t>New York : Free Press, c1978.</t>
        </is>
      </c>
      <c r="M50" t="inlineStr">
        <is>
          <t>1978</t>
        </is>
      </c>
      <c r="O50" t="inlineStr">
        <is>
          <t>eng</t>
        </is>
      </c>
      <c r="P50" t="inlineStr">
        <is>
          <t>nyu</t>
        </is>
      </c>
      <c r="R50" t="inlineStr">
        <is>
          <t xml:space="preserve">HN </t>
        </is>
      </c>
      <c r="S50" t="n">
        <v>9</v>
      </c>
      <c r="T50" t="n">
        <v>9</v>
      </c>
      <c r="U50" t="inlineStr">
        <is>
          <t>2010-12-07</t>
        </is>
      </c>
      <c r="V50" t="inlineStr">
        <is>
          <t>2010-12-07</t>
        </is>
      </c>
      <c r="W50" t="inlineStr">
        <is>
          <t>1992-09-23</t>
        </is>
      </c>
      <c r="X50" t="inlineStr">
        <is>
          <t>1992-09-23</t>
        </is>
      </c>
      <c r="Y50" t="n">
        <v>745</v>
      </c>
      <c r="Z50" t="n">
        <v>632</v>
      </c>
      <c r="AA50" t="n">
        <v>639</v>
      </c>
      <c r="AB50" t="n">
        <v>7</v>
      </c>
      <c r="AC50" t="n">
        <v>7</v>
      </c>
      <c r="AD50" t="n">
        <v>31</v>
      </c>
      <c r="AE50" t="n">
        <v>31</v>
      </c>
      <c r="AF50" t="n">
        <v>9</v>
      </c>
      <c r="AG50" t="n">
        <v>9</v>
      </c>
      <c r="AH50" t="n">
        <v>6</v>
      </c>
      <c r="AI50" t="n">
        <v>6</v>
      </c>
      <c r="AJ50" t="n">
        <v>15</v>
      </c>
      <c r="AK50" t="n">
        <v>15</v>
      </c>
      <c r="AL50" t="n">
        <v>6</v>
      </c>
      <c r="AM50" t="n">
        <v>6</v>
      </c>
      <c r="AN50" t="n">
        <v>1</v>
      </c>
      <c r="AO50" t="n">
        <v>1</v>
      </c>
      <c r="AP50" t="inlineStr">
        <is>
          <t>No</t>
        </is>
      </c>
      <c r="AQ50" t="inlineStr">
        <is>
          <t>Yes</t>
        </is>
      </c>
      <c r="AR50">
        <f>HYPERLINK("http://catalog.hathitrust.org/Record/000262499","HathiTrust Record")</f>
        <v/>
      </c>
      <c r="AS50">
        <f>HYPERLINK("https://creighton-primo.hosted.exlibrisgroup.com/primo-explore/search?tab=default_tab&amp;search_scope=EVERYTHING&amp;vid=01CRU&amp;lang=en_US&amp;offset=0&amp;query=any,contains,991004578719702656","Catalog Record")</f>
        <v/>
      </c>
      <c r="AT50">
        <f>HYPERLINK("http://www.worldcat.org/oclc/4055991","WorldCat Record")</f>
        <v/>
      </c>
      <c r="AU50" t="inlineStr">
        <is>
          <t>889375458:eng</t>
        </is>
      </c>
      <c r="AV50" t="inlineStr">
        <is>
          <t>4055991</t>
        </is>
      </c>
      <c r="AW50" t="inlineStr">
        <is>
          <t>991004578719702656</t>
        </is>
      </c>
      <c r="AX50" t="inlineStr">
        <is>
          <t>991004578719702656</t>
        </is>
      </c>
      <c r="AY50" t="inlineStr">
        <is>
          <t>2272153370002656</t>
        </is>
      </c>
      <c r="AZ50" t="inlineStr">
        <is>
          <t>BOOK</t>
        </is>
      </c>
      <c r="BB50" t="inlineStr">
        <is>
          <t>9780029358405</t>
        </is>
      </c>
      <c r="BC50" t="inlineStr">
        <is>
          <t>32285001269280</t>
        </is>
      </c>
      <c r="BD50" t="inlineStr">
        <is>
          <t>893247732</t>
        </is>
      </c>
    </row>
    <row r="51">
      <c r="A51" t="inlineStr">
        <is>
          <t>No</t>
        </is>
      </c>
      <c r="B51" t="inlineStr">
        <is>
          <t>HN17.5 .N4855 1994</t>
        </is>
      </c>
      <c r="C51" t="inlineStr">
        <is>
          <t>0                      HN 0017500N  4855        1994</t>
        </is>
      </c>
      <c r="D51" t="inlineStr">
        <is>
          <t>New social movements : from ideology to identity / edited by Enrique Laraña, Hank Johnston, and Joseph R. Gusfield.</t>
        </is>
      </c>
      <c r="F51" t="inlineStr">
        <is>
          <t>No</t>
        </is>
      </c>
      <c r="G51" t="inlineStr">
        <is>
          <t>1</t>
        </is>
      </c>
      <c r="H51" t="inlineStr">
        <is>
          <t>No</t>
        </is>
      </c>
      <c r="I51" t="inlineStr">
        <is>
          <t>No</t>
        </is>
      </c>
      <c r="J51" t="inlineStr">
        <is>
          <t>0</t>
        </is>
      </c>
      <c r="L51" t="inlineStr">
        <is>
          <t>Philadelphia : Temple University Press, 1994.</t>
        </is>
      </c>
      <c r="M51" t="inlineStr">
        <is>
          <t>1994</t>
        </is>
      </c>
      <c r="O51" t="inlineStr">
        <is>
          <t>eng</t>
        </is>
      </c>
      <c r="P51" t="inlineStr">
        <is>
          <t>pau</t>
        </is>
      </c>
      <c r="R51" t="inlineStr">
        <is>
          <t xml:space="preserve">HN </t>
        </is>
      </c>
      <c r="S51" t="n">
        <v>3</v>
      </c>
      <c r="T51" t="n">
        <v>3</v>
      </c>
      <c r="U51" t="inlineStr">
        <is>
          <t>2010-12-07</t>
        </is>
      </c>
      <c r="V51" t="inlineStr">
        <is>
          <t>2010-12-07</t>
        </is>
      </c>
      <c r="W51" t="inlineStr">
        <is>
          <t>1995-04-26</t>
        </is>
      </c>
      <c r="X51" t="inlineStr">
        <is>
          <t>1995-04-26</t>
        </is>
      </c>
      <c r="Y51" t="n">
        <v>618</v>
      </c>
      <c r="Z51" t="n">
        <v>467</v>
      </c>
      <c r="AA51" t="n">
        <v>628</v>
      </c>
      <c r="AB51" t="n">
        <v>4</v>
      </c>
      <c r="AC51" t="n">
        <v>4</v>
      </c>
      <c r="AD51" t="n">
        <v>24</v>
      </c>
      <c r="AE51" t="n">
        <v>32</v>
      </c>
      <c r="AF51" t="n">
        <v>8</v>
      </c>
      <c r="AG51" t="n">
        <v>13</v>
      </c>
      <c r="AH51" t="n">
        <v>7</v>
      </c>
      <c r="AI51" t="n">
        <v>10</v>
      </c>
      <c r="AJ51" t="n">
        <v>13</v>
      </c>
      <c r="AK51" t="n">
        <v>15</v>
      </c>
      <c r="AL51" t="n">
        <v>3</v>
      </c>
      <c r="AM51" t="n">
        <v>3</v>
      </c>
      <c r="AN51" t="n">
        <v>1</v>
      </c>
      <c r="AO51" t="n">
        <v>1</v>
      </c>
      <c r="AP51" t="inlineStr">
        <is>
          <t>No</t>
        </is>
      </c>
      <c r="AQ51" t="inlineStr">
        <is>
          <t>No</t>
        </is>
      </c>
      <c r="AS51">
        <f>HYPERLINK("https://creighton-primo.hosted.exlibrisgroup.com/primo-explore/search?tab=default_tab&amp;search_scope=EVERYTHING&amp;vid=01CRU&amp;lang=en_US&amp;offset=0&amp;query=any,contains,991002246469702656","Catalog Record")</f>
        <v/>
      </c>
      <c r="AT51">
        <f>HYPERLINK("http://www.worldcat.org/oclc/28965720","WorldCat Record")</f>
        <v/>
      </c>
      <c r="AU51" t="inlineStr">
        <is>
          <t>900444593:eng</t>
        </is>
      </c>
      <c r="AV51" t="inlineStr">
        <is>
          <t>28965720</t>
        </is>
      </c>
      <c r="AW51" t="inlineStr">
        <is>
          <t>991002246469702656</t>
        </is>
      </c>
      <c r="AX51" t="inlineStr">
        <is>
          <t>991002246469702656</t>
        </is>
      </c>
      <c r="AY51" t="inlineStr">
        <is>
          <t>2256611610002656</t>
        </is>
      </c>
      <c r="AZ51" t="inlineStr">
        <is>
          <t>BOOK</t>
        </is>
      </c>
      <c r="BB51" t="inlineStr">
        <is>
          <t>9781566391863</t>
        </is>
      </c>
      <c r="BC51" t="inlineStr">
        <is>
          <t>32285002035979</t>
        </is>
      </c>
      <c r="BD51" t="inlineStr">
        <is>
          <t>893597197</t>
        </is>
      </c>
    </row>
    <row r="52">
      <c r="A52" t="inlineStr">
        <is>
          <t>No</t>
        </is>
      </c>
      <c r="B52" t="inlineStr">
        <is>
          <t>HN17.5 .O24 1993</t>
        </is>
      </c>
      <c r="C52" t="inlineStr">
        <is>
          <t>0                      HN 0017500O  24          1993</t>
        </is>
      </c>
      <c r="D52" t="inlineStr">
        <is>
          <t>Social movements : ideologies, interests, and identities / Anthony Oberschall.</t>
        </is>
      </c>
      <c r="F52" t="inlineStr">
        <is>
          <t>No</t>
        </is>
      </c>
      <c r="G52" t="inlineStr">
        <is>
          <t>1</t>
        </is>
      </c>
      <c r="H52" t="inlineStr">
        <is>
          <t>No</t>
        </is>
      </c>
      <c r="I52" t="inlineStr">
        <is>
          <t>No</t>
        </is>
      </c>
      <c r="J52" t="inlineStr">
        <is>
          <t>0</t>
        </is>
      </c>
      <c r="K52" t="inlineStr">
        <is>
          <t>Oberschall, Anthony.</t>
        </is>
      </c>
      <c r="L52" t="inlineStr">
        <is>
          <t>New Brunswick (U.S.A.) : Transaction, c1993.</t>
        </is>
      </c>
      <c r="M52" t="inlineStr">
        <is>
          <t>1993</t>
        </is>
      </c>
      <c r="O52" t="inlineStr">
        <is>
          <t>eng</t>
        </is>
      </c>
      <c r="P52" t="inlineStr">
        <is>
          <t>nju</t>
        </is>
      </c>
      <c r="R52" t="inlineStr">
        <is>
          <t xml:space="preserve">HN </t>
        </is>
      </c>
      <c r="S52" t="n">
        <v>10</v>
      </c>
      <c r="T52" t="n">
        <v>10</v>
      </c>
      <c r="U52" t="inlineStr">
        <is>
          <t>2010-12-07</t>
        </is>
      </c>
      <c r="V52" t="inlineStr">
        <is>
          <t>2010-12-07</t>
        </is>
      </c>
      <c r="W52" t="inlineStr">
        <is>
          <t>1994-11-13</t>
        </is>
      </c>
      <c r="X52" t="inlineStr">
        <is>
          <t>1994-11-13</t>
        </is>
      </c>
      <c r="Y52" t="n">
        <v>410</v>
      </c>
      <c r="Z52" t="n">
        <v>327</v>
      </c>
      <c r="AA52" t="n">
        <v>358</v>
      </c>
      <c r="AB52" t="n">
        <v>4</v>
      </c>
      <c r="AC52" t="n">
        <v>4</v>
      </c>
      <c r="AD52" t="n">
        <v>16</v>
      </c>
      <c r="AE52" t="n">
        <v>16</v>
      </c>
      <c r="AF52" t="n">
        <v>3</v>
      </c>
      <c r="AG52" t="n">
        <v>3</v>
      </c>
      <c r="AH52" t="n">
        <v>5</v>
      </c>
      <c r="AI52" t="n">
        <v>5</v>
      </c>
      <c r="AJ52" t="n">
        <v>8</v>
      </c>
      <c r="AK52" t="n">
        <v>8</v>
      </c>
      <c r="AL52" t="n">
        <v>3</v>
      </c>
      <c r="AM52" t="n">
        <v>3</v>
      </c>
      <c r="AN52" t="n">
        <v>0</v>
      </c>
      <c r="AO52" t="n">
        <v>0</v>
      </c>
      <c r="AP52" t="inlineStr">
        <is>
          <t>No</t>
        </is>
      </c>
      <c r="AQ52" t="inlineStr">
        <is>
          <t>No</t>
        </is>
      </c>
      <c r="AS52">
        <f>HYPERLINK("https://creighton-primo.hosted.exlibrisgroup.com/primo-explore/search?tab=default_tab&amp;search_scope=EVERYTHING&amp;vid=01CRU&amp;lang=en_US&amp;offset=0&amp;query=any,contains,991001980529702656","Catalog Record")</f>
        <v/>
      </c>
      <c r="AT52">
        <f>HYPERLINK("http://www.worldcat.org/oclc/25131090","WorldCat Record")</f>
        <v/>
      </c>
      <c r="AU52" t="inlineStr">
        <is>
          <t>20931911:eng</t>
        </is>
      </c>
      <c r="AV52" t="inlineStr">
        <is>
          <t>25131090</t>
        </is>
      </c>
      <c r="AW52" t="inlineStr">
        <is>
          <t>991001980529702656</t>
        </is>
      </c>
      <c r="AX52" t="inlineStr">
        <is>
          <t>991001980529702656</t>
        </is>
      </c>
      <c r="AY52" t="inlineStr">
        <is>
          <t>2271308100002656</t>
        </is>
      </c>
      <c r="AZ52" t="inlineStr">
        <is>
          <t>BOOK</t>
        </is>
      </c>
      <c r="BB52" t="inlineStr">
        <is>
          <t>9781560000112</t>
        </is>
      </c>
      <c r="BC52" t="inlineStr">
        <is>
          <t>32285001957421</t>
        </is>
      </c>
      <c r="BD52" t="inlineStr">
        <is>
          <t>893773084</t>
        </is>
      </c>
    </row>
    <row r="53">
      <c r="A53" t="inlineStr">
        <is>
          <t>No</t>
        </is>
      </c>
      <c r="B53" t="inlineStr">
        <is>
          <t>HN17.5 .R6</t>
        </is>
      </c>
      <c r="C53" t="inlineStr">
        <is>
          <t>0                      HN 0017500R  6</t>
        </is>
      </c>
      <c r="D53" t="inlineStr">
        <is>
          <t>The making of a counter culture; reflections on the technocratic society and its youthful opposition.</t>
        </is>
      </c>
      <c r="F53" t="inlineStr">
        <is>
          <t>No</t>
        </is>
      </c>
      <c r="G53" t="inlineStr">
        <is>
          <t>1</t>
        </is>
      </c>
      <c r="H53" t="inlineStr">
        <is>
          <t>No</t>
        </is>
      </c>
      <c r="I53" t="inlineStr">
        <is>
          <t>No</t>
        </is>
      </c>
      <c r="J53" t="inlineStr">
        <is>
          <t>0</t>
        </is>
      </c>
      <c r="K53" t="inlineStr">
        <is>
          <t>Roszak, Theodore, 1933-2011.</t>
        </is>
      </c>
      <c r="L53" t="inlineStr">
        <is>
          <t>Garden City, N.Y., Doubleday, 1969.</t>
        </is>
      </c>
      <c r="M53" t="inlineStr">
        <is>
          <t>1969</t>
        </is>
      </c>
      <c r="O53" t="inlineStr">
        <is>
          <t>eng</t>
        </is>
      </c>
      <c r="P53" t="inlineStr">
        <is>
          <t>nyu</t>
        </is>
      </c>
      <c r="R53" t="inlineStr">
        <is>
          <t xml:space="preserve">HN </t>
        </is>
      </c>
      <c r="S53" t="n">
        <v>2</v>
      </c>
      <c r="T53" t="n">
        <v>2</v>
      </c>
      <c r="U53" t="inlineStr">
        <is>
          <t>2004-11-15</t>
        </is>
      </c>
      <c r="V53" t="inlineStr">
        <is>
          <t>2004-11-15</t>
        </is>
      </c>
      <c r="W53" t="inlineStr">
        <is>
          <t>1997-08-04</t>
        </is>
      </c>
      <c r="X53" t="inlineStr">
        <is>
          <t>1997-08-04</t>
        </is>
      </c>
      <c r="Y53" t="n">
        <v>1465</v>
      </c>
      <c r="Z53" t="n">
        <v>1323</v>
      </c>
      <c r="AA53" t="n">
        <v>1734</v>
      </c>
      <c r="AB53" t="n">
        <v>10</v>
      </c>
      <c r="AC53" t="n">
        <v>14</v>
      </c>
      <c r="AD53" t="n">
        <v>51</v>
      </c>
      <c r="AE53" t="n">
        <v>60</v>
      </c>
      <c r="AF53" t="n">
        <v>21</v>
      </c>
      <c r="AG53" t="n">
        <v>25</v>
      </c>
      <c r="AH53" t="n">
        <v>10</v>
      </c>
      <c r="AI53" t="n">
        <v>10</v>
      </c>
      <c r="AJ53" t="n">
        <v>21</v>
      </c>
      <c r="AK53" t="n">
        <v>26</v>
      </c>
      <c r="AL53" t="n">
        <v>8</v>
      </c>
      <c r="AM53" t="n">
        <v>11</v>
      </c>
      <c r="AN53" t="n">
        <v>2</v>
      </c>
      <c r="AO53" t="n">
        <v>2</v>
      </c>
      <c r="AP53" t="inlineStr">
        <is>
          <t>No</t>
        </is>
      </c>
      <c r="AQ53" t="inlineStr">
        <is>
          <t>Yes</t>
        </is>
      </c>
      <c r="AR53">
        <f>HYPERLINK("http://catalog.hathitrust.org/Record/001109557","HathiTrust Record")</f>
        <v/>
      </c>
      <c r="AS53">
        <f>HYPERLINK("https://creighton-primo.hosted.exlibrisgroup.com/primo-explore/search?tab=default_tab&amp;search_scope=EVERYTHING&amp;vid=01CRU&amp;lang=en_US&amp;offset=0&amp;query=any,contains,991000053449702656","Catalog Record")</f>
        <v/>
      </c>
      <c r="AT53">
        <f>HYPERLINK("http://www.worldcat.org/oclc/23039","WorldCat Record")</f>
        <v/>
      </c>
      <c r="AU53" t="inlineStr">
        <is>
          <t>292307128:eng</t>
        </is>
      </c>
      <c r="AV53" t="inlineStr">
        <is>
          <t>23039</t>
        </is>
      </c>
      <c r="AW53" t="inlineStr">
        <is>
          <t>991000053449702656</t>
        </is>
      </c>
      <c r="AX53" t="inlineStr">
        <is>
          <t>991000053449702656</t>
        </is>
      </c>
      <c r="AY53" t="inlineStr">
        <is>
          <t>2265447260002656</t>
        </is>
      </c>
      <c r="AZ53" t="inlineStr">
        <is>
          <t>BOOK</t>
        </is>
      </c>
      <c r="BC53" t="inlineStr">
        <is>
          <t>32285003040572</t>
        </is>
      </c>
      <c r="BD53" t="inlineStr">
        <is>
          <t>893626176</t>
        </is>
      </c>
    </row>
    <row r="54">
      <c r="A54" t="inlineStr">
        <is>
          <t>No</t>
        </is>
      </c>
      <c r="B54" t="inlineStr">
        <is>
          <t>HN17.5 .R86 1980</t>
        </is>
      </c>
      <c r="C54" t="inlineStr">
        <is>
          <t>0                      HN 0017500R  86          1980</t>
        </is>
      </c>
      <c r="D54" t="inlineStr">
        <is>
          <t>Rural change and public policy : Eastern Europe, Latin America, and Australia / edited by William P. Avery, Richard E. Lonsdale, Iván Völgyes.</t>
        </is>
      </c>
      <c r="F54" t="inlineStr">
        <is>
          <t>No</t>
        </is>
      </c>
      <c r="G54" t="inlineStr">
        <is>
          <t>1</t>
        </is>
      </c>
      <c r="H54" t="inlineStr">
        <is>
          <t>No</t>
        </is>
      </c>
      <c r="I54" t="inlineStr">
        <is>
          <t>No</t>
        </is>
      </c>
      <c r="J54" t="inlineStr">
        <is>
          <t>0</t>
        </is>
      </c>
      <c r="L54" t="inlineStr">
        <is>
          <t>New York : Pergamon Press, c1980.</t>
        </is>
      </c>
      <c r="M54" t="inlineStr">
        <is>
          <t>1980</t>
        </is>
      </c>
      <c r="O54" t="inlineStr">
        <is>
          <t>eng</t>
        </is>
      </c>
      <c r="P54" t="inlineStr">
        <is>
          <t>nyu</t>
        </is>
      </c>
      <c r="Q54" t="inlineStr">
        <is>
          <t>Comparative rural transformation series</t>
        </is>
      </c>
      <c r="R54" t="inlineStr">
        <is>
          <t xml:space="preserve">HN </t>
        </is>
      </c>
      <c r="S54" t="n">
        <v>3</v>
      </c>
      <c r="T54" t="n">
        <v>3</v>
      </c>
      <c r="U54" t="inlineStr">
        <is>
          <t>1993-10-08</t>
        </is>
      </c>
      <c r="V54" t="inlineStr">
        <is>
          <t>1993-10-08</t>
        </is>
      </c>
      <c r="W54" t="inlineStr">
        <is>
          <t>1992-09-23</t>
        </is>
      </c>
      <c r="X54" t="inlineStr">
        <is>
          <t>1992-09-23</t>
        </is>
      </c>
      <c r="Y54" t="n">
        <v>238</v>
      </c>
      <c r="Z54" t="n">
        <v>157</v>
      </c>
      <c r="AA54" t="n">
        <v>192</v>
      </c>
      <c r="AB54" t="n">
        <v>3</v>
      </c>
      <c r="AC54" t="n">
        <v>3</v>
      </c>
      <c r="AD54" t="n">
        <v>7</v>
      </c>
      <c r="AE54" t="n">
        <v>10</v>
      </c>
      <c r="AF54" t="n">
        <v>1</v>
      </c>
      <c r="AG54" t="n">
        <v>3</v>
      </c>
      <c r="AH54" t="n">
        <v>1</v>
      </c>
      <c r="AI54" t="n">
        <v>3</v>
      </c>
      <c r="AJ54" t="n">
        <v>5</v>
      </c>
      <c r="AK54" t="n">
        <v>5</v>
      </c>
      <c r="AL54" t="n">
        <v>2</v>
      </c>
      <c r="AM54" t="n">
        <v>2</v>
      </c>
      <c r="AN54" t="n">
        <v>0</v>
      </c>
      <c r="AO54" t="n">
        <v>0</v>
      </c>
      <c r="AP54" t="inlineStr">
        <is>
          <t>No</t>
        </is>
      </c>
      <c r="AQ54" t="inlineStr">
        <is>
          <t>Yes</t>
        </is>
      </c>
      <c r="AR54">
        <f>HYPERLINK("http://catalog.hathitrust.org/Record/000694332","HathiTrust Record")</f>
        <v/>
      </c>
      <c r="AS54">
        <f>HYPERLINK("https://creighton-primo.hosted.exlibrisgroup.com/primo-explore/search?tab=default_tab&amp;search_scope=EVERYTHING&amp;vid=01CRU&amp;lang=en_US&amp;offset=0&amp;query=any,contains,991004825319702656","Catalog Record")</f>
        <v/>
      </c>
      <c r="AT54">
        <f>HYPERLINK("http://www.worldcat.org/oclc/5353276","WorldCat Record")</f>
        <v/>
      </c>
      <c r="AU54" t="inlineStr">
        <is>
          <t>867243614:eng</t>
        </is>
      </c>
      <c r="AV54" t="inlineStr">
        <is>
          <t>5353276</t>
        </is>
      </c>
      <c r="AW54" t="inlineStr">
        <is>
          <t>991004825319702656</t>
        </is>
      </c>
      <c r="AX54" t="inlineStr">
        <is>
          <t>991004825319702656</t>
        </is>
      </c>
      <c r="AY54" t="inlineStr">
        <is>
          <t>2257466380002656</t>
        </is>
      </c>
      <c r="AZ54" t="inlineStr">
        <is>
          <t>BOOK</t>
        </is>
      </c>
      <c r="BB54" t="inlineStr">
        <is>
          <t>9780080231099</t>
        </is>
      </c>
      <c r="BC54" t="inlineStr">
        <is>
          <t>32285001269322</t>
        </is>
      </c>
      <c r="BD54" t="inlineStr">
        <is>
          <t>893446410</t>
        </is>
      </c>
    </row>
    <row r="55">
      <c r="A55" t="inlineStr">
        <is>
          <t>No</t>
        </is>
      </c>
      <c r="B55" t="inlineStr">
        <is>
          <t>HN17.5 .S837 1995</t>
        </is>
      </c>
      <c r="C55" t="inlineStr">
        <is>
          <t>0                      HN 0017500S  837         1995</t>
        </is>
      </c>
      <c r="D55" t="inlineStr">
        <is>
          <t>The Study of social problems : seven perspectives / [compiled by] Earl Rubington and Martin S. Weinberg.</t>
        </is>
      </c>
      <c r="F55" t="inlineStr">
        <is>
          <t>No</t>
        </is>
      </c>
      <c r="G55" t="inlineStr">
        <is>
          <t>1</t>
        </is>
      </c>
      <c r="H55" t="inlineStr">
        <is>
          <t>No</t>
        </is>
      </c>
      <c r="I55" t="inlineStr">
        <is>
          <t>No</t>
        </is>
      </c>
      <c r="J55" t="inlineStr">
        <is>
          <t>0</t>
        </is>
      </c>
      <c r="L55" t="inlineStr">
        <is>
          <t>New York : Oxford University Press, 1995.</t>
        </is>
      </c>
      <c r="M55" t="inlineStr">
        <is>
          <t>1995</t>
        </is>
      </c>
      <c r="N55" t="inlineStr">
        <is>
          <t>5th ed.</t>
        </is>
      </c>
      <c r="O55" t="inlineStr">
        <is>
          <t>eng</t>
        </is>
      </c>
      <c r="P55" t="inlineStr">
        <is>
          <t>nyu</t>
        </is>
      </c>
      <c r="R55" t="inlineStr">
        <is>
          <t xml:space="preserve">HN </t>
        </is>
      </c>
      <c r="S55" t="n">
        <v>4</v>
      </c>
      <c r="T55" t="n">
        <v>4</v>
      </c>
      <c r="U55" t="inlineStr">
        <is>
          <t>1998-10-21</t>
        </is>
      </c>
      <c r="V55" t="inlineStr">
        <is>
          <t>1998-10-21</t>
        </is>
      </c>
      <c r="W55" t="inlineStr">
        <is>
          <t>1995-06-19</t>
        </is>
      </c>
      <c r="X55" t="inlineStr">
        <is>
          <t>1995-06-19</t>
        </is>
      </c>
      <c r="Y55" t="n">
        <v>274</v>
      </c>
      <c r="Z55" t="n">
        <v>173</v>
      </c>
      <c r="AA55" t="n">
        <v>767</v>
      </c>
      <c r="AB55" t="n">
        <v>3</v>
      </c>
      <c r="AC55" t="n">
        <v>6</v>
      </c>
      <c r="AD55" t="n">
        <v>7</v>
      </c>
      <c r="AE55" t="n">
        <v>30</v>
      </c>
      <c r="AF55" t="n">
        <v>1</v>
      </c>
      <c r="AG55" t="n">
        <v>11</v>
      </c>
      <c r="AH55" t="n">
        <v>0</v>
      </c>
      <c r="AI55" t="n">
        <v>5</v>
      </c>
      <c r="AJ55" t="n">
        <v>4</v>
      </c>
      <c r="AK55" t="n">
        <v>15</v>
      </c>
      <c r="AL55" t="n">
        <v>2</v>
      </c>
      <c r="AM55" t="n">
        <v>4</v>
      </c>
      <c r="AN55" t="n">
        <v>1</v>
      </c>
      <c r="AO55" t="n">
        <v>2</v>
      </c>
      <c r="AP55" t="inlineStr">
        <is>
          <t>No</t>
        </is>
      </c>
      <c r="AQ55" t="inlineStr">
        <is>
          <t>No</t>
        </is>
      </c>
      <c r="AS55">
        <f>HYPERLINK("https://creighton-primo.hosted.exlibrisgroup.com/primo-explore/search?tab=default_tab&amp;search_scope=EVERYTHING&amp;vid=01CRU&amp;lang=en_US&amp;offset=0&amp;query=any,contains,991002373219702656","Catalog Record")</f>
        <v/>
      </c>
      <c r="AT55">
        <f>HYPERLINK("http://www.worldcat.org/oclc/30891744","WorldCat Record")</f>
        <v/>
      </c>
      <c r="AU55" t="inlineStr">
        <is>
          <t>364007272:eng</t>
        </is>
      </c>
      <c r="AV55" t="inlineStr">
        <is>
          <t>30891744</t>
        </is>
      </c>
      <c r="AW55" t="inlineStr">
        <is>
          <t>991002373219702656</t>
        </is>
      </c>
      <c r="AX55" t="inlineStr">
        <is>
          <t>991002373219702656</t>
        </is>
      </c>
      <c r="AY55" t="inlineStr">
        <is>
          <t>2270613540002656</t>
        </is>
      </c>
      <c r="AZ55" t="inlineStr">
        <is>
          <t>BOOK</t>
        </is>
      </c>
      <c r="BB55" t="inlineStr">
        <is>
          <t>9780195083675</t>
        </is>
      </c>
      <c r="BC55" t="inlineStr">
        <is>
          <t>32285002051752</t>
        </is>
      </c>
      <c r="BD55" t="inlineStr">
        <is>
          <t>893529895</t>
        </is>
      </c>
    </row>
    <row r="56">
      <c r="A56" t="inlineStr">
        <is>
          <t>No</t>
        </is>
      </c>
      <c r="B56" t="inlineStr">
        <is>
          <t>HN17.5 .T636 1995</t>
        </is>
      </c>
      <c r="C56" t="inlineStr">
        <is>
          <t>0                      HN 0017500T  636         1995</t>
        </is>
      </c>
      <c r="D56" t="inlineStr">
        <is>
          <t>Creating a new civilization : the politics of the Third Wave / Alvin and Heidi Toffler ; foreword by Newt Gingrich.</t>
        </is>
      </c>
      <c r="F56" t="inlineStr">
        <is>
          <t>No</t>
        </is>
      </c>
      <c r="G56" t="inlineStr">
        <is>
          <t>1</t>
        </is>
      </c>
      <c r="H56" t="inlineStr">
        <is>
          <t>No</t>
        </is>
      </c>
      <c r="I56" t="inlineStr">
        <is>
          <t>No</t>
        </is>
      </c>
      <c r="J56" t="inlineStr">
        <is>
          <t>0</t>
        </is>
      </c>
      <c r="K56" t="inlineStr">
        <is>
          <t>Toffler, Alvin.</t>
        </is>
      </c>
      <c r="L56" t="inlineStr">
        <is>
          <t>Atlanta : Turner Pub. ; Kansas City, Mo. : Distributed by Andrews and McMeel a Universal Press Syndicate Company, c1995.</t>
        </is>
      </c>
      <c r="M56" t="inlineStr">
        <is>
          <t>1995</t>
        </is>
      </c>
      <c r="N56" t="inlineStr">
        <is>
          <t>1st ed.</t>
        </is>
      </c>
      <c r="O56" t="inlineStr">
        <is>
          <t>eng</t>
        </is>
      </c>
      <c r="P56" t="inlineStr">
        <is>
          <t>gau</t>
        </is>
      </c>
      <c r="R56" t="inlineStr">
        <is>
          <t xml:space="preserve">HN </t>
        </is>
      </c>
      <c r="S56" t="n">
        <v>2</v>
      </c>
      <c r="T56" t="n">
        <v>2</v>
      </c>
      <c r="U56" t="inlineStr">
        <is>
          <t>1995-11-04</t>
        </is>
      </c>
      <c r="V56" t="inlineStr">
        <is>
          <t>1995-11-04</t>
        </is>
      </c>
      <c r="W56" t="inlineStr">
        <is>
          <t>1995-10-19</t>
        </is>
      </c>
      <c r="X56" t="inlineStr">
        <is>
          <t>1995-10-19</t>
        </is>
      </c>
      <c r="Y56" t="n">
        <v>938</v>
      </c>
      <c r="Z56" t="n">
        <v>830</v>
      </c>
      <c r="AA56" t="n">
        <v>864</v>
      </c>
      <c r="AB56" t="n">
        <v>4</v>
      </c>
      <c r="AC56" t="n">
        <v>7</v>
      </c>
      <c r="AD56" t="n">
        <v>24</v>
      </c>
      <c r="AE56" t="n">
        <v>29</v>
      </c>
      <c r="AF56" t="n">
        <v>9</v>
      </c>
      <c r="AG56" t="n">
        <v>9</v>
      </c>
      <c r="AH56" t="n">
        <v>6</v>
      </c>
      <c r="AI56" t="n">
        <v>7</v>
      </c>
      <c r="AJ56" t="n">
        <v>11</v>
      </c>
      <c r="AK56" t="n">
        <v>12</v>
      </c>
      <c r="AL56" t="n">
        <v>2</v>
      </c>
      <c r="AM56" t="n">
        <v>5</v>
      </c>
      <c r="AN56" t="n">
        <v>3</v>
      </c>
      <c r="AO56" t="n">
        <v>3</v>
      </c>
      <c r="AP56" t="inlineStr">
        <is>
          <t>No</t>
        </is>
      </c>
      <c r="AQ56" t="inlineStr">
        <is>
          <t>Yes</t>
        </is>
      </c>
      <c r="AR56">
        <f>HYPERLINK("http://catalog.hathitrust.org/Record/004535127","HathiTrust Record")</f>
        <v/>
      </c>
      <c r="AS56">
        <f>HYPERLINK("https://creighton-primo.hosted.exlibrisgroup.com/primo-explore/search?tab=default_tab&amp;search_scope=EVERYTHING&amp;vid=01CRU&amp;lang=en_US&amp;offset=0&amp;query=any,contains,991002449009702656","Catalog Record")</f>
        <v/>
      </c>
      <c r="AT56">
        <f>HYPERLINK("http://www.worldcat.org/oclc/31936153","WorldCat Record")</f>
        <v/>
      </c>
      <c r="AU56" t="inlineStr">
        <is>
          <t>34342629:eng</t>
        </is>
      </c>
      <c r="AV56" t="inlineStr">
        <is>
          <t>31936153</t>
        </is>
      </c>
      <c r="AW56" t="inlineStr">
        <is>
          <t>991002449009702656</t>
        </is>
      </c>
      <c r="AX56" t="inlineStr">
        <is>
          <t>991002449009702656</t>
        </is>
      </c>
      <c r="AY56" t="inlineStr">
        <is>
          <t>2255806510002656</t>
        </is>
      </c>
      <c r="AZ56" t="inlineStr">
        <is>
          <t>BOOK</t>
        </is>
      </c>
      <c r="BB56" t="inlineStr">
        <is>
          <t>9781570362231</t>
        </is>
      </c>
      <c r="BC56" t="inlineStr">
        <is>
          <t>32285002096724</t>
        </is>
      </c>
      <c r="BD56" t="inlineStr">
        <is>
          <t>893226847</t>
        </is>
      </c>
    </row>
    <row r="57">
      <c r="A57" t="inlineStr">
        <is>
          <t>No</t>
        </is>
      </c>
      <c r="B57" t="inlineStr">
        <is>
          <t>HN17.5 .T6417 1990</t>
        </is>
      </c>
      <c r="C57" t="inlineStr">
        <is>
          <t>0                      HN 0017500T  6417        1990</t>
        </is>
      </c>
      <c r="D57" t="inlineStr">
        <is>
          <t>Powershift : knowledge, wealth, and violence at the edge of the 21st century / Alvin Toffler.</t>
        </is>
      </c>
      <c r="F57" t="inlineStr">
        <is>
          <t>No</t>
        </is>
      </c>
      <c r="G57" t="inlineStr">
        <is>
          <t>1</t>
        </is>
      </c>
      <c r="H57" t="inlineStr">
        <is>
          <t>No</t>
        </is>
      </c>
      <c r="I57" t="inlineStr">
        <is>
          <t>No</t>
        </is>
      </c>
      <c r="J57" t="inlineStr">
        <is>
          <t>0</t>
        </is>
      </c>
      <c r="K57" t="inlineStr">
        <is>
          <t>Toffler, Alvin.</t>
        </is>
      </c>
      <c r="L57" t="inlineStr">
        <is>
          <t>New York : Bantam Books, c1990.</t>
        </is>
      </c>
      <c r="M57" t="inlineStr">
        <is>
          <t>1990</t>
        </is>
      </c>
      <c r="O57" t="inlineStr">
        <is>
          <t>eng</t>
        </is>
      </c>
      <c r="P57" t="inlineStr">
        <is>
          <t>nyu</t>
        </is>
      </c>
      <c r="R57" t="inlineStr">
        <is>
          <t xml:space="preserve">HN </t>
        </is>
      </c>
      <c r="S57" t="n">
        <v>13</v>
      </c>
      <c r="T57" t="n">
        <v>13</v>
      </c>
      <c r="U57" t="inlineStr">
        <is>
          <t>1997-08-19</t>
        </is>
      </c>
      <c r="V57" t="inlineStr">
        <is>
          <t>1997-08-19</t>
        </is>
      </c>
      <c r="W57" t="inlineStr">
        <is>
          <t>1990-11-05</t>
        </is>
      </c>
      <c r="X57" t="inlineStr">
        <is>
          <t>1990-11-05</t>
        </is>
      </c>
      <c r="Y57" t="n">
        <v>2533</v>
      </c>
      <c r="Z57" t="n">
        <v>2191</v>
      </c>
      <c r="AA57" t="n">
        <v>2477</v>
      </c>
      <c r="AB57" t="n">
        <v>23</v>
      </c>
      <c r="AC57" t="n">
        <v>24</v>
      </c>
      <c r="AD57" t="n">
        <v>55</v>
      </c>
      <c r="AE57" t="n">
        <v>63</v>
      </c>
      <c r="AF57" t="n">
        <v>19</v>
      </c>
      <c r="AG57" t="n">
        <v>24</v>
      </c>
      <c r="AH57" t="n">
        <v>11</v>
      </c>
      <c r="AI57" t="n">
        <v>11</v>
      </c>
      <c r="AJ57" t="n">
        <v>22</v>
      </c>
      <c r="AK57" t="n">
        <v>24</v>
      </c>
      <c r="AL57" t="n">
        <v>11</v>
      </c>
      <c r="AM57" t="n">
        <v>12</v>
      </c>
      <c r="AN57" t="n">
        <v>5</v>
      </c>
      <c r="AO57" t="n">
        <v>6</v>
      </c>
      <c r="AP57" t="inlineStr">
        <is>
          <t>No</t>
        </is>
      </c>
      <c r="AQ57" t="inlineStr">
        <is>
          <t>Yes</t>
        </is>
      </c>
      <c r="AR57">
        <f>HYPERLINK("http://catalog.hathitrust.org/Record/002208794","HathiTrust Record")</f>
        <v/>
      </c>
      <c r="AS57">
        <f>HYPERLINK("https://creighton-primo.hosted.exlibrisgroup.com/primo-explore/search?tab=default_tab&amp;search_scope=EVERYTHING&amp;vid=01CRU&amp;lang=en_US&amp;offset=0&amp;query=any,contains,991001741159702656","Catalog Record")</f>
        <v/>
      </c>
      <c r="AT57">
        <f>HYPERLINK("http://www.worldcat.org/oclc/22004762","WorldCat Record")</f>
        <v/>
      </c>
      <c r="AU57" t="inlineStr">
        <is>
          <t>2287522689:eng</t>
        </is>
      </c>
      <c r="AV57" t="inlineStr">
        <is>
          <t>22004762</t>
        </is>
      </c>
      <c r="AW57" t="inlineStr">
        <is>
          <t>991001741159702656</t>
        </is>
      </c>
      <c r="AX57" t="inlineStr">
        <is>
          <t>991001741159702656</t>
        </is>
      </c>
      <c r="AY57" t="inlineStr">
        <is>
          <t>2271982790002656</t>
        </is>
      </c>
      <c r="AZ57" t="inlineStr">
        <is>
          <t>BOOK</t>
        </is>
      </c>
      <c r="BB57" t="inlineStr">
        <is>
          <t>9780553057768</t>
        </is>
      </c>
      <c r="BC57" t="inlineStr">
        <is>
          <t>32285000313352</t>
        </is>
      </c>
      <c r="BD57" t="inlineStr">
        <is>
          <t>893226078</t>
        </is>
      </c>
    </row>
    <row r="58">
      <c r="A58" t="inlineStr">
        <is>
          <t>No</t>
        </is>
      </c>
      <c r="B58" t="inlineStr">
        <is>
          <t>HN17.5 .T643</t>
        </is>
      </c>
      <c r="C58" t="inlineStr">
        <is>
          <t>0                      HN 0017500T  643</t>
        </is>
      </c>
      <c r="D58" t="inlineStr">
        <is>
          <t>The third wave / by Alvin Toffler.</t>
        </is>
      </c>
      <c r="F58" t="inlineStr">
        <is>
          <t>No</t>
        </is>
      </c>
      <c r="G58" t="inlineStr">
        <is>
          <t>1</t>
        </is>
      </c>
      <c r="H58" t="inlineStr">
        <is>
          <t>No</t>
        </is>
      </c>
      <c r="I58" t="inlineStr">
        <is>
          <t>No</t>
        </is>
      </c>
      <c r="J58" t="inlineStr">
        <is>
          <t>0</t>
        </is>
      </c>
      <c r="K58" t="inlineStr">
        <is>
          <t>Toffler, Alvin.</t>
        </is>
      </c>
      <c r="L58" t="inlineStr">
        <is>
          <t>New York : Morrow, 1980.</t>
        </is>
      </c>
      <c r="M58" t="inlineStr">
        <is>
          <t>1980</t>
        </is>
      </c>
      <c r="N58" t="inlineStr">
        <is>
          <t>1st ed.</t>
        </is>
      </c>
      <c r="O58" t="inlineStr">
        <is>
          <t>eng</t>
        </is>
      </c>
      <c r="P58" t="inlineStr">
        <is>
          <t>nyu</t>
        </is>
      </c>
      <c r="R58" t="inlineStr">
        <is>
          <t xml:space="preserve">HN </t>
        </is>
      </c>
      <c r="S58" t="n">
        <v>8</v>
      </c>
      <c r="T58" t="n">
        <v>8</v>
      </c>
      <c r="U58" t="inlineStr">
        <is>
          <t>1996-07-26</t>
        </is>
      </c>
      <c r="V58" t="inlineStr">
        <is>
          <t>1996-07-26</t>
        </is>
      </c>
      <c r="W58" t="inlineStr">
        <is>
          <t>1992-01-30</t>
        </is>
      </c>
      <c r="X58" t="inlineStr">
        <is>
          <t>1992-01-30</t>
        </is>
      </c>
      <c r="Y58" t="n">
        <v>2702</v>
      </c>
      <c r="Z58" t="n">
        <v>2484</v>
      </c>
      <c r="AA58" t="n">
        <v>3045</v>
      </c>
      <c r="AB58" t="n">
        <v>22</v>
      </c>
      <c r="AC58" t="n">
        <v>30</v>
      </c>
      <c r="AD58" t="n">
        <v>50</v>
      </c>
      <c r="AE58" t="n">
        <v>65</v>
      </c>
      <c r="AF58" t="n">
        <v>19</v>
      </c>
      <c r="AG58" t="n">
        <v>24</v>
      </c>
      <c r="AH58" t="n">
        <v>7</v>
      </c>
      <c r="AI58" t="n">
        <v>9</v>
      </c>
      <c r="AJ58" t="n">
        <v>18</v>
      </c>
      <c r="AK58" t="n">
        <v>24</v>
      </c>
      <c r="AL58" t="n">
        <v>12</v>
      </c>
      <c r="AM58" t="n">
        <v>15</v>
      </c>
      <c r="AN58" t="n">
        <v>3</v>
      </c>
      <c r="AO58" t="n">
        <v>5</v>
      </c>
      <c r="AP58" t="inlineStr">
        <is>
          <t>No</t>
        </is>
      </c>
      <c r="AQ58" t="inlineStr">
        <is>
          <t>Yes</t>
        </is>
      </c>
      <c r="AR58">
        <f>HYPERLINK("http://catalog.hathitrust.org/Record/000035904","HathiTrust Record")</f>
        <v/>
      </c>
      <c r="AS58">
        <f>HYPERLINK("https://creighton-primo.hosted.exlibrisgroup.com/primo-explore/search?tab=default_tab&amp;search_scope=EVERYTHING&amp;vid=01CRU&amp;lang=en_US&amp;offset=0&amp;query=any,contains,991004884249702656","Catalog Record")</f>
        <v/>
      </c>
      <c r="AT58">
        <f>HYPERLINK("http://www.worldcat.org/oclc/5830721","WorldCat Record")</f>
        <v/>
      </c>
      <c r="AU58" t="inlineStr">
        <is>
          <t>370667471:eng</t>
        </is>
      </c>
      <c r="AV58" t="inlineStr">
        <is>
          <t>5830721</t>
        </is>
      </c>
      <c r="AW58" t="inlineStr">
        <is>
          <t>991004884249702656</t>
        </is>
      </c>
      <c r="AX58" t="inlineStr">
        <is>
          <t>991004884249702656</t>
        </is>
      </c>
      <c r="AY58" t="inlineStr">
        <is>
          <t>2260686550002656</t>
        </is>
      </c>
      <c r="AZ58" t="inlineStr">
        <is>
          <t>BOOK</t>
        </is>
      </c>
      <c r="BB58" t="inlineStr">
        <is>
          <t>9780688035976</t>
        </is>
      </c>
      <c r="BC58" t="inlineStr">
        <is>
          <t>32285000930759</t>
        </is>
      </c>
      <c r="BD58" t="inlineStr">
        <is>
          <t>893713163</t>
        </is>
      </c>
    </row>
    <row r="59">
      <c r="A59" t="inlineStr">
        <is>
          <t>No</t>
        </is>
      </c>
      <c r="B59" t="inlineStr">
        <is>
          <t>HN17.5 .T717 2004</t>
        </is>
      </c>
      <c r="C59" t="inlineStr">
        <is>
          <t>0                      HN 0017500T  717         2004</t>
        </is>
      </c>
      <c r="D59" t="inlineStr">
        <is>
          <t>Transatlantic policymaking in an age of austerity : diversity and drift / Martin A. Levin and Martin Shapiro, editors.</t>
        </is>
      </c>
      <c r="F59" t="inlineStr">
        <is>
          <t>No</t>
        </is>
      </c>
      <c r="G59" t="inlineStr">
        <is>
          <t>1</t>
        </is>
      </c>
      <c r="H59" t="inlineStr">
        <is>
          <t>No</t>
        </is>
      </c>
      <c r="I59" t="inlineStr">
        <is>
          <t>No</t>
        </is>
      </c>
      <c r="J59" t="inlineStr">
        <is>
          <t>0</t>
        </is>
      </c>
      <c r="L59" t="inlineStr">
        <is>
          <t>Washington, D.C. : Georgetown University Press, c2004.</t>
        </is>
      </c>
      <c r="M59" t="inlineStr">
        <is>
          <t>2004</t>
        </is>
      </c>
      <c r="O59" t="inlineStr">
        <is>
          <t>eng</t>
        </is>
      </c>
      <c r="P59" t="inlineStr">
        <is>
          <t>dcu</t>
        </is>
      </c>
      <c r="Q59" t="inlineStr">
        <is>
          <t>American governance and public policy series</t>
        </is>
      </c>
      <c r="R59" t="inlineStr">
        <is>
          <t xml:space="preserve">HN </t>
        </is>
      </c>
      <c r="S59" t="n">
        <v>1</v>
      </c>
      <c r="T59" t="n">
        <v>1</v>
      </c>
      <c r="U59" t="inlineStr">
        <is>
          <t>2008-01-10</t>
        </is>
      </c>
      <c r="V59" t="inlineStr">
        <is>
          <t>2008-01-10</t>
        </is>
      </c>
      <c r="W59" t="inlineStr">
        <is>
          <t>2008-01-10</t>
        </is>
      </c>
      <c r="X59" t="inlineStr">
        <is>
          <t>2008-01-10</t>
        </is>
      </c>
      <c r="Y59" t="n">
        <v>253</v>
      </c>
      <c r="Z59" t="n">
        <v>210</v>
      </c>
      <c r="AA59" t="n">
        <v>210</v>
      </c>
      <c r="AB59" t="n">
        <v>2</v>
      </c>
      <c r="AC59" t="n">
        <v>2</v>
      </c>
      <c r="AD59" t="n">
        <v>11</v>
      </c>
      <c r="AE59" t="n">
        <v>11</v>
      </c>
      <c r="AF59" t="n">
        <v>5</v>
      </c>
      <c r="AG59" t="n">
        <v>5</v>
      </c>
      <c r="AH59" t="n">
        <v>5</v>
      </c>
      <c r="AI59" t="n">
        <v>5</v>
      </c>
      <c r="AJ59" t="n">
        <v>5</v>
      </c>
      <c r="AK59" t="n">
        <v>5</v>
      </c>
      <c r="AL59" t="n">
        <v>1</v>
      </c>
      <c r="AM59" t="n">
        <v>1</v>
      </c>
      <c r="AN59" t="n">
        <v>0</v>
      </c>
      <c r="AO59" t="n">
        <v>0</v>
      </c>
      <c r="AP59" t="inlineStr">
        <is>
          <t>No</t>
        </is>
      </c>
      <c r="AQ59" t="inlineStr">
        <is>
          <t>No</t>
        </is>
      </c>
      <c r="AS59">
        <f>HYPERLINK("https://creighton-primo.hosted.exlibrisgroup.com/primo-explore/search?tab=default_tab&amp;search_scope=EVERYTHING&amp;vid=01CRU&amp;lang=en_US&amp;offset=0&amp;query=any,contains,991005157599702656","Catalog Record")</f>
        <v/>
      </c>
      <c r="AT59">
        <f>HYPERLINK("http://www.worldcat.org/oclc/54686318","WorldCat Record")</f>
        <v/>
      </c>
      <c r="AU59" t="inlineStr">
        <is>
          <t>795495469:eng</t>
        </is>
      </c>
      <c r="AV59" t="inlineStr">
        <is>
          <t>54686318</t>
        </is>
      </c>
      <c r="AW59" t="inlineStr">
        <is>
          <t>991005157599702656</t>
        </is>
      </c>
      <c r="AX59" t="inlineStr">
        <is>
          <t>991005157599702656</t>
        </is>
      </c>
      <c r="AY59" t="inlineStr">
        <is>
          <t>2262733060002656</t>
        </is>
      </c>
      <c r="AZ59" t="inlineStr">
        <is>
          <t>BOOK</t>
        </is>
      </c>
      <c r="BB59" t="inlineStr">
        <is>
          <t>9781589010314</t>
        </is>
      </c>
      <c r="BC59" t="inlineStr">
        <is>
          <t>32285005376578</t>
        </is>
      </c>
      <c r="BD59" t="inlineStr">
        <is>
          <t>893883422</t>
        </is>
      </c>
    </row>
    <row r="60">
      <c r="A60" t="inlineStr">
        <is>
          <t>No</t>
        </is>
      </c>
      <c r="B60" t="inlineStr">
        <is>
          <t>HN17.5 .T736 1998</t>
        </is>
      </c>
      <c r="C60" t="inlineStr">
        <is>
          <t>0                      HN 0017500T  736         1998</t>
        </is>
      </c>
      <c r="D60" t="inlineStr">
        <is>
          <t>Transnationalism from below / edited by Michael Peter Smith and Luis Eduardo Guarnizo.</t>
        </is>
      </c>
      <c r="F60" t="inlineStr">
        <is>
          <t>No</t>
        </is>
      </c>
      <c r="G60" t="inlineStr">
        <is>
          <t>1</t>
        </is>
      </c>
      <c r="H60" t="inlineStr">
        <is>
          <t>No</t>
        </is>
      </c>
      <c r="I60" t="inlineStr">
        <is>
          <t>No</t>
        </is>
      </c>
      <c r="J60" t="inlineStr">
        <is>
          <t>0</t>
        </is>
      </c>
      <c r="L60" t="inlineStr">
        <is>
          <t>New Brunswick, N.J. : Transaction Publishers, c1998.</t>
        </is>
      </c>
      <c r="M60" t="inlineStr">
        <is>
          <t>1998</t>
        </is>
      </c>
      <c r="O60" t="inlineStr">
        <is>
          <t>eng</t>
        </is>
      </c>
      <c r="P60" t="inlineStr">
        <is>
          <t>nju</t>
        </is>
      </c>
      <c r="Q60" t="inlineStr">
        <is>
          <t>Comparative urban and community research, 0892-5569 ; v. 6</t>
        </is>
      </c>
      <c r="R60" t="inlineStr">
        <is>
          <t xml:space="preserve">HN </t>
        </is>
      </c>
      <c r="S60" t="n">
        <v>0</v>
      </c>
      <c r="T60" t="n">
        <v>0</v>
      </c>
      <c r="U60" t="inlineStr">
        <is>
          <t>2004-03-04</t>
        </is>
      </c>
      <c r="V60" t="inlineStr">
        <is>
          <t>2004-03-04</t>
        </is>
      </c>
      <c r="W60" t="inlineStr">
        <is>
          <t>2000-07-27</t>
        </is>
      </c>
      <c r="X60" t="inlineStr">
        <is>
          <t>2000-07-27</t>
        </is>
      </c>
      <c r="Y60" t="n">
        <v>293</v>
      </c>
      <c r="Z60" t="n">
        <v>194</v>
      </c>
      <c r="AA60" t="n">
        <v>200</v>
      </c>
      <c r="AB60" t="n">
        <v>2</v>
      </c>
      <c r="AC60" t="n">
        <v>2</v>
      </c>
      <c r="AD60" t="n">
        <v>14</v>
      </c>
      <c r="AE60" t="n">
        <v>14</v>
      </c>
      <c r="AF60" t="n">
        <v>3</v>
      </c>
      <c r="AG60" t="n">
        <v>3</v>
      </c>
      <c r="AH60" t="n">
        <v>8</v>
      </c>
      <c r="AI60" t="n">
        <v>8</v>
      </c>
      <c r="AJ60" t="n">
        <v>6</v>
      </c>
      <c r="AK60" t="n">
        <v>6</v>
      </c>
      <c r="AL60" t="n">
        <v>1</v>
      </c>
      <c r="AM60" t="n">
        <v>1</v>
      </c>
      <c r="AN60" t="n">
        <v>0</v>
      </c>
      <c r="AO60" t="n">
        <v>0</v>
      </c>
      <c r="AP60" t="inlineStr">
        <is>
          <t>No</t>
        </is>
      </c>
      <c r="AQ60" t="inlineStr">
        <is>
          <t>No</t>
        </is>
      </c>
      <c r="AS60">
        <f>HYPERLINK("https://creighton-primo.hosted.exlibrisgroup.com/primo-explore/search?tab=default_tab&amp;search_scope=EVERYTHING&amp;vid=01CRU&amp;lang=en_US&amp;offset=0&amp;query=any,contains,991003223229702656","Catalog Record")</f>
        <v/>
      </c>
      <c r="AT60">
        <f>HYPERLINK("http://www.worldcat.org/oclc/37269565","WorldCat Record")</f>
        <v/>
      </c>
      <c r="AU60" t="inlineStr">
        <is>
          <t>5218487943:eng</t>
        </is>
      </c>
      <c r="AV60" t="inlineStr">
        <is>
          <t>37269565</t>
        </is>
      </c>
      <c r="AW60" t="inlineStr">
        <is>
          <t>991003223229702656</t>
        </is>
      </c>
      <c r="AX60" t="inlineStr">
        <is>
          <t>991003223229702656</t>
        </is>
      </c>
      <c r="AY60" t="inlineStr">
        <is>
          <t>2266876280002656</t>
        </is>
      </c>
      <c r="AZ60" t="inlineStr">
        <is>
          <t>BOOK</t>
        </is>
      </c>
      <c r="BB60" t="inlineStr">
        <is>
          <t>9781560009900</t>
        </is>
      </c>
      <c r="BC60" t="inlineStr">
        <is>
          <t>32285003743258</t>
        </is>
      </c>
      <c r="BD60" t="inlineStr">
        <is>
          <t>893717435</t>
        </is>
      </c>
    </row>
    <row r="61">
      <c r="A61" t="inlineStr">
        <is>
          <t>No</t>
        </is>
      </c>
      <c r="B61" t="inlineStr">
        <is>
          <t>HN17.5 .Y55 1982</t>
        </is>
      </c>
      <c r="C61" t="inlineStr">
        <is>
          <t>0                      HN 0017500Y  55          1982</t>
        </is>
      </c>
      <c r="D61" t="inlineStr">
        <is>
          <t>Countercultures : the promise and the peril of a world turned upside down / J. Milton Yinger.</t>
        </is>
      </c>
      <c r="F61" t="inlineStr">
        <is>
          <t>No</t>
        </is>
      </c>
      <c r="G61" t="inlineStr">
        <is>
          <t>1</t>
        </is>
      </c>
      <c r="H61" t="inlineStr">
        <is>
          <t>No</t>
        </is>
      </c>
      <c r="I61" t="inlineStr">
        <is>
          <t>No</t>
        </is>
      </c>
      <c r="J61" t="inlineStr">
        <is>
          <t>0</t>
        </is>
      </c>
      <c r="K61" t="inlineStr">
        <is>
          <t>Yinger, J. Milton (John Milton), 1916-2011.</t>
        </is>
      </c>
      <c r="L61" t="inlineStr">
        <is>
          <t>New York : Free Press ; London : Collier Macmillan Publisher, c1982.</t>
        </is>
      </c>
      <c r="M61" t="inlineStr">
        <is>
          <t>1982</t>
        </is>
      </c>
      <c r="O61" t="inlineStr">
        <is>
          <t>eng</t>
        </is>
      </c>
      <c r="P61" t="inlineStr">
        <is>
          <t>nyu</t>
        </is>
      </c>
      <c r="R61" t="inlineStr">
        <is>
          <t xml:space="preserve">HN </t>
        </is>
      </c>
      <c r="S61" t="n">
        <v>2</v>
      </c>
      <c r="T61" t="n">
        <v>2</v>
      </c>
      <c r="U61" t="inlineStr">
        <is>
          <t>2003-11-02</t>
        </is>
      </c>
      <c r="V61" t="inlineStr">
        <is>
          <t>2003-11-02</t>
        </is>
      </c>
      <c r="W61" t="inlineStr">
        <is>
          <t>1992-09-23</t>
        </is>
      </c>
      <c r="X61" t="inlineStr">
        <is>
          <t>1992-09-23</t>
        </is>
      </c>
      <c r="Y61" t="n">
        <v>808</v>
      </c>
      <c r="Z61" t="n">
        <v>707</v>
      </c>
      <c r="AA61" t="n">
        <v>741</v>
      </c>
      <c r="AB61" t="n">
        <v>8</v>
      </c>
      <c r="AC61" t="n">
        <v>8</v>
      </c>
      <c r="AD61" t="n">
        <v>36</v>
      </c>
      <c r="AE61" t="n">
        <v>38</v>
      </c>
      <c r="AF61" t="n">
        <v>13</v>
      </c>
      <c r="AG61" t="n">
        <v>14</v>
      </c>
      <c r="AH61" t="n">
        <v>8</v>
      </c>
      <c r="AI61" t="n">
        <v>9</v>
      </c>
      <c r="AJ61" t="n">
        <v>17</v>
      </c>
      <c r="AK61" t="n">
        <v>17</v>
      </c>
      <c r="AL61" t="n">
        <v>7</v>
      </c>
      <c r="AM61" t="n">
        <v>7</v>
      </c>
      <c r="AN61" t="n">
        <v>0</v>
      </c>
      <c r="AO61" t="n">
        <v>0</v>
      </c>
      <c r="AP61" t="inlineStr">
        <is>
          <t>No</t>
        </is>
      </c>
      <c r="AQ61" t="inlineStr">
        <is>
          <t>No</t>
        </is>
      </c>
      <c r="AS61">
        <f>HYPERLINK("https://creighton-primo.hosted.exlibrisgroup.com/primo-explore/search?tab=default_tab&amp;search_scope=EVERYTHING&amp;vid=01CRU&amp;lang=en_US&amp;offset=0&amp;query=any,contains,991005180339702656","Catalog Record")</f>
        <v/>
      </c>
      <c r="AT61">
        <f>HYPERLINK("http://www.worldcat.org/oclc/7945364","WorldCat Record")</f>
        <v/>
      </c>
      <c r="AU61" t="inlineStr">
        <is>
          <t>866535528:eng</t>
        </is>
      </c>
      <c r="AV61" t="inlineStr">
        <is>
          <t>7945364</t>
        </is>
      </c>
      <c r="AW61" t="inlineStr">
        <is>
          <t>991005180339702656</t>
        </is>
      </c>
      <c r="AX61" t="inlineStr">
        <is>
          <t>991005180339702656</t>
        </is>
      </c>
      <c r="AY61" t="inlineStr">
        <is>
          <t>2271057010002656</t>
        </is>
      </c>
      <c r="AZ61" t="inlineStr">
        <is>
          <t>BOOK</t>
        </is>
      </c>
      <c r="BB61" t="inlineStr">
        <is>
          <t>9780029358900</t>
        </is>
      </c>
      <c r="BC61" t="inlineStr">
        <is>
          <t>32285001269330</t>
        </is>
      </c>
      <c r="BD61" t="inlineStr">
        <is>
          <t>893260683</t>
        </is>
      </c>
    </row>
    <row r="62">
      <c r="A62" t="inlineStr">
        <is>
          <t>No</t>
        </is>
      </c>
      <c r="B62" t="inlineStr">
        <is>
          <t>HN17.5 .Z57 1997</t>
        </is>
      </c>
      <c r="C62" t="inlineStr">
        <is>
          <t>0                      HN 0017500Z  57          1997</t>
        </is>
      </c>
      <c r="D62" t="inlineStr">
        <is>
          <t>Social movements in politics : a comparative study / Cyrus Ernesto Zirakzadeh.</t>
        </is>
      </c>
      <c r="F62" t="inlineStr">
        <is>
          <t>No</t>
        </is>
      </c>
      <c r="G62" t="inlineStr">
        <is>
          <t>1</t>
        </is>
      </c>
      <c r="H62" t="inlineStr">
        <is>
          <t>No</t>
        </is>
      </c>
      <c r="I62" t="inlineStr">
        <is>
          <t>No</t>
        </is>
      </c>
      <c r="J62" t="inlineStr">
        <is>
          <t>0</t>
        </is>
      </c>
      <c r="K62" t="inlineStr">
        <is>
          <t>Zirakzadeh, Cyrus Ernesto, 1951-</t>
        </is>
      </c>
      <c r="L62" t="inlineStr">
        <is>
          <t>London ; New York : Longman, 1997.</t>
        </is>
      </c>
      <c r="M62" t="inlineStr">
        <is>
          <t>1997</t>
        </is>
      </c>
      <c r="O62" t="inlineStr">
        <is>
          <t>eng</t>
        </is>
      </c>
      <c r="P62" t="inlineStr">
        <is>
          <t>enk</t>
        </is>
      </c>
      <c r="Q62" t="inlineStr">
        <is>
          <t>Perspectives in comparative politics</t>
        </is>
      </c>
      <c r="R62" t="inlineStr">
        <is>
          <t xml:space="preserve">HN </t>
        </is>
      </c>
      <c r="S62" t="n">
        <v>4</v>
      </c>
      <c r="T62" t="n">
        <v>4</v>
      </c>
      <c r="U62" t="inlineStr">
        <is>
          <t>2007-04-06</t>
        </is>
      </c>
      <c r="V62" t="inlineStr">
        <is>
          <t>2007-04-06</t>
        </is>
      </c>
      <c r="W62" t="inlineStr">
        <is>
          <t>1998-07-27</t>
        </is>
      </c>
      <c r="X62" t="inlineStr">
        <is>
          <t>1998-07-27</t>
        </is>
      </c>
      <c r="Y62" t="n">
        <v>442</v>
      </c>
      <c r="Z62" t="n">
        <v>319</v>
      </c>
      <c r="AA62" t="n">
        <v>328</v>
      </c>
      <c r="AB62" t="n">
        <v>1</v>
      </c>
      <c r="AC62" t="n">
        <v>1</v>
      </c>
      <c r="AD62" t="n">
        <v>17</v>
      </c>
      <c r="AE62" t="n">
        <v>17</v>
      </c>
      <c r="AF62" t="n">
        <v>8</v>
      </c>
      <c r="AG62" t="n">
        <v>8</v>
      </c>
      <c r="AH62" t="n">
        <v>5</v>
      </c>
      <c r="AI62" t="n">
        <v>5</v>
      </c>
      <c r="AJ62" t="n">
        <v>9</v>
      </c>
      <c r="AK62" t="n">
        <v>9</v>
      </c>
      <c r="AL62" t="n">
        <v>0</v>
      </c>
      <c r="AM62" t="n">
        <v>0</v>
      </c>
      <c r="AN62" t="n">
        <v>0</v>
      </c>
      <c r="AO62" t="n">
        <v>0</v>
      </c>
      <c r="AP62" t="inlineStr">
        <is>
          <t>No</t>
        </is>
      </c>
      <c r="AQ62" t="inlineStr">
        <is>
          <t>Yes</t>
        </is>
      </c>
      <c r="AR62">
        <f>HYPERLINK("http://catalog.hathitrust.org/Record/003946158","HathiTrust Record")</f>
        <v/>
      </c>
      <c r="AS62">
        <f>HYPERLINK("https://creighton-primo.hosted.exlibrisgroup.com/primo-explore/search?tab=default_tab&amp;search_scope=EVERYTHING&amp;vid=01CRU&amp;lang=en_US&amp;offset=0&amp;query=any,contains,991002757389702656","Catalog Record")</f>
        <v/>
      </c>
      <c r="AT62">
        <f>HYPERLINK("http://www.worldcat.org/oclc/36165144","WorldCat Record")</f>
        <v/>
      </c>
      <c r="AU62" t="inlineStr">
        <is>
          <t>9657848074:eng</t>
        </is>
      </c>
      <c r="AV62" t="inlineStr">
        <is>
          <t>36165144</t>
        </is>
      </c>
      <c r="AW62" t="inlineStr">
        <is>
          <t>991002757389702656</t>
        </is>
      </c>
      <c r="AX62" t="inlineStr">
        <is>
          <t>991002757389702656</t>
        </is>
      </c>
      <c r="AY62" t="inlineStr">
        <is>
          <t>2265179000002656</t>
        </is>
      </c>
      <c r="AZ62" t="inlineStr">
        <is>
          <t>BOOK</t>
        </is>
      </c>
      <c r="BB62" t="inlineStr">
        <is>
          <t>9780582209466</t>
        </is>
      </c>
      <c r="BC62" t="inlineStr">
        <is>
          <t>32285003445979</t>
        </is>
      </c>
      <c r="BD62" t="inlineStr">
        <is>
          <t>893704476</t>
        </is>
      </c>
    </row>
    <row r="63">
      <c r="A63" t="inlineStr">
        <is>
          <t>No</t>
        </is>
      </c>
      <c r="B63" t="inlineStr">
        <is>
          <t>HN18 .B459 1977</t>
        </is>
      </c>
      <c r="C63" t="inlineStr">
        <is>
          <t>0                      HN 0018000B  459         1977</t>
        </is>
      </c>
      <c r="D63" t="inlineStr">
        <is>
          <t>To empower people : the role of mediating structures in public policy / Peter L. Berger, Richard John Neuhaus.</t>
        </is>
      </c>
      <c r="F63" t="inlineStr">
        <is>
          <t>No</t>
        </is>
      </c>
      <c r="G63" t="inlineStr">
        <is>
          <t>1</t>
        </is>
      </c>
      <c r="H63" t="inlineStr">
        <is>
          <t>No</t>
        </is>
      </c>
      <c r="I63" t="inlineStr">
        <is>
          <t>No</t>
        </is>
      </c>
      <c r="J63" t="inlineStr">
        <is>
          <t>0</t>
        </is>
      </c>
      <c r="K63" t="inlineStr">
        <is>
          <t>Berger, Peter L., 1929-2017.</t>
        </is>
      </c>
      <c r="L63" t="inlineStr">
        <is>
          <t>Washington : American Enterprise Institute for Public Policy Research, c1977.</t>
        </is>
      </c>
      <c r="M63" t="inlineStr">
        <is>
          <t>1977</t>
        </is>
      </c>
      <c r="O63" t="inlineStr">
        <is>
          <t>eng</t>
        </is>
      </c>
      <c r="P63" t="inlineStr">
        <is>
          <t>dcu</t>
        </is>
      </c>
      <c r="Q63" t="inlineStr">
        <is>
          <t>AEI studies ; 139</t>
        </is>
      </c>
      <c r="R63" t="inlineStr">
        <is>
          <t xml:space="preserve">HN </t>
        </is>
      </c>
      <c r="S63" t="n">
        <v>3</v>
      </c>
      <c r="T63" t="n">
        <v>3</v>
      </c>
      <c r="U63" t="inlineStr">
        <is>
          <t>2010-11-18</t>
        </is>
      </c>
      <c r="V63" t="inlineStr">
        <is>
          <t>2010-11-18</t>
        </is>
      </c>
      <c r="W63" t="inlineStr">
        <is>
          <t>1992-09-23</t>
        </is>
      </c>
      <c r="X63" t="inlineStr">
        <is>
          <t>1992-09-23</t>
        </is>
      </c>
      <c r="Y63" t="n">
        <v>634</v>
      </c>
      <c r="Z63" t="n">
        <v>563</v>
      </c>
      <c r="AA63" t="n">
        <v>570</v>
      </c>
      <c r="AB63" t="n">
        <v>5</v>
      </c>
      <c r="AC63" t="n">
        <v>5</v>
      </c>
      <c r="AD63" t="n">
        <v>28</v>
      </c>
      <c r="AE63" t="n">
        <v>29</v>
      </c>
      <c r="AF63" t="n">
        <v>7</v>
      </c>
      <c r="AG63" t="n">
        <v>7</v>
      </c>
      <c r="AH63" t="n">
        <v>4</v>
      </c>
      <c r="AI63" t="n">
        <v>5</v>
      </c>
      <c r="AJ63" t="n">
        <v>14</v>
      </c>
      <c r="AK63" t="n">
        <v>15</v>
      </c>
      <c r="AL63" t="n">
        <v>4</v>
      </c>
      <c r="AM63" t="n">
        <v>4</v>
      </c>
      <c r="AN63" t="n">
        <v>4</v>
      </c>
      <c r="AO63" t="n">
        <v>4</v>
      </c>
      <c r="AP63" t="inlineStr">
        <is>
          <t>No</t>
        </is>
      </c>
      <c r="AQ63" t="inlineStr">
        <is>
          <t>No</t>
        </is>
      </c>
      <c r="AS63">
        <f>HYPERLINK("https://creighton-primo.hosted.exlibrisgroup.com/primo-explore/search?tab=default_tab&amp;search_scope=EVERYTHING&amp;vid=01CRU&amp;lang=en_US&amp;offset=0&amp;query=any,contains,991004247729702656","Catalog Record")</f>
        <v/>
      </c>
      <c r="AT63">
        <f>HYPERLINK("http://www.worldcat.org/oclc/2799044","WorldCat Record")</f>
        <v/>
      </c>
      <c r="AU63" t="inlineStr">
        <is>
          <t>283422865:eng</t>
        </is>
      </c>
      <c r="AV63" t="inlineStr">
        <is>
          <t>2799044</t>
        </is>
      </c>
      <c r="AW63" t="inlineStr">
        <is>
          <t>991004247729702656</t>
        </is>
      </c>
      <c r="AX63" t="inlineStr">
        <is>
          <t>991004247729702656</t>
        </is>
      </c>
      <c r="AY63" t="inlineStr">
        <is>
          <t>2271416190002656</t>
        </is>
      </c>
      <c r="AZ63" t="inlineStr">
        <is>
          <t>BOOK</t>
        </is>
      </c>
      <c r="BB63" t="inlineStr">
        <is>
          <t>9780844732367</t>
        </is>
      </c>
      <c r="BC63" t="inlineStr">
        <is>
          <t>32285001269348</t>
        </is>
      </c>
      <c r="BD63" t="inlineStr">
        <is>
          <t>893241198</t>
        </is>
      </c>
    </row>
    <row r="64">
      <c r="A64" t="inlineStr">
        <is>
          <t>No</t>
        </is>
      </c>
      <c r="B64" t="inlineStr">
        <is>
          <t>HN18 .C32</t>
        </is>
      </c>
      <c r="C64" t="inlineStr">
        <is>
          <t>0                      HN 0018000C  32</t>
        </is>
      </c>
      <c r="D64" t="inlineStr">
        <is>
          <t>The ethics of enjoyment : the Christian's pursuit of happiness / by Kenneth Cauthen.</t>
        </is>
      </c>
      <c r="F64" t="inlineStr">
        <is>
          <t>No</t>
        </is>
      </c>
      <c r="G64" t="inlineStr">
        <is>
          <t>1</t>
        </is>
      </c>
      <c r="H64" t="inlineStr">
        <is>
          <t>No</t>
        </is>
      </c>
      <c r="I64" t="inlineStr">
        <is>
          <t>No</t>
        </is>
      </c>
      <c r="J64" t="inlineStr">
        <is>
          <t>0</t>
        </is>
      </c>
      <c r="K64" t="inlineStr">
        <is>
          <t>Cauthen, Kenneth, 1930-</t>
        </is>
      </c>
      <c r="L64" t="inlineStr">
        <is>
          <t>Atlanta : John Knox Press, c1975.</t>
        </is>
      </c>
      <c r="M64" t="inlineStr">
        <is>
          <t>1975</t>
        </is>
      </c>
      <c r="O64" t="inlineStr">
        <is>
          <t>eng</t>
        </is>
      </c>
      <c r="P64" t="inlineStr">
        <is>
          <t>gau</t>
        </is>
      </c>
      <c r="R64" t="inlineStr">
        <is>
          <t xml:space="preserve">HN </t>
        </is>
      </c>
      <c r="S64" t="n">
        <v>1</v>
      </c>
      <c r="T64" t="n">
        <v>1</v>
      </c>
      <c r="U64" t="inlineStr">
        <is>
          <t>2010-03-29</t>
        </is>
      </c>
      <c r="V64" t="inlineStr">
        <is>
          <t>2010-03-29</t>
        </is>
      </c>
      <c r="W64" t="inlineStr">
        <is>
          <t>1997-08-04</t>
        </is>
      </c>
      <c r="X64" t="inlineStr">
        <is>
          <t>1997-08-04</t>
        </is>
      </c>
      <c r="Y64" t="n">
        <v>181</v>
      </c>
      <c r="Z64" t="n">
        <v>161</v>
      </c>
      <c r="AA64" t="n">
        <v>161</v>
      </c>
      <c r="AB64" t="n">
        <v>1</v>
      </c>
      <c r="AC64" t="n">
        <v>1</v>
      </c>
      <c r="AD64" t="n">
        <v>11</v>
      </c>
      <c r="AE64" t="n">
        <v>11</v>
      </c>
      <c r="AF64" t="n">
        <v>4</v>
      </c>
      <c r="AG64" t="n">
        <v>4</v>
      </c>
      <c r="AH64" t="n">
        <v>3</v>
      </c>
      <c r="AI64" t="n">
        <v>3</v>
      </c>
      <c r="AJ64" t="n">
        <v>6</v>
      </c>
      <c r="AK64" t="n">
        <v>6</v>
      </c>
      <c r="AL64" t="n">
        <v>0</v>
      </c>
      <c r="AM64" t="n">
        <v>0</v>
      </c>
      <c r="AN64" t="n">
        <v>0</v>
      </c>
      <c r="AO64" t="n">
        <v>0</v>
      </c>
      <c r="AP64" t="inlineStr">
        <is>
          <t>No</t>
        </is>
      </c>
      <c r="AQ64" t="inlineStr">
        <is>
          <t>No</t>
        </is>
      </c>
      <c r="AS64">
        <f>HYPERLINK("https://creighton-primo.hosted.exlibrisgroup.com/primo-explore/search?tab=default_tab&amp;search_scope=EVERYTHING&amp;vid=01CRU&amp;lang=en_US&amp;offset=0&amp;query=any,contains,991003898589702656","Catalog Record")</f>
        <v/>
      </c>
      <c r="AT64">
        <f>HYPERLINK("http://www.worldcat.org/oclc/1818154","WorldCat Record")</f>
        <v/>
      </c>
      <c r="AU64" t="inlineStr">
        <is>
          <t>2632444:eng</t>
        </is>
      </c>
      <c r="AV64" t="inlineStr">
        <is>
          <t>1818154</t>
        </is>
      </c>
      <c r="AW64" t="inlineStr">
        <is>
          <t>991003898589702656</t>
        </is>
      </c>
      <c r="AX64" t="inlineStr">
        <is>
          <t>991003898589702656</t>
        </is>
      </c>
      <c r="AY64" t="inlineStr">
        <is>
          <t>2267541680002656</t>
        </is>
      </c>
      <c r="AZ64" t="inlineStr">
        <is>
          <t>BOOK</t>
        </is>
      </c>
      <c r="BB64" t="inlineStr">
        <is>
          <t>9780804208154</t>
        </is>
      </c>
      <c r="BC64" t="inlineStr">
        <is>
          <t>32285003040689</t>
        </is>
      </c>
      <c r="BD64" t="inlineStr">
        <is>
          <t>893416976</t>
        </is>
      </c>
    </row>
    <row r="65">
      <c r="A65" t="inlineStr">
        <is>
          <t>No</t>
        </is>
      </c>
      <c r="B65" t="inlineStr">
        <is>
          <t>HN18 .D426 1980</t>
        </is>
      </c>
      <c r="C65" t="inlineStr">
        <is>
          <t>0                      HN 0018000D  426         1980</t>
        </is>
      </c>
      <c r="D65" t="inlineStr">
        <is>
          <t>Democracy and mediating structures : a theological inquiry / edited by Michael Novak.</t>
        </is>
      </c>
      <c r="F65" t="inlineStr">
        <is>
          <t>No</t>
        </is>
      </c>
      <c r="G65" t="inlineStr">
        <is>
          <t>1</t>
        </is>
      </c>
      <c r="H65" t="inlineStr">
        <is>
          <t>No</t>
        </is>
      </c>
      <c r="I65" t="inlineStr">
        <is>
          <t>No</t>
        </is>
      </c>
      <c r="J65" t="inlineStr">
        <is>
          <t>0</t>
        </is>
      </c>
      <c r="L65" t="inlineStr">
        <is>
          <t>Washington, D.C. : American Enterprise Institute for Public Policy Research, c1980.</t>
        </is>
      </c>
      <c r="M65" t="inlineStr">
        <is>
          <t>1980</t>
        </is>
      </c>
      <c r="O65" t="inlineStr">
        <is>
          <t>eng</t>
        </is>
      </c>
      <c r="P65" t="inlineStr">
        <is>
          <t>dcu</t>
        </is>
      </c>
      <c r="Q65" t="inlineStr">
        <is>
          <t>AEI symposia ; 80A</t>
        </is>
      </c>
      <c r="R65" t="inlineStr">
        <is>
          <t xml:space="preserve">HN </t>
        </is>
      </c>
      <c r="S65" t="n">
        <v>4</v>
      </c>
      <c r="T65" t="n">
        <v>4</v>
      </c>
      <c r="U65" t="inlineStr">
        <is>
          <t>1998-11-30</t>
        </is>
      </c>
      <c r="V65" t="inlineStr">
        <is>
          <t>1998-11-30</t>
        </is>
      </c>
      <c r="W65" t="inlineStr">
        <is>
          <t>1993-02-11</t>
        </is>
      </c>
      <c r="X65" t="inlineStr">
        <is>
          <t>1993-02-11</t>
        </is>
      </c>
      <c r="Y65" t="n">
        <v>566</v>
      </c>
      <c r="Z65" t="n">
        <v>516</v>
      </c>
      <c r="AA65" t="n">
        <v>525</v>
      </c>
      <c r="AB65" t="n">
        <v>5</v>
      </c>
      <c r="AC65" t="n">
        <v>5</v>
      </c>
      <c r="AD65" t="n">
        <v>32</v>
      </c>
      <c r="AE65" t="n">
        <v>32</v>
      </c>
      <c r="AF65" t="n">
        <v>12</v>
      </c>
      <c r="AG65" t="n">
        <v>12</v>
      </c>
      <c r="AH65" t="n">
        <v>7</v>
      </c>
      <c r="AI65" t="n">
        <v>7</v>
      </c>
      <c r="AJ65" t="n">
        <v>16</v>
      </c>
      <c r="AK65" t="n">
        <v>16</v>
      </c>
      <c r="AL65" t="n">
        <v>4</v>
      </c>
      <c r="AM65" t="n">
        <v>4</v>
      </c>
      <c r="AN65" t="n">
        <v>4</v>
      </c>
      <c r="AO65" t="n">
        <v>4</v>
      </c>
      <c r="AP65" t="inlineStr">
        <is>
          <t>No</t>
        </is>
      </c>
      <c r="AQ65" t="inlineStr">
        <is>
          <t>No</t>
        </is>
      </c>
      <c r="AS65">
        <f>HYPERLINK("https://creighton-primo.hosted.exlibrisgroup.com/primo-explore/search?tab=default_tab&amp;search_scope=EVERYTHING&amp;vid=01CRU&amp;lang=en_US&amp;offset=0&amp;query=any,contains,991004925339702656","Catalog Record")</f>
        <v/>
      </c>
      <c r="AT65">
        <f>HYPERLINK("http://www.worldcat.org/oclc/6085534","WorldCat Record")</f>
        <v/>
      </c>
      <c r="AU65" t="inlineStr">
        <is>
          <t>507540:eng</t>
        </is>
      </c>
      <c r="AV65" t="inlineStr">
        <is>
          <t>6085534</t>
        </is>
      </c>
      <c r="AW65" t="inlineStr">
        <is>
          <t>991004925339702656</t>
        </is>
      </c>
      <c r="AX65" t="inlineStr">
        <is>
          <t>991004925339702656</t>
        </is>
      </c>
      <c r="AY65" t="inlineStr">
        <is>
          <t>2260973070002656</t>
        </is>
      </c>
      <c r="AZ65" t="inlineStr">
        <is>
          <t>BOOK</t>
        </is>
      </c>
      <c r="BB65" t="inlineStr">
        <is>
          <t>9780844721750</t>
        </is>
      </c>
      <c r="BC65" t="inlineStr">
        <is>
          <t>32285001495521</t>
        </is>
      </c>
      <c r="BD65" t="inlineStr">
        <is>
          <t>893325940</t>
        </is>
      </c>
    </row>
    <row r="66">
      <c r="A66" t="inlineStr">
        <is>
          <t>No</t>
        </is>
      </c>
      <c r="B66" t="inlineStr">
        <is>
          <t>HN18 .D498</t>
        </is>
      </c>
      <c r="C66" t="inlineStr">
        <is>
          <t>0                      HN 0018000D  498</t>
        </is>
      </c>
      <c r="D66" t="inlineStr">
        <is>
          <t>Directions of change : modernization theory, research, and realities / edited by Mustafa O. Attir, Burkart Holzner, and Zdenek Suda.</t>
        </is>
      </c>
      <c r="F66" t="inlineStr">
        <is>
          <t>No</t>
        </is>
      </c>
      <c r="G66" t="inlineStr">
        <is>
          <t>1</t>
        </is>
      </c>
      <c r="H66" t="inlineStr">
        <is>
          <t>No</t>
        </is>
      </c>
      <c r="I66" t="inlineStr">
        <is>
          <t>No</t>
        </is>
      </c>
      <c r="J66" t="inlineStr">
        <is>
          <t>0</t>
        </is>
      </c>
      <c r="L66" t="inlineStr">
        <is>
          <t>Boulder, Colo. : Westview Press, 1981.</t>
        </is>
      </c>
      <c r="M66" t="inlineStr">
        <is>
          <t>1981</t>
        </is>
      </c>
      <c r="O66" t="inlineStr">
        <is>
          <t>eng</t>
        </is>
      </c>
      <c r="P66" t="inlineStr">
        <is>
          <t>cou</t>
        </is>
      </c>
      <c r="Q66" t="inlineStr">
        <is>
          <t>A Westview special study</t>
        </is>
      </c>
      <c r="R66" t="inlineStr">
        <is>
          <t xml:space="preserve">HN </t>
        </is>
      </c>
      <c r="S66" t="n">
        <v>5</v>
      </c>
      <c r="T66" t="n">
        <v>5</v>
      </c>
      <c r="U66" t="inlineStr">
        <is>
          <t>2000-04-19</t>
        </is>
      </c>
      <c r="V66" t="inlineStr">
        <is>
          <t>2000-04-19</t>
        </is>
      </c>
      <c r="W66" t="inlineStr">
        <is>
          <t>1992-09-23</t>
        </is>
      </c>
      <c r="X66" t="inlineStr">
        <is>
          <t>1992-09-23</t>
        </is>
      </c>
      <c r="Y66" t="n">
        <v>272</v>
      </c>
      <c r="Z66" t="n">
        <v>207</v>
      </c>
      <c r="AA66" t="n">
        <v>229</v>
      </c>
      <c r="AB66" t="n">
        <v>2</v>
      </c>
      <c r="AC66" t="n">
        <v>2</v>
      </c>
      <c r="AD66" t="n">
        <v>4</v>
      </c>
      <c r="AE66" t="n">
        <v>4</v>
      </c>
      <c r="AF66" t="n">
        <v>1</v>
      </c>
      <c r="AG66" t="n">
        <v>1</v>
      </c>
      <c r="AH66" t="n">
        <v>0</v>
      </c>
      <c r="AI66" t="n">
        <v>0</v>
      </c>
      <c r="AJ66" t="n">
        <v>3</v>
      </c>
      <c r="AK66" t="n">
        <v>3</v>
      </c>
      <c r="AL66" t="n">
        <v>1</v>
      </c>
      <c r="AM66" t="n">
        <v>1</v>
      </c>
      <c r="AN66" t="n">
        <v>0</v>
      </c>
      <c r="AO66" t="n">
        <v>0</v>
      </c>
      <c r="AP66" t="inlineStr">
        <is>
          <t>No</t>
        </is>
      </c>
      <c r="AQ66" t="inlineStr">
        <is>
          <t>No</t>
        </is>
      </c>
      <c r="AS66">
        <f>HYPERLINK("https://creighton-primo.hosted.exlibrisgroup.com/primo-explore/search?tab=default_tab&amp;search_scope=EVERYTHING&amp;vid=01CRU&amp;lang=en_US&amp;offset=0&amp;query=any,contains,991005126879702656","Catalog Record")</f>
        <v/>
      </c>
      <c r="AT66">
        <f>HYPERLINK("http://www.worldcat.org/oclc/7554114","WorldCat Record")</f>
        <v/>
      </c>
      <c r="AU66" t="inlineStr">
        <is>
          <t>906402396:eng</t>
        </is>
      </c>
      <c r="AV66" t="inlineStr">
        <is>
          <t>7554114</t>
        </is>
      </c>
      <c r="AW66" t="inlineStr">
        <is>
          <t>991005126879702656</t>
        </is>
      </c>
      <c r="AX66" t="inlineStr">
        <is>
          <t>991005126879702656</t>
        </is>
      </c>
      <c r="AY66" t="inlineStr">
        <is>
          <t>2264808160002656</t>
        </is>
      </c>
      <c r="AZ66" t="inlineStr">
        <is>
          <t>BOOK</t>
        </is>
      </c>
      <c r="BB66" t="inlineStr">
        <is>
          <t>9780865312234</t>
        </is>
      </c>
      <c r="BC66" t="inlineStr">
        <is>
          <t>32285001269371</t>
        </is>
      </c>
      <c r="BD66" t="inlineStr">
        <is>
          <t>893613164</t>
        </is>
      </c>
    </row>
    <row r="67">
      <c r="A67" t="inlineStr">
        <is>
          <t>No</t>
        </is>
      </c>
      <c r="B67" t="inlineStr">
        <is>
          <t>HN18 .G25 1998</t>
        </is>
      </c>
      <c r="C67" t="inlineStr">
        <is>
          <t>0                      HN 0018000G  25          1998</t>
        </is>
      </c>
      <c r="D67" t="inlineStr">
        <is>
          <t>Patas arriba : la escuela del mundo al revés / Eduardo Galeano ; con grabados de José Guadalupe Posada.</t>
        </is>
      </c>
      <c r="F67" t="inlineStr">
        <is>
          <t>No</t>
        </is>
      </c>
      <c r="G67" t="inlineStr">
        <is>
          <t>1</t>
        </is>
      </c>
      <c r="H67" t="inlineStr">
        <is>
          <t>No</t>
        </is>
      </c>
      <c r="I67" t="inlineStr">
        <is>
          <t>No</t>
        </is>
      </c>
      <c r="J67" t="inlineStr">
        <is>
          <t>0</t>
        </is>
      </c>
      <c r="K67" t="inlineStr">
        <is>
          <t>Galeano, Eduardo, 1940-2015.</t>
        </is>
      </c>
      <c r="L67" t="inlineStr">
        <is>
          <t>[México, D.F.] : Siglo XXI Editores, 1998.</t>
        </is>
      </c>
      <c r="M67" t="inlineStr">
        <is>
          <t>1998</t>
        </is>
      </c>
      <c r="N67" t="inlineStr">
        <is>
          <t>1a ed.</t>
        </is>
      </c>
      <c r="O67" t="inlineStr">
        <is>
          <t>spa</t>
        </is>
      </c>
      <c r="P67" t="inlineStr">
        <is>
          <t xml:space="preserve">sp </t>
        </is>
      </c>
      <c r="Q67" t="inlineStr">
        <is>
          <t>La Creación literaria</t>
        </is>
      </c>
      <c r="R67" t="inlineStr">
        <is>
          <t xml:space="preserve">HN </t>
        </is>
      </c>
      <c r="S67" t="n">
        <v>1</v>
      </c>
      <c r="T67" t="n">
        <v>1</v>
      </c>
      <c r="U67" t="inlineStr">
        <is>
          <t>2000-09-20</t>
        </is>
      </c>
      <c r="V67" t="inlineStr">
        <is>
          <t>2000-09-20</t>
        </is>
      </c>
      <c r="W67" t="inlineStr">
        <is>
          <t>2000-09-20</t>
        </is>
      </c>
      <c r="X67" t="inlineStr">
        <is>
          <t>2000-09-20</t>
        </is>
      </c>
      <c r="Y67" t="n">
        <v>114</v>
      </c>
      <c r="Z67" t="n">
        <v>91</v>
      </c>
      <c r="AA67" t="n">
        <v>209</v>
      </c>
      <c r="AB67" t="n">
        <v>2</v>
      </c>
      <c r="AC67" t="n">
        <v>2</v>
      </c>
      <c r="AD67" t="n">
        <v>3</v>
      </c>
      <c r="AE67" t="n">
        <v>7</v>
      </c>
      <c r="AF67" t="n">
        <v>0</v>
      </c>
      <c r="AG67" t="n">
        <v>1</v>
      </c>
      <c r="AH67" t="n">
        <v>1</v>
      </c>
      <c r="AI67" t="n">
        <v>3</v>
      </c>
      <c r="AJ67" t="n">
        <v>2</v>
      </c>
      <c r="AK67" t="n">
        <v>5</v>
      </c>
      <c r="AL67" t="n">
        <v>1</v>
      </c>
      <c r="AM67" t="n">
        <v>1</v>
      </c>
      <c r="AN67" t="n">
        <v>0</v>
      </c>
      <c r="AO67" t="n">
        <v>0</v>
      </c>
      <c r="AP67" t="inlineStr">
        <is>
          <t>No</t>
        </is>
      </c>
      <c r="AQ67" t="inlineStr">
        <is>
          <t>No</t>
        </is>
      </c>
      <c r="AS67">
        <f>HYPERLINK("https://creighton-primo.hosted.exlibrisgroup.com/primo-explore/search?tab=default_tab&amp;search_scope=EVERYTHING&amp;vid=01CRU&amp;lang=en_US&amp;offset=0&amp;query=any,contains,991003254039702656","Catalog Record")</f>
        <v/>
      </c>
      <c r="AT67">
        <f>HYPERLINK("http://www.worldcat.org/oclc/40432334","WorldCat Record")</f>
        <v/>
      </c>
      <c r="AU67" t="inlineStr">
        <is>
          <t>37219184:spa</t>
        </is>
      </c>
      <c r="AV67" t="inlineStr">
        <is>
          <t>40432334</t>
        </is>
      </c>
      <c r="AW67" t="inlineStr">
        <is>
          <t>991003254039702656</t>
        </is>
      </c>
      <c r="AX67" t="inlineStr">
        <is>
          <t>991003254039702656</t>
        </is>
      </c>
      <c r="AY67" t="inlineStr">
        <is>
          <t>2265057540002656</t>
        </is>
      </c>
      <c r="AZ67" t="inlineStr">
        <is>
          <t>BOOK</t>
        </is>
      </c>
      <c r="BB67" t="inlineStr">
        <is>
          <t>9789682321559</t>
        </is>
      </c>
      <c r="BC67" t="inlineStr">
        <is>
          <t>32285003763728</t>
        </is>
      </c>
      <c r="BD67" t="inlineStr">
        <is>
          <t>893868234</t>
        </is>
      </c>
    </row>
    <row r="68">
      <c r="A68" t="inlineStr">
        <is>
          <t>No</t>
        </is>
      </c>
      <c r="B68" t="inlineStr">
        <is>
          <t>HN18 .I54 1990</t>
        </is>
      </c>
      <c r="C68" t="inlineStr">
        <is>
          <t>0                      HN 0018000I  54          1990</t>
        </is>
      </c>
      <c r="D68" t="inlineStr">
        <is>
          <t>In the footsteps of Gandhi : conversations with spiritual social activists / Catherine Ingram.</t>
        </is>
      </c>
      <c r="F68" t="inlineStr">
        <is>
          <t>No</t>
        </is>
      </c>
      <c r="G68" t="inlineStr">
        <is>
          <t>1</t>
        </is>
      </c>
      <c r="H68" t="inlineStr">
        <is>
          <t>No</t>
        </is>
      </c>
      <c r="I68" t="inlineStr">
        <is>
          <t>No</t>
        </is>
      </c>
      <c r="J68" t="inlineStr">
        <is>
          <t>0</t>
        </is>
      </c>
      <c r="K68" t="inlineStr">
        <is>
          <t>Ingram, Catherine, 1952-</t>
        </is>
      </c>
      <c r="L68" t="inlineStr">
        <is>
          <t>Berkeley, Calif. : Parallax Press, c1990.</t>
        </is>
      </c>
      <c r="M68" t="inlineStr">
        <is>
          <t>1990</t>
        </is>
      </c>
      <c r="O68" t="inlineStr">
        <is>
          <t>eng</t>
        </is>
      </c>
      <c r="P68" t="inlineStr">
        <is>
          <t>cau</t>
        </is>
      </c>
      <c r="R68" t="inlineStr">
        <is>
          <t xml:space="preserve">HN </t>
        </is>
      </c>
      <c r="S68" t="n">
        <v>6</v>
      </c>
      <c r="T68" t="n">
        <v>6</v>
      </c>
      <c r="U68" t="inlineStr">
        <is>
          <t>2001-06-22</t>
        </is>
      </c>
      <c r="V68" t="inlineStr">
        <is>
          <t>2001-06-22</t>
        </is>
      </c>
      <c r="W68" t="inlineStr">
        <is>
          <t>1991-10-24</t>
        </is>
      </c>
      <c r="X68" t="inlineStr">
        <is>
          <t>1991-10-24</t>
        </is>
      </c>
      <c r="Y68" t="n">
        <v>391</v>
      </c>
      <c r="Z68" t="n">
        <v>354</v>
      </c>
      <c r="AA68" t="n">
        <v>439</v>
      </c>
      <c r="AB68" t="n">
        <v>3</v>
      </c>
      <c r="AC68" t="n">
        <v>3</v>
      </c>
      <c r="AD68" t="n">
        <v>19</v>
      </c>
      <c r="AE68" t="n">
        <v>20</v>
      </c>
      <c r="AF68" t="n">
        <v>7</v>
      </c>
      <c r="AG68" t="n">
        <v>7</v>
      </c>
      <c r="AH68" t="n">
        <v>3</v>
      </c>
      <c r="AI68" t="n">
        <v>3</v>
      </c>
      <c r="AJ68" t="n">
        <v>14</v>
      </c>
      <c r="AK68" t="n">
        <v>15</v>
      </c>
      <c r="AL68" t="n">
        <v>2</v>
      </c>
      <c r="AM68" t="n">
        <v>2</v>
      </c>
      <c r="AN68" t="n">
        <v>0</v>
      </c>
      <c r="AO68" t="n">
        <v>0</v>
      </c>
      <c r="AP68" t="inlineStr">
        <is>
          <t>No</t>
        </is>
      </c>
      <c r="AQ68" t="inlineStr">
        <is>
          <t>Yes</t>
        </is>
      </c>
      <c r="AR68">
        <f>HYPERLINK("http://catalog.hathitrust.org/Record/001943144","HathiTrust Record")</f>
        <v/>
      </c>
      <c r="AS68">
        <f>HYPERLINK("https://creighton-primo.hosted.exlibrisgroup.com/primo-explore/search?tab=default_tab&amp;search_scope=EVERYTHING&amp;vid=01CRU&amp;lang=en_US&amp;offset=0&amp;query=any,contains,991001556569702656","Catalog Record")</f>
        <v/>
      </c>
      <c r="AT68">
        <f>HYPERLINK("http://www.worldcat.org/oclc/20265168","WorldCat Record")</f>
        <v/>
      </c>
      <c r="AU68" t="inlineStr">
        <is>
          <t>821260:eng</t>
        </is>
      </c>
      <c r="AV68" t="inlineStr">
        <is>
          <t>20265168</t>
        </is>
      </c>
      <c r="AW68" t="inlineStr">
        <is>
          <t>991001556569702656</t>
        </is>
      </c>
      <c r="AX68" t="inlineStr">
        <is>
          <t>991001556569702656</t>
        </is>
      </c>
      <c r="AY68" t="inlineStr">
        <is>
          <t>2263529290002656</t>
        </is>
      </c>
      <c r="AZ68" t="inlineStr">
        <is>
          <t>BOOK</t>
        </is>
      </c>
      <c r="BB68" t="inlineStr">
        <is>
          <t>9780938077244</t>
        </is>
      </c>
      <c r="BC68" t="inlineStr">
        <is>
          <t>32285000727536</t>
        </is>
      </c>
      <c r="BD68" t="inlineStr">
        <is>
          <t>893715516</t>
        </is>
      </c>
    </row>
    <row r="69">
      <c r="A69" t="inlineStr">
        <is>
          <t>No</t>
        </is>
      </c>
      <c r="B69" t="inlineStr">
        <is>
          <t>HN18 .M3835 2004</t>
        </is>
      </c>
      <c r="C69" t="inlineStr">
        <is>
          <t>0                      HN 0018000M  3835        2004</t>
        </is>
      </c>
      <c r="D69" t="inlineStr">
        <is>
          <t>Communicating for change : strategies of social and political advocates / John P. McHale.</t>
        </is>
      </c>
      <c r="F69" t="inlineStr">
        <is>
          <t>No</t>
        </is>
      </c>
      <c r="G69" t="inlineStr">
        <is>
          <t>1</t>
        </is>
      </c>
      <c r="H69" t="inlineStr">
        <is>
          <t>No</t>
        </is>
      </c>
      <c r="I69" t="inlineStr">
        <is>
          <t>No</t>
        </is>
      </c>
      <c r="J69" t="inlineStr">
        <is>
          <t>0</t>
        </is>
      </c>
      <c r="K69" t="inlineStr">
        <is>
          <t>McHale, John P., 1966-</t>
        </is>
      </c>
      <c r="L69" t="inlineStr">
        <is>
          <t>Lanham, MD : Rowman &amp; Littlefield Publishers, c2004.</t>
        </is>
      </c>
      <c r="M69" t="inlineStr">
        <is>
          <t>2004</t>
        </is>
      </c>
      <c r="O69" t="inlineStr">
        <is>
          <t>eng</t>
        </is>
      </c>
      <c r="P69" t="inlineStr">
        <is>
          <t>mdu</t>
        </is>
      </c>
      <c r="Q69" t="inlineStr">
        <is>
          <t>Communication, media, and politics</t>
        </is>
      </c>
      <c r="R69" t="inlineStr">
        <is>
          <t xml:space="preserve">HN </t>
        </is>
      </c>
      <c r="S69" t="n">
        <v>1</v>
      </c>
      <c r="T69" t="n">
        <v>1</v>
      </c>
      <c r="U69" t="inlineStr">
        <is>
          <t>2005-05-04</t>
        </is>
      </c>
      <c r="V69" t="inlineStr">
        <is>
          <t>2005-05-04</t>
        </is>
      </c>
      <c r="W69" t="inlineStr">
        <is>
          <t>2005-05-04</t>
        </is>
      </c>
      <c r="X69" t="inlineStr">
        <is>
          <t>2005-05-04</t>
        </is>
      </c>
      <c r="Y69" t="n">
        <v>289</v>
      </c>
      <c r="Z69" t="n">
        <v>224</v>
      </c>
      <c r="AA69" t="n">
        <v>252</v>
      </c>
      <c r="AB69" t="n">
        <v>3</v>
      </c>
      <c r="AC69" t="n">
        <v>3</v>
      </c>
      <c r="AD69" t="n">
        <v>14</v>
      </c>
      <c r="AE69" t="n">
        <v>15</v>
      </c>
      <c r="AF69" t="n">
        <v>5</v>
      </c>
      <c r="AG69" t="n">
        <v>6</v>
      </c>
      <c r="AH69" t="n">
        <v>4</v>
      </c>
      <c r="AI69" t="n">
        <v>4</v>
      </c>
      <c r="AJ69" t="n">
        <v>5</v>
      </c>
      <c r="AK69" t="n">
        <v>6</v>
      </c>
      <c r="AL69" t="n">
        <v>2</v>
      </c>
      <c r="AM69" t="n">
        <v>2</v>
      </c>
      <c r="AN69" t="n">
        <v>0</v>
      </c>
      <c r="AO69" t="n">
        <v>0</v>
      </c>
      <c r="AP69" t="inlineStr">
        <is>
          <t>No</t>
        </is>
      </c>
      <c r="AQ69" t="inlineStr">
        <is>
          <t>No</t>
        </is>
      </c>
      <c r="AS69">
        <f>HYPERLINK("https://creighton-primo.hosted.exlibrisgroup.com/primo-explore/search?tab=default_tab&amp;search_scope=EVERYTHING&amp;vid=01CRU&amp;lang=en_US&amp;offset=0&amp;query=any,contains,991004520149702656","Catalog Record")</f>
        <v/>
      </c>
      <c r="AT69">
        <f>HYPERLINK("http://www.worldcat.org/oclc/53307708","WorldCat Record")</f>
        <v/>
      </c>
      <c r="AU69" t="inlineStr">
        <is>
          <t>740584:eng</t>
        </is>
      </c>
      <c r="AV69" t="inlineStr">
        <is>
          <t>53307708</t>
        </is>
      </c>
      <c r="AW69" t="inlineStr">
        <is>
          <t>991004520149702656</t>
        </is>
      </c>
      <c r="AX69" t="inlineStr">
        <is>
          <t>991004520149702656</t>
        </is>
      </c>
      <c r="AY69" t="inlineStr">
        <is>
          <t>2261533470002656</t>
        </is>
      </c>
      <c r="AZ69" t="inlineStr">
        <is>
          <t>BOOK</t>
        </is>
      </c>
      <c r="BB69" t="inlineStr">
        <is>
          <t>9780742529724</t>
        </is>
      </c>
      <c r="BC69" t="inlineStr">
        <is>
          <t>32285005035216</t>
        </is>
      </c>
      <c r="BD69" t="inlineStr">
        <is>
          <t>893687826</t>
        </is>
      </c>
    </row>
    <row r="70">
      <c r="A70" t="inlineStr">
        <is>
          <t>No</t>
        </is>
      </c>
      <c r="B70" t="inlineStr">
        <is>
          <t>HN18 .M3836 1984</t>
        </is>
      </c>
      <c r="C70" t="inlineStr">
        <is>
          <t>0                      HN 0018000M  3836        1984</t>
        </is>
      </c>
      <c r="D70" t="inlineStr">
        <is>
          <t>Participation, associations, development, and change / Albert Meister ; edited and translated by Jack C. Ross.</t>
        </is>
      </c>
      <c r="F70" t="inlineStr">
        <is>
          <t>No</t>
        </is>
      </c>
      <c r="G70" t="inlineStr">
        <is>
          <t>1</t>
        </is>
      </c>
      <c r="H70" t="inlineStr">
        <is>
          <t>No</t>
        </is>
      </c>
      <c r="I70" t="inlineStr">
        <is>
          <t>No</t>
        </is>
      </c>
      <c r="J70" t="inlineStr">
        <is>
          <t>0</t>
        </is>
      </c>
      <c r="K70" t="inlineStr">
        <is>
          <t>Meister, Albert.</t>
        </is>
      </c>
      <c r="L70" t="inlineStr">
        <is>
          <t>New Brunswick, N.J. : Transaction Books, c1984.</t>
        </is>
      </c>
      <c r="M70" t="inlineStr">
        <is>
          <t>1984</t>
        </is>
      </c>
      <c r="O70" t="inlineStr">
        <is>
          <t>eng</t>
        </is>
      </c>
      <c r="P70" t="inlineStr">
        <is>
          <t>nju</t>
        </is>
      </c>
      <c r="R70" t="inlineStr">
        <is>
          <t xml:space="preserve">HN </t>
        </is>
      </c>
      <c r="S70" t="n">
        <v>1</v>
      </c>
      <c r="T70" t="n">
        <v>1</v>
      </c>
      <c r="U70" t="inlineStr">
        <is>
          <t>2010-05-27</t>
        </is>
      </c>
      <c r="V70" t="inlineStr">
        <is>
          <t>2010-05-27</t>
        </is>
      </c>
      <c r="W70" t="inlineStr">
        <is>
          <t>1992-09-24</t>
        </is>
      </c>
      <c r="X70" t="inlineStr">
        <is>
          <t>1992-09-24</t>
        </is>
      </c>
      <c r="Y70" t="n">
        <v>255</v>
      </c>
      <c r="Z70" t="n">
        <v>212</v>
      </c>
      <c r="AA70" t="n">
        <v>218</v>
      </c>
      <c r="AB70" t="n">
        <v>4</v>
      </c>
      <c r="AC70" t="n">
        <v>4</v>
      </c>
      <c r="AD70" t="n">
        <v>8</v>
      </c>
      <c r="AE70" t="n">
        <v>8</v>
      </c>
      <c r="AF70" t="n">
        <v>0</v>
      </c>
      <c r="AG70" t="n">
        <v>0</v>
      </c>
      <c r="AH70" t="n">
        <v>1</v>
      </c>
      <c r="AI70" t="n">
        <v>1</v>
      </c>
      <c r="AJ70" t="n">
        <v>4</v>
      </c>
      <c r="AK70" t="n">
        <v>4</v>
      </c>
      <c r="AL70" t="n">
        <v>3</v>
      </c>
      <c r="AM70" t="n">
        <v>3</v>
      </c>
      <c r="AN70" t="n">
        <v>0</v>
      </c>
      <c r="AO70" t="n">
        <v>0</v>
      </c>
      <c r="AP70" t="inlineStr">
        <is>
          <t>No</t>
        </is>
      </c>
      <c r="AQ70" t="inlineStr">
        <is>
          <t>Yes</t>
        </is>
      </c>
      <c r="AR70">
        <f>HYPERLINK("http://catalog.hathitrust.org/Record/006230742","HathiTrust Record")</f>
        <v/>
      </c>
      <c r="AS70">
        <f>HYPERLINK("https://creighton-primo.hosted.exlibrisgroup.com/primo-explore/search?tab=default_tab&amp;search_scope=EVERYTHING&amp;vid=01CRU&amp;lang=en_US&amp;offset=0&amp;query=any,contains,991005036219702656","Catalog Record")</f>
        <v/>
      </c>
      <c r="AT70">
        <f>HYPERLINK("http://www.worldcat.org/oclc/6761705","WorldCat Record")</f>
        <v/>
      </c>
      <c r="AU70" t="inlineStr">
        <is>
          <t>4073069:eng</t>
        </is>
      </c>
      <c r="AV70" t="inlineStr">
        <is>
          <t>6761705</t>
        </is>
      </c>
      <c r="AW70" t="inlineStr">
        <is>
          <t>991005036219702656</t>
        </is>
      </c>
      <c r="AX70" t="inlineStr">
        <is>
          <t>991005036219702656</t>
        </is>
      </c>
      <c r="AY70" t="inlineStr">
        <is>
          <t>2261235930002656</t>
        </is>
      </c>
      <c r="AZ70" t="inlineStr">
        <is>
          <t>BOOK</t>
        </is>
      </c>
      <c r="BB70" t="inlineStr">
        <is>
          <t>9780878554232</t>
        </is>
      </c>
      <c r="BC70" t="inlineStr">
        <is>
          <t>32285001269439</t>
        </is>
      </c>
      <c r="BD70" t="inlineStr">
        <is>
          <t>893430743</t>
        </is>
      </c>
    </row>
    <row r="71">
      <c r="A71" t="inlineStr">
        <is>
          <t>No</t>
        </is>
      </c>
      <c r="B71" t="inlineStr">
        <is>
          <t>HN18 .M567 1981</t>
        </is>
      </c>
      <c r="C71" t="inlineStr">
        <is>
          <t>0                      HN 0018000M  567         1981</t>
        </is>
      </c>
      <c r="D71" t="inlineStr">
        <is>
          <t>Peacemaking and the consultant's role / by C.R. Mitchell.</t>
        </is>
      </c>
      <c r="F71" t="inlineStr">
        <is>
          <t>No</t>
        </is>
      </c>
      <c r="G71" t="inlineStr">
        <is>
          <t>1</t>
        </is>
      </c>
      <c r="H71" t="inlineStr">
        <is>
          <t>No</t>
        </is>
      </c>
      <c r="I71" t="inlineStr">
        <is>
          <t>No</t>
        </is>
      </c>
      <c r="J71" t="inlineStr">
        <is>
          <t>0</t>
        </is>
      </c>
      <c r="K71" t="inlineStr">
        <is>
          <t>Mitchell, C. R. (Christopher Roger), 1934-</t>
        </is>
      </c>
      <c r="L71" t="inlineStr">
        <is>
          <t>New York : Nichols, c1981.</t>
        </is>
      </c>
      <c r="M71" t="inlineStr">
        <is>
          <t>1981</t>
        </is>
      </c>
      <c r="O71" t="inlineStr">
        <is>
          <t>eng</t>
        </is>
      </c>
      <c r="P71" t="inlineStr">
        <is>
          <t>nyu</t>
        </is>
      </c>
      <c r="R71" t="inlineStr">
        <is>
          <t xml:space="preserve">HN </t>
        </is>
      </c>
      <c r="S71" t="n">
        <v>2</v>
      </c>
      <c r="T71" t="n">
        <v>2</v>
      </c>
      <c r="U71" t="inlineStr">
        <is>
          <t>1998-09-30</t>
        </is>
      </c>
      <c r="V71" t="inlineStr">
        <is>
          <t>1998-09-30</t>
        </is>
      </c>
      <c r="W71" t="inlineStr">
        <is>
          <t>1992-09-24</t>
        </is>
      </c>
      <c r="X71" t="inlineStr">
        <is>
          <t>1992-09-24</t>
        </is>
      </c>
      <c r="Y71" t="n">
        <v>146</v>
      </c>
      <c r="Z71" t="n">
        <v>136</v>
      </c>
      <c r="AA71" t="n">
        <v>167</v>
      </c>
      <c r="AB71" t="n">
        <v>3</v>
      </c>
      <c r="AC71" t="n">
        <v>3</v>
      </c>
      <c r="AD71" t="n">
        <v>3</v>
      </c>
      <c r="AE71" t="n">
        <v>5</v>
      </c>
      <c r="AF71" t="n">
        <v>0</v>
      </c>
      <c r="AG71" t="n">
        <v>1</v>
      </c>
      <c r="AH71" t="n">
        <v>0</v>
      </c>
      <c r="AI71" t="n">
        <v>0</v>
      </c>
      <c r="AJ71" t="n">
        <v>1</v>
      </c>
      <c r="AK71" t="n">
        <v>2</v>
      </c>
      <c r="AL71" t="n">
        <v>2</v>
      </c>
      <c r="AM71" t="n">
        <v>2</v>
      </c>
      <c r="AN71" t="n">
        <v>0</v>
      </c>
      <c r="AO71" t="n">
        <v>0</v>
      </c>
      <c r="AP71" t="inlineStr">
        <is>
          <t>No</t>
        </is>
      </c>
      <c r="AQ71" t="inlineStr">
        <is>
          <t>Yes</t>
        </is>
      </c>
      <c r="AR71">
        <f>HYPERLINK("http://catalog.hathitrust.org/Record/000181002","HathiTrust Record")</f>
        <v/>
      </c>
      <c r="AS71">
        <f>HYPERLINK("https://creighton-primo.hosted.exlibrisgroup.com/primo-explore/search?tab=default_tab&amp;search_scope=EVERYTHING&amp;vid=01CRU&amp;lang=en_US&amp;offset=0&amp;query=any,contains,991005102899702656","Catalog Record")</f>
        <v/>
      </c>
      <c r="AT71">
        <f>HYPERLINK("http://www.worldcat.org/oclc/7307086","WorldCat Record")</f>
        <v/>
      </c>
      <c r="AU71" t="inlineStr">
        <is>
          <t>584145:eng</t>
        </is>
      </c>
      <c r="AV71" t="inlineStr">
        <is>
          <t>7307086</t>
        </is>
      </c>
      <c r="AW71" t="inlineStr">
        <is>
          <t>991005102899702656</t>
        </is>
      </c>
      <c r="AX71" t="inlineStr">
        <is>
          <t>991005102899702656</t>
        </is>
      </c>
      <c r="AY71" t="inlineStr">
        <is>
          <t>2259584110002656</t>
        </is>
      </c>
      <c r="AZ71" t="inlineStr">
        <is>
          <t>BOOK</t>
        </is>
      </c>
      <c r="BB71" t="inlineStr">
        <is>
          <t>9780893971045</t>
        </is>
      </c>
      <c r="BC71" t="inlineStr">
        <is>
          <t>32285001269447</t>
        </is>
      </c>
      <c r="BD71" t="inlineStr">
        <is>
          <t>893254461</t>
        </is>
      </c>
    </row>
    <row r="72">
      <c r="A72" t="inlineStr">
        <is>
          <t>No</t>
        </is>
      </c>
      <c r="B72" t="inlineStr">
        <is>
          <t>HN18 .R325 1998</t>
        </is>
      </c>
      <c r="C72" t="inlineStr">
        <is>
          <t>0                      HN 0018000R  325         1998</t>
        </is>
      </c>
      <c r="D72" t="inlineStr">
        <is>
          <t>Race, class, gender, and sexuality : the big questions / edited by Naomi Zack, Laurie Shrage, Cripsin Sartwell.</t>
        </is>
      </c>
      <c r="F72" t="inlineStr">
        <is>
          <t>No</t>
        </is>
      </c>
      <c r="G72" t="inlineStr">
        <is>
          <t>1</t>
        </is>
      </c>
      <c r="H72" t="inlineStr">
        <is>
          <t>No</t>
        </is>
      </c>
      <c r="I72" t="inlineStr">
        <is>
          <t>No</t>
        </is>
      </c>
      <c r="J72" t="inlineStr">
        <is>
          <t>0</t>
        </is>
      </c>
      <c r="L72" t="inlineStr">
        <is>
          <t>Malden, Mass. : Blackwell Publishers, 1998.</t>
        </is>
      </c>
      <c r="M72" t="inlineStr">
        <is>
          <t>1998</t>
        </is>
      </c>
      <c r="O72" t="inlineStr">
        <is>
          <t>eng</t>
        </is>
      </c>
      <c r="P72" t="inlineStr">
        <is>
          <t>mau</t>
        </is>
      </c>
      <c r="Q72" t="inlineStr">
        <is>
          <t>Philosophy, the big questions</t>
        </is>
      </c>
      <c r="R72" t="inlineStr">
        <is>
          <t xml:space="preserve">HN </t>
        </is>
      </c>
      <c r="S72" t="n">
        <v>2</v>
      </c>
      <c r="T72" t="n">
        <v>2</v>
      </c>
      <c r="U72" t="inlineStr">
        <is>
          <t>2008-04-13</t>
        </is>
      </c>
      <c r="V72" t="inlineStr">
        <is>
          <t>2008-04-13</t>
        </is>
      </c>
      <c r="W72" t="inlineStr">
        <is>
          <t>2002-11-12</t>
        </is>
      </c>
      <c r="X72" t="inlineStr">
        <is>
          <t>2002-11-12</t>
        </is>
      </c>
      <c r="Y72" t="n">
        <v>400</v>
      </c>
      <c r="Z72" t="n">
        <v>247</v>
      </c>
      <c r="AA72" t="n">
        <v>247</v>
      </c>
      <c r="AB72" t="n">
        <v>2</v>
      </c>
      <c r="AC72" t="n">
        <v>2</v>
      </c>
      <c r="AD72" t="n">
        <v>14</v>
      </c>
      <c r="AE72" t="n">
        <v>14</v>
      </c>
      <c r="AF72" t="n">
        <v>6</v>
      </c>
      <c r="AG72" t="n">
        <v>6</v>
      </c>
      <c r="AH72" t="n">
        <v>5</v>
      </c>
      <c r="AI72" t="n">
        <v>5</v>
      </c>
      <c r="AJ72" t="n">
        <v>8</v>
      </c>
      <c r="AK72" t="n">
        <v>8</v>
      </c>
      <c r="AL72" t="n">
        <v>1</v>
      </c>
      <c r="AM72" t="n">
        <v>1</v>
      </c>
      <c r="AN72" t="n">
        <v>0</v>
      </c>
      <c r="AO72" t="n">
        <v>0</v>
      </c>
      <c r="AP72" t="inlineStr">
        <is>
          <t>No</t>
        </is>
      </c>
      <c r="AQ72" t="inlineStr">
        <is>
          <t>No</t>
        </is>
      </c>
      <c r="AS72">
        <f>HYPERLINK("https://creighton-primo.hosted.exlibrisgroup.com/primo-explore/search?tab=default_tab&amp;search_scope=EVERYTHING&amp;vid=01CRU&amp;lang=en_US&amp;offset=0&amp;query=any,contains,991003914249702656","Catalog Record")</f>
        <v/>
      </c>
      <c r="AT72">
        <f>HYPERLINK("http://www.worldcat.org/oclc/38061664","WorldCat Record")</f>
        <v/>
      </c>
      <c r="AU72" t="inlineStr">
        <is>
          <t>502788277:eng</t>
        </is>
      </c>
      <c r="AV72" t="inlineStr">
        <is>
          <t>38061664</t>
        </is>
      </c>
      <c r="AW72" t="inlineStr">
        <is>
          <t>991003914249702656</t>
        </is>
      </c>
      <c r="AX72" t="inlineStr">
        <is>
          <t>991003914249702656</t>
        </is>
      </c>
      <c r="AY72" t="inlineStr">
        <is>
          <t>2268366280002656</t>
        </is>
      </c>
      <c r="AZ72" t="inlineStr">
        <is>
          <t>BOOK</t>
        </is>
      </c>
      <c r="BB72" t="inlineStr">
        <is>
          <t>9780631208747</t>
        </is>
      </c>
      <c r="BC72" t="inlineStr">
        <is>
          <t>32285004662994</t>
        </is>
      </c>
      <c r="BD72" t="inlineStr">
        <is>
          <t>893699582</t>
        </is>
      </c>
    </row>
    <row r="73">
      <c r="A73" t="inlineStr">
        <is>
          <t>No</t>
        </is>
      </c>
      <c r="B73" t="inlineStr">
        <is>
          <t>HN18 .R427 2000</t>
        </is>
      </c>
      <c r="C73" t="inlineStr">
        <is>
          <t>0                      HN 0018000R  427         2000</t>
        </is>
      </c>
      <c r="D73" t="inlineStr">
        <is>
          <t>Rethinking social policy / edited by Gail Lewis, Sharon Gewirtz, and John Clarke.</t>
        </is>
      </c>
      <c r="F73" t="inlineStr">
        <is>
          <t>No</t>
        </is>
      </c>
      <c r="G73" t="inlineStr">
        <is>
          <t>1</t>
        </is>
      </c>
      <c r="H73" t="inlineStr">
        <is>
          <t>No</t>
        </is>
      </c>
      <c r="I73" t="inlineStr">
        <is>
          <t>No</t>
        </is>
      </c>
      <c r="J73" t="inlineStr">
        <is>
          <t>0</t>
        </is>
      </c>
      <c r="L73" t="inlineStr">
        <is>
          <t>London ; Thousand Oaks, Calif. : Open University in association with SAGE Publications, 2000.</t>
        </is>
      </c>
      <c r="M73" t="inlineStr">
        <is>
          <t>2000</t>
        </is>
      </c>
      <c r="O73" t="inlineStr">
        <is>
          <t>eng</t>
        </is>
      </c>
      <c r="P73" t="inlineStr">
        <is>
          <t>enk</t>
        </is>
      </c>
      <c r="R73" t="inlineStr">
        <is>
          <t xml:space="preserve">HN </t>
        </is>
      </c>
      <c r="S73" t="n">
        <v>1</v>
      </c>
      <c r="T73" t="n">
        <v>1</v>
      </c>
      <c r="U73" t="inlineStr">
        <is>
          <t>2003-04-02</t>
        </is>
      </c>
      <c r="V73" t="inlineStr">
        <is>
          <t>2003-04-02</t>
        </is>
      </c>
      <c r="W73" t="inlineStr">
        <is>
          <t>2003-04-02</t>
        </is>
      </c>
      <c r="X73" t="inlineStr">
        <is>
          <t>2003-04-02</t>
        </is>
      </c>
      <c r="Y73" t="n">
        <v>289</v>
      </c>
      <c r="Z73" t="n">
        <v>135</v>
      </c>
      <c r="AA73" t="n">
        <v>444</v>
      </c>
      <c r="AB73" t="n">
        <v>2</v>
      </c>
      <c r="AC73" t="n">
        <v>5</v>
      </c>
      <c r="AD73" t="n">
        <v>7</v>
      </c>
      <c r="AE73" t="n">
        <v>14</v>
      </c>
      <c r="AF73" t="n">
        <v>2</v>
      </c>
      <c r="AG73" t="n">
        <v>3</v>
      </c>
      <c r="AH73" t="n">
        <v>3</v>
      </c>
      <c r="AI73" t="n">
        <v>5</v>
      </c>
      <c r="AJ73" t="n">
        <v>2</v>
      </c>
      <c r="AK73" t="n">
        <v>5</v>
      </c>
      <c r="AL73" t="n">
        <v>1</v>
      </c>
      <c r="AM73" t="n">
        <v>4</v>
      </c>
      <c r="AN73" t="n">
        <v>0</v>
      </c>
      <c r="AO73" t="n">
        <v>0</v>
      </c>
      <c r="AP73" t="inlineStr">
        <is>
          <t>No</t>
        </is>
      </c>
      <c r="AQ73" t="inlineStr">
        <is>
          <t>No</t>
        </is>
      </c>
      <c r="AS73">
        <f>HYPERLINK("https://creighton-primo.hosted.exlibrisgroup.com/primo-explore/search?tab=default_tab&amp;search_scope=EVERYTHING&amp;vid=01CRU&amp;lang=en_US&amp;offset=0&amp;query=any,contains,991004007619702656","Catalog Record")</f>
        <v/>
      </c>
      <c r="AT73">
        <f>HYPERLINK("http://www.worldcat.org/oclc/43419389","WorldCat Record")</f>
        <v/>
      </c>
      <c r="AU73" t="inlineStr">
        <is>
          <t>1098189733:eng</t>
        </is>
      </c>
      <c r="AV73" t="inlineStr">
        <is>
          <t>43419389</t>
        </is>
      </c>
      <c r="AW73" t="inlineStr">
        <is>
          <t>991004007619702656</t>
        </is>
      </c>
      <c r="AX73" t="inlineStr">
        <is>
          <t>991004007619702656</t>
        </is>
      </c>
      <c r="AY73" t="inlineStr">
        <is>
          <t>2262920380002656</t>
        </is>
      </c>
      <c r="AZ73" t="inlineStr">
        <is>
          <t>BOOK</t>
        </is>
      </c>
      <c r="BB73" t="inlineStr">
        <is>
          <t>9780761967545</t>
        </is>
      </c>
      <c r="BC73" t="inlineStr">
        <is>
          <t>32285004689096</t>
        </is>
      </c>
      <c r="BD73" t="inlineStr">
        <is>
          <t>893881933</t>
        </is>
      </c>
    </row>
    <row r="74">
      <c r="A74" t="inlineStr">
        <is>
          <t>No</t>
        </is>
      </c>
      <c r="B74" t="inlineStr">
        <is>
          <t>HN18 .R429 2008</t>
        </is>
      </c>
      <c r="C74" t="inlineStr">
        <is>
          <t>0                      HN 0018000R  429         2008</t>
        </is>
      </c>
      <c r="D74" t="inlineStr">
        <is>
          <t>Democracies to come : rhetorical action, neoliberalism, and communities of resistance / Rachel Riedner and Kevin Mahoney ; foreword by Susan Wells.</t>
        </is>
      </c>
      <c r="F74" t="inlineStr">
        <is>
          <t>No</t>
        </is>
      </c>
      <c r="G74" t="inlineStr">
        <is>
          <t>1</t>
        </is>
      </c>
      <c r="H74" t="inlineStr">
        <is>
          <t>No</t>
        </is>
      </c>
      <c r="I74" t="inlineStr">
        <is>
          <t>No</t>
        </is>
      </c>
      <c r="J74" t="inlineStr">
        <is>
          <t>0</t>
        </is>
      </c>
      <c r="K74" t="inlineStr">
        <is>
          <t>Riedner, Rachel, 1966-</t>
        </is>
      </c>
      <c r="L74" t="inlineStr">
        <is>
          <t>Lanham, MD : Lexington Books, c2008.</t>
        </is>
      </c>
      <c r="M74" t="inlineStr">
        <is>
          <t>2008</t>
        </is>
      </c>
      <c r="O74" t="inlineStr">
        <is>
          <t>eng</t>
        </is>
      </c>
      <c r="P74" t="inlineStr">
        <is>
          <t>mdu</t>
        </is>
      </c>
      <c r="Q74" t="inlineStr">
        <is>
          <t>Cultural studies/pedagogy/activism</t>
        </is>
      </c>
      <c r="R74" t="inlineStr">
        <is>
          <t xml:space="preserve">HN </t>
        </is>
      </c>
      <c r="S74" t="n">
        <v>1</v>
      </c>
      <c r="T74" t="n">
        <v>1</v>
      </c>
      <c r="U74" t="inlineStr">
        <is>
          <t>2010-03-30</t>
        </is>
      </c>
      <c r="V74" t="inlineStr">
        <is>
          <t>2010-03-30</t>
        </is>
      </c>
      <c r="W74" t="inlineStr">
        <is>
          <t>2010-03-30</t>
        </is>
      </c>
      <c r="X74" t="inlineStr">
        <is>
          <t>2010-03-30</t>
        </is>
      </c>
      <c r="Y74" t="n">
        <v>119</v>
      </c>
      <c r="Z74" t="n">
        <v>92</v>
      </c>
      <c r="AA74" t="n">
        <v>92</v>
      </c>
      <c r="AB74" t="n">
        <v>2</v>
      </c>
      <c r="AC74" t="n">
        <v>2</v>
      </c>
      <c r="AD74" t="n">
        <v>5</v>
      </c>
      <c r="AE74" t="n">
        <v>5</v>
      </c>
      <c r="AF74" t="n">
        <v>1</v>
      </c>
      <c r="AG74" t="n">
        <v>1</v>
      </c>
      <c r="AH74" t="n">
        <v>0</v>
      </c>
      <c r="AI74" t="n">
        <v>0</v>
      </c>
      <c r="AJ74" t="n">
        <v>4</v>
      </c>
      <c r="AK74" t="n">
        <v>4</v>
      </c>
      <c r="AL74" t="n">
        <v>1</v>
      </c>
      <c r="AM74" t="n">
        <v>1</v>
      </c>
      <c r="AN74" t="n">
        <v>0</v>
      </c>
      <c r="AO74" t="n">
        <v>0</v>
      </c>
      <c r="AP74" t="inlineStr">
        <is>
          <t>No</t>
        </is>
      </c>
      <c r="AQ74" t="inlineStr">
        <is>
          <t>No</t>
        </is>
      </c>
      <c r="AS74">
        <f>HYPERLINK("https://creighton-primo.hosted.exlibrisgroup.com/primo-explore/search?tab=default_tab&amp;search_scope=EVERYTHING&amp;vid=01CRU&amp;lang=en_US&amp;offset=0&amp;query=any,contains,991005368099702656","Catalog Record")</f>
        <v/>
      </c>
      <c r="AT74">
        <f>HYPERLINK("http://www.worldcat.org/oclc/191846933","WorldCat Record")</f>
        <v/>
      </c>
      <c r="AU74" t="inlineStr">
        <is>
          <t>369385359:eng</t>
        </is>
      </c>
      <c r="AV74" t="inlineStr">
        <is>
          <t>191846933</t>
        </is>
      </c>
      <c r="AW74" t="inlineStr">
        <is>
          <t>991005368099702656</t>
        </is>
      </c>
      <c r="AX74" t="inlineStr">
        <is>
          <t>991005368099702656</t>
        </is>
      </c>
      <c r="AY74" t="inlineStr">
        <is>
          <t>2272651120002656</t>
        </is>
      </c>
      <c r="AZ74" t="inlineStr">
        <is>
          <t>BOOK</t>
        </is>
      </c>
      <c r="BB74" t="inlineStr">
        <is>
          <t>9780739111048</t>
        </is>
      </c>
      <c r="BC74" t="inlineStr">
        <is>
          <t>32285005560767</t>
        </is>
      </c>
      <c r="BD74" t="inlineStr">
        <is>
          <t>893437674</t>
        </is>
      </c>
    </row>
    <row r="75">
      <c r="A75" t="inlineStr">
        <is>
          <t>No</t>
        </is>
      </c>
      <c r="B75" t="inlineStr">
        <is>
          <t>HN18 .S625 2001</t>
        </is>
      </c>
      <c r="C75" t="inlineStr">
        <is>
          <t>0                      HN 0018000S  625         2001</t>
        </is>
      </c>
      <c r="D75" t="inlineStr">
        <is>
          <t>Social policy : a conceptual and theoretical introduction / edited by Michael Lavalette and Alan Pratt.</t>
        </is>
      </c>
      <c r="F75" t="inlineStr">
        <is>
          <t>No</t>
        </is>
      </c>
      <c r="G75" t="inlineStr">
        <is>
          <t>1</t>
        </is>
      </c>
      <c r="H75" t="inlineStr">
        <is>
          <t>No</t>
        </is>
      </c>
      <c r="I75" t="inlineStr">
        <is>
          <t>No</t>
        </is>
      </c>
      <c r="J75" t="inlineStr">
        <is>
          <t>0</t>
        </is>
      </c>
      <c r="L75" t="inlineStr">
        <is>
          <t>London ; Thousand Oaks, Calif. : SAGE Publications, 2001.</t>
        </is>
      </c>
      <c r="M75" t="inlineStr">
        <is>
          <t>2001</t>
        </is>
      </c>
      <c r="N75" t="inlineStr">
        <is>
          <t>2nd ed.</t>
        </is>
      </c>
      <c r="O75" t="inlineStr">
        <is>
          <t>eng</t>
        </is>
      </c>
      <c r="P75" t="inlineStr">
        <is>
          <t>enk</t>
        </is>
      </c>
      <c r="R75" t="inlineStr">
        <is>
          <t xml:space="preserve">HN </t>
        </is>
      </c>
      <c r="S75" t="n">
        <v>2</v>
      </c>
      <c r="T75" t="n">
        <v>2</v>
      </c>
      <c r="U75" t="inlineStr">
        <is>
          <t>2003-03-20</t>
        </is>
      </c>
      <c r="V75" t="inlineStr">
        <is>
          <t>2003-03-20</t>
        </is>
      </c>
      <c r="W75" t="inlineStr">
        <is>
          <t>2003-03-20</t>
        </is>
      </c>
      <c r="X75" t="inlineStr">
        <is>
          <t>2003-03-20</t>
        </is>
      </c>
      <c r="Y75" t="n">
        <v>166</v>
      </c>
      <c r="Z75" t="n">
        <v>44</v>
      </c>
      <c r="AA75" t="n">
        <v>117</v>
      </c>
      <c r="AB75" t="n">
        <v>1</v>
      </c>
      <c r="AC75" t="n">
        <v>1</v>
      </c>
      <c r="AD75" t="n">
        <v>3</v>
      </c>
      <c r="AE75" t="n">
        <v>7</v>
      </c>
      <c r="AF75" t="n">
        <v>1</v>
      </c>
      <c r="AG75" t="n">
        <v>2</v>
      </c>
      <c r="AH75" t="n">
        <v>1</v>
      </c>
      <c r="AI75" t="n">
        <v>3</v>
      </c>
      <c r="AJ75" t="n">
        <v>3</v>
      </c>
      <c r="AK75" t="n">
        <v>5</v>
      </c>
      <c r="AL75" t="n">
        <v>0</v>
      </c>
      <c r="AM75" t="n">
        <v>0</v>
      </c>
      <c r="AN75" t="n">
        <v>0</v>
      </c>
      <c r="AO75" t="n">
        <v>0</v>
      </c>
      <c r="AP75" t="inlineStr">
        <is>
          <t>No</t>
        </is>
      </c>
      <c r="AQ75" t="inlineStr">
        <is>
          <t>Yes</t>
        </is>
      </c>
      <c r="AR75">
        <f>HYPERLINK("http://catalog.hathitrust.org/Record/011237598","HathiTrust Record")</f>
        <v/>
      </c>
      <c r="AS75">
        <f>HYPERLINK("https://creighton-primo.hosted.exlibrisgroup.com/primo-explore/search?tab=default_tab&amp;search_scope=EVERYTHING&amp;vid=01CRU&amp;lang=en_US&amp;offset=0&amp;query=any,contains,991004007589702656","Catalog Record")</f>
        <v/>
      </c>
      <c r="AT75">
        <f>HYPERLINK("http://www.worldcat.org/oclc/48516197","WorldCat Record")</f>
        <v/>
      </c>
      <c r="AU75" t="inlineStr">
        <is>
          <t>837149826:eng</t>
        </is>
      </c>
      <c r="AV75" t="inlineStr">
        <is>
          <t>48516197</t>
        </is>
      </c>
      <c r="AW75" t="inlineStr">
        <is>
          <t>991004007589702656</t>
        </is>
      </c>
      <c r="AX75" t="inlineStr">
        <is>
          <t>991004007589702656</t>
        </is>
      </c>
      <c r="AY75" t="inlineStr">
        <is>
          <t>2255770930002656</t>
        </is>
      </c>
      <c r="AZ75" t="inlineStr">
        <is>
          <t>BOOK</t>
        </is>
      </c>
      <c r="BB75" t="inlineStr">
        <is>
          <t>9780761969525</t>
        </is>
      </c>
      <c r="BC75" t="inlineStr">
        <is>
          <t>32285004685847</t>
        </is>
      </c>
      <c r="BD75" t="inlineStr">
        <is>
          <t>893624233</t>
        </is>
      </c>
    </row>
    <row r="76">
      <c r="A76" t="inlineStr">
        <is>
          <t>No</t>
        </is>
      </c>
      <c r="B76" t="inlineStr">
        <is>
          <t>HN18 .S856 1981</t>
        </is>
      </c>
      <c r="C76" t="inlineStr">
        <is>
          <t>0                      HN 0018000S  856         1981</t>
        </is>
      </c>
      <c r="D76" t="inlineStr">
        <is>
          <t>Helping ourselves : local solutions to global problems / Bruce Stokes.</t>
        </is>
      </c>
      <c r="F76" t="inlineStr">
        <is>
          <t>No</t>
        </is>
      </c>
      <c r="G76" t="inlineStr">
        <is>
          <t>1</t>
        </is>
      </c>
      <c r="H76" t="inlineStr">
        <is>
          <t>No</t>
        </is>
      </c>
      <c r="I76" t="inlineStr">
        <is>
          <t>No</t>
        </is>
      </c>
      <c r="J76" t="inlineStr">
        <is>
          <t>0</t>
        </is>
      </c>
      <c r="K76" t="inlineStr">
        <is>
          <t>Stokes, Bruce.</t>
        </is>
      </c>
      <c r="L76" t="inlineStr">
        <is>
          <t>New York : Norton, c1981.</t>
        </is>
      </c>
      <c r="M76" t="inlineStr">
        <is>
          <t>1981</t>
        </is>
      </c>
      <c r="N76" t="inlineStr">
        <is>
          <t>1st ed.</t>
        </is>
      </c>
      <c r="O76" t="inlineStr">
        <is>
          <t>eng</t>
        </is>
      </c>
      <c r="P76" t="inlineStr">
        <is>
          <t>nyu</t>
        </is>
      </c>
      <c r="R76" t="inlineStr">
        <is>
          <t xml:space="preserve">HN </t>
        </is>
      </c>
      <c r="S76" t="n">
        <v>1</v>
      </c>
      <c r="T76" t="n">
        <v>1</v>
      </c>
      <c r="U76" t="inlineStr">
        <is>
          <t>2004-04-14</t>
        </is>
      </c>
      <c r="V76" t="inlineStr">
        <is>
          <t>2004-04-14</t>
        </is>
      </c>
      <c r="W76" t="inlineStr">
        <is>
          <t>1992-09-24</t>
        </is>
      </c>
      <c r="X76" t="inlineStr">
        <is>
          <t>1992-09-24</t>
        </is>
      </c>
      <c r="Y76" t="n">
        <v>574</v>
      </c>
      <c r="Z76" t="n">
        <v>478</v>
      </c>
      <c r="AA76" t="n">
        <v>484</v>
      </c>
      <c r="AB76" t="n">
        <v>4</v>
      </c>
      <c r="AC76" t="n">
        <v>4</v>
      </c>
      <c r="AD76" t="n">
        <v>18</v>
      </c>
      <c r="AE76" t="n">
        <v>18</v>
      </c>
      <c r="AF76" t="n">
        <v>7</v>
      </c>
      <c r="AG76" t="n">
        <v>7</v>
      </c>
      <c r="AH76" t="n">
        <v>5</v>
      </c>
      <c r="AI76" t="n">
        <v>5</v>
      </c>
      <c r="AJ76" t="n">
        <v>11</v>
      </c>
      <c r="AK76" t="n">
        <v>11</v>
      </c>
      <c r="AL76" t="n">
        <v>2</v>
      </c>
      <c r="AM76" t="n">
        <v>2</v>
      </c>
      <c r="AN76" t="n">
        <v>0</v>
      </c>
      <c r="AO76" t="n">
        <v>0</v>
      </c>
      <c r="AP76" t="inlineStr">
        <is>
          <t>No</t>
        </is>
      </c>
      <c r="AQ76" t="inlineStr">
        <is>
          <t>No</t>
        </is>
      </c>
      <c r="AS76">
        <f>HYPERLINK("https://creighton-primo.hosted.exlibrisgroup.com/primo-explore/search?tab=default_tab&amp;search_scope=EVERYTHING&amp;vid=01CRU&amp;lang=en_US&amp;offset=0&amp;query=any,contains,991005067339702656","Catalog Record")</f>
        <v/>
      </c>
      <c r="AT76">
        <f>HYPERLINK("http://www.worldcat.org/oclc/6981495","WorldCat Record")</f>
        <v/>
      </c>
      <c r="AU76" t="inlineStr">
        <is>
          <t>866850707:eng</t>
        </is>
      </c>
      <c r="AV76" t="inlineStr">
        <is>
          <t>6981495</t>
        </is>
      </c>
      <c r="AW76" t="inlineStr">
        <is>
          <t>991005067339702656</t>
        </is>
      </c>
      <c r="AX76" t="inlineStr">
        <is>
          <t>991005067339702656</t>
        </is>
      </c>
      <c r="AY76" t="inlineStr">
        <is>
          <t>2271307530002656</t>
        </is>
      </c>
      <c r="AZ76" t="inlineStr">
        <is>
          <t>BOOK</t>
        </is>
      </c>
      <c r="BB76" t="inlineStr">
        <is>
          <t>9780393013627</t>
        </is>
      </c>
      <c r="BC76" t="inlineStr">
        <is>
          <t>32285001269470</t>
        </is>
      </c>
      <c r="BD76" t="inlineStr">
        <is>
          <t>893248297</t>
        </is>
      </c>
    </row>
    <row r="77">
      <c r="A77" t="inlineStr">
        <is>
          <t>No</t>
        </is>
      </c>
      <c r="B77" t="inlineStr">
        <is>
          <t>HN18.3 .H83 2008</t>
        </is>
      </c>
      <c r="C77" t="inlineStr">
        <is>
          <t>0                      HN 0018300H  83          2008</t>
        </is>
      </c>
      <c r="D77" t="inlineStr">
        <is>
          <t>The short guide to social policy / John Hudson, Stefan Kühner and Stuart Lowe.</t>
        </is>
      </c>
      <c r="F77" t="inlineStr">
        <is>
          <t>No</t>
        </is>
      </c>
      <c r="G77" t="inlineStr">
        <is>
          <t>1</t>
        </is>
      </c>
      <c r="H77" t="inlineStr">
        <is>
          <t>No</t>
        </is>
      </c>
      <c r="I77" t="inlineStr">
        <is>
          <t>No</t>
        </is>
      </c>
      <c r="J77" t="inlineStr">
        <is>
          <t>0</t>
        </is>
      </c>
      <c r="K77" t="inlineStr">
        <is>
          <t>Hudson, John, 1972-</t>
        </is>
      </c>
      <c r="L77" t="inlineStr">
        <is>
          <t>Bristol, UK : Policy Press, 2008.</t>
        </is>
      </c>
      <c r="M77" t="inlineStr">
        <is>
          <t>2008</t>
        </is>
      </c>
      <c r="O77" t="inlineStr">
        <is>
          <t>eng</t>
        </is>
      </c>
      <c r="P77" t="inlineStr">
        <is>
          <t>enk</t>
        </is>
      </c>
      <c r="R77" t="inlineStr">
        <is>
          <t xml:space="preserve">HN </t>
        </is>
      </c>
      <c r="S77" t="n">
        <v>1</v>
      </c>
      <c r="T77" t="n">
        <v>1</v>
      </c>
      <c r="U77" t="inlineStr">
        <is>
          <t>2009-02-23</t>
        </is>
      </c>
      <c r="V77" t="inlineStr">
        <is>
          <t>2009-02-23</t>
        </is>
      </c>
      <c r="W77" t="inlineStr">
        <is>
          <t>2009-02-23</t>
        </is>
      </c>
      <c r="X77" t="inlineStr">
        <is>
          <t>2009-02-23</t>
        </is>
      </c>
      <c r="Y77" t="n">
        <v>148</v>
      </c>
      <c r="Z77" t="n">
        <v>56</v>
      </c>
      <c r="AA77" t="n">
        <v>79</v>
      </c>
      <c r="AB77" t="n">
        <v>2</v>
      </c>
      <c r="AC77" t="n">
        <v>2</v>
      </c>
      <c r="AD77" t="n">
        <v>1</v>
      </c>
      <c r="AE77" t="n">
        <v>1</v>
      </c>
      <c r="AF77" t="n">
        <v>0</v>
      </c>
      <c r="AG77" t="n">
        <v>0</v>
      </c>
      <c r="AH77" t="n">
        <v>0</v>
      </c>
      <c r="AI77" t="n">
        <v>0</v>
      </c>
      <c r="AJ77" t="n">
        <v>0</v>
      </c>
      <c r="AK77" t="n">
        <v>0</v>
      </c>
      <c r="AL77" t="n">
        <v>1</v>
      </c>
      <c r="AM77" t="n">
        <v>1</v>
      </c>
      <c r="AN77" t="n">
        <v>0</v>
      </c>
      <c r="AO77" t="n">
        <v>0</v>
      </c>
      <c r="AP77" t="inlineStr">
        <is>
          <t>No</t>
        </is>
      </c>
      <c r="AQ77" t="inlineStr">
        <is>
          <t>Yes</t>
        </is>
      </c>
      <c r="AR77">
        <f>HYPERLINK("http://catalog.hathitrust.org/Record/011237596","HathiTrust Record")</f>
        <v/>
      </c>
      <c r="AS77">
        <f>HYPERLINK("https://creighton-primo.hosted.exlibrisgroup.com/primo-explore/search?tab=default_tab&amp;search_scope=EVERYTHING&amp;vid=01CRU&amp;lang=en_US&amp;offset=0&amp;query=any,contains,991005293619702656","Catalog Record")</f>
        <v/>
      </c>
      <c r="AT77">
        <f>HYPERLINK("http://www.worldcat.org/oclc/176925617","WorldCat Record")</f>
        <v/>
      </c>
      <c r="AU77" t="inlineStr">
        <is>
          <t>115386284:eng</t>
        </is>
      </c>
      <c r="AV77" t="inlineStr">
        <is>
          <t>176925617</t>
        </is>
      </c>
      <c r="AW77" t="inlineStr">
        <is>
          <t>991005293619702656</t>
        </is>
      </c>
      <c r="AX77" t="inlineStr">
        <is>
          <t>991005293619702656</t>
        </is>
      </c>
      <c r="AY77" t="inlineStr">
        <is>
          <t>2261525740002656</t>
        </is>
      </c>
      <c r="AZ77" t="inlineStr">
        <is>
          <t>BOOK</t>
        </is>
      </c>
      <c r="BB77" t="inlineStr">
        <is>
          <t>9781847420619</t>
        </is>
      </c>
      <c r="BC77" t="inlineStr">
        <is>
          <t>32285005505663</t>
        </is>
      </c>
      <c r="BD77" t="inlineStr">
        <is>
          <t>893600942</t>
        </is>
      </c>
    </row>
    <row r="78">
      <c r="A78" t="inlineStr">
        <is>
          <t>No</t>
        </is>
      </c>
      <c r="B78" t="inlineStr">
        <is>
          <t>HN18.3 .R47 2006</t>
        </is>
      </c>
      <c r="C78" t="inlineStr">
        <is>
          <t>0                      HN 0018300R  47          2006</t>
        </is>
      </c>
      <c r="D78" t="inlineStr">
        <is>
          <t>The lifelong activist : how to change the world without losing your way / Hillary Rettig.</t>
        </is>
      </c>
      <c r="F78" t="inlineStr">
        <is>
          <t>No</t>
        </is>
      </c>
      <c r="G78" t="inlineStr">
        <is>
          <t>1</t>
        </is>
      </c>
      <c r="H78" t="inlineStr">
        <is>
          <t>No</t>
        </is>
      </c>
      <c r="I78" t="inlineStr">
        <is>
          <t>No</t>
        </is>
      </c>
      <c r="J78" t="inlineStr">
        <is>
          <t>0</t>
        </is>
      </c>
      <c r="K78" t="inlineStr">
        <is>
          <t>Rettig, Hillary.</t>
        </is>
      </c>
      <c r="L78" t="inlineStr">
        <is>
          <t>New York : Lantern Books, 2006.</t>
        </is>
      </c>
      <c r="M78" t="inlineStr">
        <is>
          <t>2006</t>
        </is>
      </c>
      <c r="O78" t="inlineStr">
        <is>
          <t>eng</t>
        </is>
      </c>
      <c r="P78" t="inlineStr">
        <is>
          <t>nyu</t>
        </is>
      </c>
      <c r="R78" t="inlineStr">
        <is>
          <t xml:space="preserve">HN </t>
        </is>
      </c>
      <c r="S78" t="n">
        <v>2</v>
      </c>
      <c r="T78" t="n">
        <v>2</v>
      </c>
      <c r="U78" t="inlineStr">
        <is>
          <t>2010-05-27</t>
        </is>
      </c>
      <c r="V78" t="inlineStr">
        <is>
          <t>2010-05-27</t>
        </is>
      </c>
      <c r="W78" t="inlineStr">
        <is>
          <t>2010-04-28</t>
        </is>
      </c>
      <c r="X78" t="inlineStr">
        <is>
          <t>2010-04-28</t>
        </is>
      </c>
      <c r="Y78" t="n">
        <v>119</v>
      </c>
      <c r="Z78" t="n">
        <v>112</v>
      </c>
      <c r="AA78" t="n">
        <v>118</v>
      </c>
      <c r="AB78" t="n">
        <v>1</v>
      </c>
      <c r="AC78" t="n">
        <v>1</v>
      </c>
      <c r="AD78" t="n">
        <v>6</v>
      </c>
      <c r="AE78" t="n">
        <v>6</v>
      </c>
      <c r="AF78" t="n">
        <v>2</v>
      </c>
      <c r="AG78" t="n">
        <v>2</v>
      </c>
      <c r="AH78" t="n">
        <v>1</v>
      </c>
      <c r="AI78" t="n">
        <v>1</v>
      </c>
      <c r="AJ78" t="n">
        <v>4</v>
      </c>
      <c r="AK78" t="n">
        <v>4</v>
      </c>
      <c r="AL78" t="n">
        <v>0</v>
      </c>
      <c r="AM78" t="n">
        <v>0</v>
      </c>
      <c r="AN78" t="n">
        <v>0</v>
      </c>
      <c r="AO78" t="n">
        <v>0</v>
      </c>
      <c r="AP78" t="inlineStr">
        <is>
          <t>No</t>
        </is>
      </c>
      <c r="AQ78" t="inlineStr">
        <is>
          <t>No</t>
        </is>
      </c>
      <c r="AS78">
        <f>HYPERLINK("https://creighton-primo.hosted.exlibrisgroup.com/primo-explore/search?tab=default_tab&amp;search_scope=EVERYTHING&amp;vid=01CRU&amp;lang=en_US&amp;offset=0&amp;query=any,contains,991005385019702656","Catalog Record")</f>
        <v/>
      </c>
      <c r="AT78">
        <f>HYPERLINK("http://www.worldcat.org/oclc/65201357","WorldCat Record")</f>
        <v/>
      </c>
      <c r="AU78" t="inlineStr">
        <is>
          <t>49052386:eng</t>
        </is>
      </c>
      <c r="AV78" t="inlineStr">
        <is>
          <t>65201357</t>
        </is>
      </c>
      <c r="AW78" t="inlineStr">
        <is>
          <t>991005385019702656</t>
        </is>
      </c>
      <c r="AX78" t="inlineStr">
        <is>
          <t>991005385019702656</t>
        </is>
      </c>
      <c r="AY78" t="inlineStr">
        <is>
          <t>2262336930002656</t>
        </is>
      </c>
      <c r="AZ78" t="inlineStr">
        <is>
          <t>BOOK</t>
        </is>
      </c>
      <c r="BB78" t="inlineStr">
        <is>
          <t>9781590560907</t>
        </is>
      </c>
      <c r="BC78" t="inlineStr">
        <is>
          <t>32285005568521</t>
        </is>
      </c>
      <c r="BD78" t="inlineStr">
        <is>
          <t>893789945</t>
        </is>
      </c>
    </row>
    <row r="79">
      <c r="A79" t="inlineStr">
        <is>
          <t>No</t>
        </is>
      </c>
      <c r="B79" t="inlineStr">
        <is>
          <t>HN192 .C37 1996</t>
        </is>
      </c>
      <c r="C79" t="inlineStr">
        <is>
          <t>0                      HN 0192000C  37          1996</t>
        </is>
      </c>
      <c r="D79" t="inlineStr">
        <is>
          <t>Caribbean freedom : economy and society from emancipation to the present : a student reader / editors, Hilary Beckles and Verene Shepherd.</t>
        </is>
      </c>
      <c r="F79" t="inlineStr">
        <is>
          <t>No</t>
        </is>
      </c>
      <c r="G79" t="inlineStr">
        <is>
          <t>1</t>
        </is>
      </c>
      <c r="H79" t="inlineStr">
        <is>
          <t>No</t>
        </is>
      </c>
      <c r="I79" t="inlineStr">
        <is>
          <t>No</t>
        </is>
      </c>
      <c r="J79" t="inlineStr">
        <is>
          <t>0</t>
        </is>
      </c>
      <c r="L79" t="inlineStr">
        <is>
          <t>Princeton, NJ : M. Wiener Publishers ; London : J. Curry Publishers ; Kingston, Jamaica : I. Randle Publishers, 1996.</t>
        </is>
      </c>
      <c r="M79" t="inlineStr">
        <is>
          <t>1996</t>
        </is>
      </c>
      <c r="N79" t="inlineStr">
        <is>
          <t>1st American ed.</t>
        </is>
      </c>
      <c r="O79" t="inlineStr">
        <is>
          <t>eng</t>
        </is>
      </c>
      <c r="P79" t="inlineStr">
        <is>
          <t>nju</t>
        </is>
      </c>
      <c r="R79" t="inlineStr">
        <is>
          <t xml:space="preserve">HN </t>
        </is>
      </c>
      <c r="S79" t="n">
        <v>14</v>
      </c>
      <c r="T79" t="n">
        <v>14</v>
      </c>
      <c r="U79" t="inlineStr">
        <is>
          <t>2007-04-09</t>
        </is>
      </c>
      <c r="V79" t="inlineStr">
        <is>
          <t>2007-04-09</t>
        </is>
      </c>
      <c r="W79" t="inlineStr">
        <is>
          <t>1996-08-05</t>
        </is>
      </c>
      <c r="X79" t="inlineStr">
        <is>
          <t>1996-08-05</t>
        </is>
      </c>
      <c r="Y79" t="n">
        <v>276</v>
      </c>
      <c r="Z79" t="n">
        <v>229</v>
      </c>
      <c r="AA79" t="n">
        <v>311</v>
      </c>
      <c r="AB79" t="n">
        <v>1</v>
      </c>
      <c r="AC79" t="n">
        <v>2</v>
      </c>
      <c r="AD79" t="n">
        <v>13</v>
      </c>
      <c r="AE79" t="n">
        <v>17</v>
      </c>
      <c r="AF79" t="n">
        <v>3</v>
      </c>
      <c r="AG79" t="n">
        <v>5</v>
      </c>
      <c r="AH79" t="n">
        <v>5</v>
      </c>
      <c r="AI79" t="n">
        <v>6</v>
      </c>
      <c r="AJ79" t="n">
        <v>9</v>
      </c>
      <c r="AK79" t="n">
        <v>10</v>
      </c>
      <c r="AL79" t="n">
        <v>0</v>
      </c>
      <c r="AM79" t="n">
        <v>1</v>
      </c>
      <c r="AN79" t="n">
        <v>0</v>
      </c>
      <c r="AO79" t="n">
        <v>0</v>
      </c>
      <c r="AP79" t="inlineStr">
        <is>
          <t>No</t>
        </is>
      </c>
      <c r="AQ79" t="inlineStr">
        <is>
          <t>No</t>
        </is>
      </c>
      <c r="AS79">
        <f>HYPERLINK("https://creighton-primo.hosted.exlibrisgroup.com/primo-explore/search?tab=default_tab&amp;search_scope=EVERYTHING&amp;vid=01CRU&amp;lang=en_US&amp;offset=0&amp;query=any,contains,991002598799702656","Catalog Record")</f>
        <v/>
      </c>
      <c r="AT79">
        <f>HYPERLINK("http://www.worldcat.org/oclc/34046799","WorldCat Record")</f>
        <v/>
      </c>
      <c r="AU79" t="inlineStr">
        <is>
          <t>836855743:eng</t>
        </is>
      </c>
      <c r="AV79" t="inlineStr">
        <is>
          <t>34046799</t>
        </is>
      </c>
      <c r="AW79" t="inlineStr">
        <is>
          <t>991002598799702656</t>
        </is>
      </c>
      <c r="AX79" t="inlineStr">
        <is>
          <t>991002598799702656</t>
        </is>
      </c>
      <c r="AY79" t="inlineStr">
        <is>
          <t>2263789670002656</t>
        </is>
      </c>
      <c r="AZ79" t="inlineStr">
        <is>
          <t>BOOK</t>
        </is>
      </c>
      <c r="BB79" t="inlineStr">
        <is>
          <t>9781558761285</t>
        </is>
      </c>
      <c r="BC79" t="inlineStr">
        <is>
          <t>32285002270550</t>
        </is>
      </c>
      <c r="BD79" t="inlineStr">
        <is>
          <t>893335486</t>
        </is>
      </c>
    </row>
    <row r="80">
      <c r="A80" t="inlineStr">
        <is>
          <t>No</t>
        </is>
      </c>
      <c r="B80" t="inlineStr">
        <is>
          <t>HN192.5 .L65</t>
        </is>
      </c>
      <c r="C80" t="inlineStr">
        <is>
          <t>0                      HN 0192500L  65</t>
        </is>
      </c>
      <c r="D80" t="inlineStr">
        <is>
          <t>Consequences of class and color : West Indian perspectives / edited and introduced by David Lowenthal and Lambros Comitas.</t>
        </is>
      </c>
      <c r="F80" t="inlineStr">
        <is>
          <t>No</t>
        </is>
      </c>
      <c r="G80" t="inlineStr">
        <is>
          <t>1</t>
        </is>
      </c>
      <c r="H80" t="inlineStr">
        <is>
          <t>No</t>
        </is>
      </c>
      <c r="I80" t="inlineStr">
        <is>
          <t>No</t>
        </is>
      </c>
      <c r="J80" t="inlineStr">
        <is>
          <t>0</t>
        </is>
      </c>
      <c r="K80" t="inlineStr">
        <is>
          <t>Lowenthal, David compiler.</t>
        </is>
      </c>
      <c r="L80" t="inlineStr">
        <is>
          <t>Garden City, N.Y. : Anchor Press, 1973.</t>
        </is>
      </c>
      <c r="M80" t="inlineStr">
        <is>
          <t>1973</t>
        </is>
      </c>
      <c r="O80" t="inlineStr">
        <is>
          <t>eng</t>
        </is>
      </c>
      <c r="P80" t="inlineStr">
        <is>
          <t>nyu</t>
        </is>
      </c>
      <c r="R80" t="inlineStr">
        <is>
          <t xml:space="preserve">HN </t>
        </is>
      </c>
      <c r="S80" t="n">
        <v>4</v>
      </c>
      <c r="T80" t="n">
        <v>4</v>
      </c>
      <c r="U80" t="inlineStr">
        <is>
          <t>2005-04-17</t>
        </is>
      </c>
      <c r="V80" t="inlineStr">
        <is>
          <t>2005-04-17</t>
        </is>
      </c>
      <c r="W80" t="inlineStr">
        <is>
          <t>1994-02-03</t>
        </is>
      </c>
      <c r="X80" t="inlineStr">
        <is>
          <t>1994-02-03</t>
        </is>
      </c>
      <c r="Y80" t="n">
        <v>488</v>
      </c>
      <c r="Z80" t="n">
        <v>401</v>
      </c>
      <c r="AA80" t="n">
        <v>409</v>
      </c>
      <c r="AB80" t="n">
        <v>5</v>
      </c>
      <c r="AC80" t="n">
        <v>5</v>
      </c>
      <c r="AD80" t="n">
        <v>20</v>
      </c>
      <c r="AE80" t="n">
        <v>20</v>
      </c>
      <c r="AF80" t="n">
        <v>9</v>
      </c>
      <c r="AG80" t="n">
        <v>9</v>
      </c>
      <c r="AH80" t="n">
        <v>5</v>
      </c>
      <c r="AI80" t="n">
        <v>5</v>
      </c>
      <c r="AJ80" t="n">
        <v>7</v>
      </c>
      <c r="AK80" t="n">
        <v>7</v>
      </c>
      <c r="AL80" t="n">
        <v>4</v>
      </c>
      <c r="AM80" t="n">
        <v>4</v>
      </c>
      <c r="AN80" t="n">
        <v>0</v>
      </c>
      <c r="AO80" t="n">
        <v>0</v>
      </c>
      <c r="AP80" t="inlineStr">
        <is>
          <t>No</t>
        </is>
      </c>
      <c r="AQ80" t="inlineStr">
        <is>
          <t>Yes</t>
        </is>
      </c>
      <c r="AR80">
        <f>HYPERLINK("http://catalog.hathitrust.org/Record/000975226","HathiTrust Record")</f>
        <v/>
      </c>
      <c r="AS80">
        <f>HYPERLINK("https://creighton-primo.hosted.exlibrisgroup.com/primo-explore/search?tab=default_tab&amp;search_scope=EVERYTHING&amp;vid=01CRU&amp;lang=en_US&amp;offset=0&amp;query=any,contains,991003054919702656","Catalog Record")</f>
        <v/>
      </c>
      <c r="AT80">
        <f>HYPERLINK("http://www.worldcat.org/oclc/613651","WorldCat Record")</f>
        <v/>
      </c>
      <c r="AU80" t="inlineStr">
        <is>
          <t>905834237:eng</t>
        </is>
      </c>
      <c r="AV80" t="inlineStr">
        <is>
          <t>613651</t>
        </is>
      </c>
      <c r="AW80" t="inlineStr">
        <is>
          <t>991003054919702656</t>
        </is>
      </c>
      <c r="AX80" t="inlineStr">
        <is>
          <t>991003054919702656</t>
        </is>
      </c>
      <c r="AY80" t="inlineStr">
        <is>
          <t>2268316770002656</t>
        </is>
      </c>
      <c r="AZ80" t="inlineStr">
        <is>
          <t>BOOK</t>
        </is>
      </c>
      <c r="BB80" t="inlineStr">
        <is>
          <t>9780385044028</t>
        </is>
      </c>
      <c r="BC80" t="inlineStr">
        <is>
          <t>32285001836781</t>
        </is>
      </c>
      <c r="BD80" t="inlineStr">
        <is>
          <t>893616949</t>
        </is>
      </c>
    </row>
    <row r="81">
      <c r="A81" t="inlineStr">
        <is>
          <t>No</t>
        </is>
      </c>
      <c r="B81" t="inlineStr">
        <is>
          <t>HN195.5.S6 C3813 1992</t>
        </is>
      </c>
      <c r="C81" t="inlineStr">
        <is>
          <t>0                      HN 0195500S  6                  C  3813        1992</t>
        </is>
      </c>
      <c r="D81" t="inlineStr">
        <is>
          <t>The Caribbean : one and divisible / Jean Casimir.</t>
        </is>
      </c>
      <c r="F81" t="inlineStr">
        <is>
          <t>No</t>
        </is>
      </c>
      <c r="G81" t="inlineStr">
        <is>
          <t>1</t>
        </is>
      </c>
      <c r="H81" t="inlineStr">
        <is>
          <t>No</t>
        </is>
      </c>
      <c r="I81" t="inlineStr">
        <is>
          <t>No</t>
        </is>
      </c>
      <c r="J81" t="inlineStr">
        <is>
          <t>0</t>
        </is>
      </c>
      <c r="K81" t="inlineStr">
        <is>
          <t>Casimir, Jean.</t>
        </is>
      </c>
      <c r="L81" t="inlineStr">
        <is>
          <t>Santiago, Chile : United Nations, Economic Commission for Latin America and the Caribbean, 1992.</t>
        </is>
      </c>
      <c r="M81" t="inlineStr">
        <is>
          <t>1992</t>
        </is>
      </c>
      <c r="N81" t="inlineStr">
        <is>
          <t>1st ed.</t>
        </is>
      </c>
      <c r="O81" t="inlineStr">
        <is>
          <t>eng</t>
        </is>
      </c>
      <c r="P81" t="inlineStr">
        <is>
          <t xml:space="preserve">cl </t>
        </is>
      </c>
      <c r="Q81" t="inlineStr">
        <is>
          <t>Cuadernos de la CEPAL, 0252-2195 ; 66</t>
        </is>
      </c>
      <c r="R81" t="inlineStr">
        <is>
          <t xml:space="preserve">HN </t>
        </is>
      </c>
      <c r="S81" t="n">
        <v>3</v>
      </c>
      <c r="T81" t="n">
        <v>3</v>
      </c>
      <c r="U81" t="inlineStr">
        <is>
          <t>1999-12-30</t>
        </is>
      </c>
      <c r="V81" t="inlineStr">
        <is>
          <t>1999-12-30</t>
        </is>
      </c>
      <c r="W81" t="inlineStr">
        <is>
          <t>1999-12-09</t>
        </is>
      </c>
      <c r="X81" t="inlineStr">
        <is>
          <t>1999-12-09</t>
        </is>
      </c>
      <c r="Y81" t="n">
        <v>137</v>
      </c>
      <c r="Z81" t="n">
        <v>96</v>
      </c>
      <c r="AA81" t="n">
        <v>98</v>
      </c>
      <c r="AB81" t="n">
        <v>2</v>
      </c>
      <c r="AC81" t="n">
        <v>2</v>
      </c>
      <c r="AD81" t="n">
        <v>5</v>
      </c>
      <c r="AE81" t="n">
        <v>5</v>
      </c>
      <c r="AF81" t="n">
        <v>1</v>
      </c>
      <c r="AG81" t="n">
        <v>1</v>
      </c>
      <c r="AH81" t="n">
        <v>2</v>
      </c>
      <c r="AI81" t="n">
        <v>2</v>
      </c>
      <c r="AJ81" t="n">
        <v>0</v>
      </c>
      <c r="AK81" t="n">
        <v>0</v>
      </c>
      <c r="AL81" t="n">
        <v>1</v>
      </c>
      <c r="AM81" t="n">
        <v>1</v>
      </c>
      <c r="AN81" t="n">
        <v>1</v>
      </c>
      <c r="AO81" t="n">
        <v>1</v>
      </c>
      <c r="AP81" t="inlineStr">
        <is>
          <t>No</t>
        </is>
      </c>
      <c r="AQ81" t="inlineStr">
        <is>
          <t>Yes</t>
        </is>
      </c>
      <c r="AR81">
        <f>HYPERLINK("http://catalog.hathitrust.org/Record/003122309","HathiTrust Record")</f>
        <v/>
      </c>
      <c r="AS81">
        <f>HYPERLINK("https://creighton-primo.hosted.exlibrisgroup.com/primo-explore/search?tab=default_tab&amp;search_scope=EVERYTHING&amp;vid=01CRU&amp;lang=en_US&amp;offset=0&amp;query=any,contains,991002196559702656","Catalog Record")</f>
        <v/>
      </c>
      <c r="AT81">
        <f>HYPERLINK("http://www.worldcat.org/oclc/28240143","WorldCat Record")</f>
        <v/>
      </c>
      <c r="AU81" t="inlineStr">
        <is>
          <t>8908052801:eng</t>
        </is>
      </c>
      <c r="AV81" t="inlineStr">
        <is>
          <t>28240143</t>
        </is>
      </c>
      <c r="AW81" t="inlineStr">
        <is>
          <t>991002196559702656</t>
        </is>
      </c>
      <c r="AX81" t="inlineStr">
        <is>
          <t>991002196559702656</t>
        </is>
      </c>
      <c r="AY81" t="inlineStr">
        <is>
          <t>2260811560002656</t>
        </is>
      </c>
      <c r="AZ81" t="inlineStr">
        <is>
          <t>BOOK</t>
        </is>
      </c>
      <c r="BB81" t="inlineStr">
        <is>
          <t>9789211211818</t>
        </is>
      </c>
      <c r="BC81" t="inlineStr">
        <is>
          <t>32285003630687</t>
        </is>
      </c>
      <c r="BD81" t="inlineStr">
        <is>
          <t>893773320</t>
        </is>
      </c>
    </row>
    <row r="82">
      <c r="A82" t="inlineStr">
        <is>
          <t>No</t>
        </is>
      </c>
      <c r="B82" t="inlineStr">
        <is>
          <t>HN203.5 .L48 1977 v.3</t>
        </is>
      </c>
      <c r="C82" t="inlineStr">
        <is>
          <t>0                      HN 0203500L  48          1977                                        v.3</t>
        </is>
      </c>
      <c r="D82" t="inlineStr">
        <is>
          <t>Neighbors / Oscar Lewis, Ruth M. Lewis, Susan M. Rigdon.</t>
        </is>
      </c>
      <c r="E82" t="inlineStr">
        <is>
          <t>V.3</t>
        </is>
      </c>
      <c r="F82" t="inlineStr">
        <is>
          <t>No</t>
        </is>
      </c>
      <c r="G82" t="inlineStr">
        <is>
          <t>1</t>
        </is>
      </c>
      <c r="H82" t="inlineStr">
        <is>
          <t>No</t>
        </is>
      </c>
      <c r="I82" t="inlineStr">
        <is>
          <t>No</t>
        </is>
      </c>
      <c r="J82" t="inlineStr">
        <is>
          <t>0</t>
        </is>
      </c>
      <c r="K82" t="inlineStr">
        <is>
          <t>Lewis, Oscar, 1914-1970.</t>
        </is>
      </c>
      <c r="L82" t="inlineStr">
        <is>
          <t>Urbana : University of Illinois Press, 1978.</t>
        </is>
      </c>
      <c r="M82" t="inlineStr">
        <is>
          <t>1978</t>
        </is>
      </c>
      <c r="O82" t="inlineStr">
        <is>
          <t>eng</t>
        </is>
      </c>
      <c r="P82" t="inlineStr">
        <is>
          <t>ilu</t>
        </is>
      </c>
      <c r="Q82" t="inlineStr">
        <is>
          <t>Their Living the revolution ; [3]</t>
        </is>
      </c>
      <c r="R82" t="inlineStr">
        <is>
          <t xml:space="preserve">HN </t>
        </is>
      </c>
      <c r="S82" t="n">
        <v>1</v>
      </c>
      <c r="T82" t="n">
        <v>1</v>
      </c>
      <c r="U82" t="inlineStr">
        <is>
          <t>2008-05-31</t>
        </is>
      </c>
      <c r="V82" t="inlineStr">
        <is>
          <t>2008-05-31</t>
        </is>
      </c>
      <c r="W82" t="inlineStr">
        <is>
          <t>1997-08-08</t>
        </is>
      </c>
      <c r="X82" t="inlineStr">
        <is>
          <t>1997-08-08</t>
        </is>
      </c>
      <c r="Y82" t="n">
        <v>104</v>
      </c>
      <c r="Z82" t="n">
        <v>85</v>
      </c>
      <c r="AA82" t="n">
        <v>91</v>
      </c>
      <c r="AB82" t="n">
        <v>3</v>
      </c>
      <c r="AC82" t="n">
        <v>3</v>
      </c>
      <c r="AD82" t="n">
        <v>2</v>
      </c>
      <c r="AE82" t="n">
        <v>2</v>
      </c>
      <c r="AF82" t="n">
        <v>1</v>
      </c>
      <c r="AG82" t="n">
        <v>1</v>
      </c>
      <c r="AH82" t="n">
        <v>0</v>
      </c>
      <c r="AI82" t="n">
        <v>0</v>
      </c>
      <c r="AJ82" t="n">
        <v>0</v>
      </c>
      <c r="AK82" t="n">
        <v>0</v>
      </c>
      <c r="AL82" t="n">
        <v>1</v>
      </c>
      <c r="AM82" t="n">
        <v>1</v>
      </c>
      <c r="AN82" t="n">
        <v>0</v>
      </c>
      <c r="AO82" t="n">
        <v>0</v>
      </c>
      <c r="AP82" t="inlineStr">
        <is>
          <t>No</t>
        </is>
      </c>
      <c r="AQ82" t="inlineStr">
        <is>
          <t>Yes</t>
        </is>
      </c>
      <c r="AR82">
        <f>HYPERLINK("http://catalog.hathitrust.org/Record/102010121","HathiTrust Record")</f>
        <v/>
      </c>
      <c r="AS82">
        <f>HYPERLINK("https://creighton-primo.hosted.exlibrisgroup.com/primo-explore/search?tab=default_tab&amp;search_scope=EVERYTHING&amp;vid=01CRU&amp;lang=en_US&amp;offset=0&amp;query=any,contains,991004518789702656","Catalog Record")</f>
        <v/>
      </c>
      <c r="AT82">
        <f>HYPERLINK("http://www.worldcat.org/oclc/3801301","WorldCat Record")</f>
        <v/>
      </c>
      <c r="AU82" t="inlineStr">
        <is>
          <t>4732316938:eng</t>
        </is>
      </c>
      <c r="AV82" t="inlineStr">
        <is>
          <t>3801301</t>
        </is>
      </c>
      <c r="AW82" t="inlineStr">
        <is>
          <t>991004518789702656</t>
        </is>
      </c>
      <c r="AX82" t="inlineStr">
        <is>
          <t>991004518789702656</t>
        </is>
      </c>
      <c r="AY82" t="inlineStr">
        <is>
          <t>2263213190002656</t>
        </is>
      </c>
      <c r="AZ82" t="inlineStr">
        <is>
          <t>BOOK</t>
        </is>
      </c>
      <c r="BB82" t="inlineStr">
        <is>
          <t>9780252006418</t>
        </is>
      </c>
      <c r="BC82" t="inlineStr">
        <is>
          <t>32285001356566</t>
        </is>
      </c>
      <c r="BD82" t="inlineStr">
        <is>
          <t>893719013</t>
        </is>
      </c>
    </row>
    <row r="83">
      <c r="A83" t="inlineStr">
        <is>
          <t>No</t>
        </is>
      </c>
      <c r="B83" t="inlineStr">
        <is>
          <t>HN212.5 .L86 1979</t>
        </is>
      </c>
      <c r="C83" t="inlineStr">
        <is>
          <t>0                      HN 0212500L  86          1979</t>
        </is>
      </c>
      <c r="D83" t="inlineStr">
        <is>
          <t>Peasants and poverty : a study of Haiti / Mats Lundahl.</t>
        </is>
      </c>
      <c r="F83" t="inlineStr">
        <is>
          <t>No</t>
        </is>
      </c>
      <c r="G83" t="inlineStr">
        <is>
          <t>1</t>
        </is>
      </c>
      <c r="H83" t="inlineStr">
        <is>
          <t>No</t>
        </is>
      </c>
      <c r="I83" t="inlineStr">
        <is>
          <t>No</t>
        </is>
      </c>
      <c r="J83" t="inlineStr">
        <is>
          <t>0</t>
        </is>
      </c>
      <c r="K83" t="inlineStr">
        <is>
          <t>Lundahl, Mats, 1946-</t>
        </is>
      </c>
      <c r="L83" t="inlineStr">
        <is>
          <t>New York : St. Martin's Press, 1979.</t>
        </is>
      </c>
      <c r="M83" t="inlineStr">
        <is>
          <t>1979</t>
        </is>
      </c>
      <c r="O83" t="inlineStr">
        <is>
          <t>eng</t>
        </is>
      </c>
      <c r="P83" t="inlineStr">
        <is>
          <t>nyu</t>
        </is>
      </c>
      <c r="R83" t="inlineStr">
        <is>
          <t xml:space="preserve">HN </t>
        </is>
      </c>
      <c r="S83" t="n">
        <v>1</v>
      </c>
      <c r="T83" t="n">
        <v>1</v>
      </c>
      <c r="U83" t="inlineStr">
        <is>
          <t>1992-11-11</t>
        </is>
      </c>
      <c r="V83" t="inlineStr">
        <is>
          <t>1992-11-11</t>
        </is>
      </c>
      <c r="W83" t="inlineStr">
        <is>
          <t>1992-10-09</t>
        </is>
      </c>
      <c r="X83" t="inlineStr">
        <is>
          <t>1992-10-09</t>
        </is>
      </c>
      <c r="Y83" t="n">
        <v>276</v>
      </c>
      <c r="Z83" t="n">
        <v>252</v>
      </c>
      <c r="AA83" t="n">
        <v>340</v>
      </c>
      <c r="AB83" t="n">
        <v>3</v>
      </c>
      <c r="AC83" t="n">
        <v>4</v>
      </c>
      <c r="AD83" t="n">
        <v>8</v>
      </c>
      <c r="AE83" t="n">
        <v>14</v>
      </c>
      <c r="AF83" t="n">
        <v>1</v>
      </c>
      <c r="AG83" t="n">
        <v>2</v>
      </c>
      <c r="AH83" t="n">
        <v>2</v>
      </c>
      <c r="AI83" t="n">
        <v>5</v>
      </c>
      <c r="AJ83" t="n">
        <v>4</v>
      </c>
      <c r="AK83" t="n">
        <v>5</v>
      </c>
      <c r="AL83" t="n">
        <v>2</v>
      </c>
      <c r="AM83" t="n">
        <v>3</v>
      </c>
      <c r="AN83" t="n">
        <v>0</v>
      </c>
      <c r="AO83" t="n">
        <v>1</v>
      </c>
      <c r="AP83" t="inlineStr">
        <is>
          <t>No</t>
        </is>
      </c>
      <c r="AQ83" t="inlineStr">
        <is>
          <t>No</t>
        </is>
      </c>
      <c r="AS83">
        <f>HYPERLINK("https://creighton-primo.hosted.exlibrisgroup.com/primo-explore/search?tab=default_tab&amp;search_scope=EVERYTHING&amp;vid=01CRU&amp;lang=en_US&amp;offset=0&amp;query=any,contains,991004662269702656","Catalog Record")</f>
        <v/>
      </c>
      <c r="AT83">
        <f>HYPERLINK("http://www.worldcat.org/oclc/4497616","WorldCat Record")</f>
        <v/>
      </c>
      <c r="AU83" t="inlineStr">
        <is>
          <t>443561:eng</t>
        </is>
      </c>
      <c r="AV83" t="inlineStr">
        <is>
          <t>4497616</t>
        </is>
      </c>
      <c r="AW83" t="inlineStr">
        <is>
          <t>991004662269702656</t>
        </is>
      </c>
      <c r="AX83" t="inlineStr">
        <is>
          <t>991004662269702656</t>
        </is>
      </c>
      <c r="AY83" t="inlineStr">
        <is>
          <t>2266805620002656</t>
        </is>
      </c>
      <c r="AZ83" t="inlineStr">
        <is>
          <t>BOOK</t>
        </is>
      </c>
      <c r="BB83" t="inlineStr">
        <is>
          <t>9780312599942</t>
        </is>
      </c>
      <c r="BC83" t="inlineStr">
        <is>
          <t>32285001356574</t>
        </is>
      </c>
      <c r="BD83" t="inlineStr">
        <is>
          <t>893869953</t>
        </is>
      </c>
    </row>
    <row r="84">
      <c r="A84" t="inlineStr">
        <is>
          <t>No</t>
        </is>
      </c>
      <c r="B84" t="inlineStr">
        <is>
          <t>HN217 .H6413</t>
        </is>
      </c>
      <c r="C84" t="inlineStr">
        <is>
          <t>0                      HN 0217000H  6413</t>
        </is>
      </c>
      <c r="D84" t="inlineStr">
        <is>
          <t>The Dominican people, 1850-1900 : notes for a historical sociology / by H. Hoetink ; translated by Stephen K. Ault.</t>
        </is>
      </c>
      <c r="F84" t="inlineStr">
        <is>
          <t>No</t>
        </is>
      </c>
      <c r="G84" t="inlineStr">
        <is>
          <t>1</t>
        </is>
      </c>
      <c r="H84" t="inlineStr">
        <is>
          <t>No</t>
        </is>
      </c>
      <c r="I84" t="inlineStr">
        <is>
          <t>No</t>
        </is>
      </c>
      <c r="J84" t="inlineStr">
        <is>
          <t>0</t>
        </is>
      </c>
      <c r="K84" t="inlineStr">
        <is>
          <t>Hoetink, H.</t>
        </is>
      </c>
      <c r="L84" t="inlineStr">
        <is>
          <t>Baltimore : Johns Hopkins University Press, c1982.</t>
        </is>
      </c>
      <c r="M84" t="inlineStr">
        <is>
          <t>1981</t>
        </is>
      </c>
      <c r="O84" t="inlineStr">
        <is>
          <t>eng</t>
        </is>
      </c>
      <c r="P84" t="inlineStr">
        <is>
          <t>mdu</t>
        </is>
      </c>
      <c r="Q84" t="inlineStr">
        <is>
          <t>Johns Hopkins studies in Atlantic history and culture</t>
        </is>
      </c>
      <c r="R84" t="inlineStr">
        <is>
          <t xml:space="preserve">HN </t>
        </is>
      </c>
      <c r="S84" t="n">
        <v>8</v>
      </c>
      <c r="T84" t="n">
        <v>8</v>
      </c>
      <c r="U84" t="inlineStr">
        <is>
          <t>2005-07-28</t>
        </is>
      </c>
      <c r="V84" t="inlineStr">
        <is>
          <t>2005-07-28</t>
        </is>
      </c>
      <c r="W84" t="inlineStr">
        <is>
          <t>1990-02-22</t>
        </is>
      </c>
      <c r="X84" t="inlineStr">
        <is>
          <t>1990-02-22</t>
        </is>
      </c>
      <c r="Y84" t="n">
        <v>445</v>
      </c>
      <c r="Z84" t="n">
        <v>379</v>
      </c>
      <c r="AA84" t="n">
        <v>384</v>
      </c>
      <c r="AB84" t="n">
        <v>2</v>
      </c>
      <c r="AC84" t="n">
        <v>2</v>
      </c>
      <c r="AD84" t="n">
        <v>18</v>
      </c>
      <c r="AE84" t="n">
        <v>19</v>
      </c>
      <c r="AF84" t="n">
        <v>5</v>
      </c>
      <c r="AG84" t="n">
        <v>5</v>
      </c>
      <c r="AH84" t="n">
        <v>7</v>
      </c>
      <c r="AI84" t="n">
        <v>8</v>
      </c>
      <c r="AJ84" t="n">
        <v>11</v>
      </c>
      <c r="AK84" t="n">
        <v>12</v>
      </c>
      <c r="AL84" t="n">
        <v>1</v>
      </c>
      <c r="AM84" t="n">
        <v>1</v>
      </c>
      <c r="AN84" t="n">
        <v>0</v>
      </c>
      <c r="AO84" t="n">
        <v>0</v>
      </c>
      <c r="AP84" t="inlineStr">
        <is>
          <t>No</t>
        </is>
      </c>
      <c r="AQ84" t="inlineStr">
        <is>
          <t>Yes</t>
        </is>
      </c>
      <c r="AR84">
        <f>HYPERLINK("http://catalog.hathitrust.org/Record/000764073","HathiTrust Record")</f>
        <v/>
      </c>
      <c r="AS84">
        <f>HYPERLINK("https://creighton-primo.hosted.exlibrisgroup.com/primo-explore/search?tab=default_tab&amp;search_scope=EVERYTHING&amp;vid=01CRU&amp;lang=en_US&amp;offset=0&amp;query=any,contains,991005134759702656","Catalog Record")</f>
        <v/>
      </c>
      <c r="AT84">
        <f>HYPERLINK("http://www.worldcat.org/oclc/7575666","WorldCat Record")</f>
        <v/>
      </c>
      <c r="AU84" t="inlineStr">
        <is>
          <t>369548353:eng</t>
        </is>
      </c>
      <c r="AV84" t="inlineStr">
        <is>
          <t>7575666</t>
        </is>
      </c>
      <c r="AW84" t="inlineStr">
        <is>
          <t>991005134759702656</t>
        </is>
      </c>
      <c r="AX84" t="inlineStr">
        <is>
          <t>991005134759702656</t>
        </is>
      </c>
      <c r="AY84" t="inlineStr">
        <is>
          <t>2265623120002656</t>
        </is>
      </c>
      <c r="AZ84" t="inlineStr">
        <is>
          <t>BOOK</t>
        </is>
      </c>
      <c r="BB84" t="inlineStr">
        <is>
          <t>9780801822230</t>
        </is>
      </c>
      <c r="BC84" t="inlineStr">
        <is>
          <t>32285000049097</t>
        </is>
      </c>
      <c r="BD84" t="inlineStr">
        <is>
          <t>893350778</t>
        </is>
      </c>
    </row>
    <row r="85">
      <c r="A85" t="inlineStr">
        <is>
          <t>No</t>
        </is>
      </c>
      <c r="B85" t="inlineStr">
        <is>
          <t>HN217.5 .D67 1999</t>
        </is>
      </c>
      <c r="C85" t="inlineStr">
        <is>
          <t>0                      HN 0217500D  67          1999</t>
        </is>
      </c>
      <c r="D85" t="inlineStr">
        <is>
          <t>Problemas sociológicos de fin de siglo / Carlos Dore Cabral; [con prólogo de Fernando I. Ferrán].</t>
        </is>
      </c>
      <c r="F85" t="inlineStr">
        <is>
          <t>No</t>
        </is>
      </c>
      <c r="G85" t="inlineStr">
        <is>
          <t>1</t>
        </is>
      </c>
      <c r="H85" t="inlineStr">
        <is>
          <t>No</t>
        </is>
      </c>
      <c r="I85" t="inlineStr">
        <is>
          <t>No</t>
        </is>
      </c>
      <c r="J85" t="inlineStr">
        <is>
          <t>0</t>
        </is>
      </c>
      <c r="K85" t="inlineStr">
        <is>
          <t>Dore y Cabral, Carlos.</t>
        </is>
      </c>
      <c r="L85" t="inlineStr">
        <is>
          <t>Santo Domingo, República Dominicana : FLACSO-República Dominicana, 1999.</t>
        </is>
      </c>
      <c r="M85" t="inlineStr">
        <is>
          <t>1999</t>
        </is>
      </c>
      <c r="N85" t="inlineStr">
        <is>
          <t>1ra ed.</t>
        </is>
      </c>
      <c r="O85" t="inlineStr">
        <is>
          <t>spa</t>
        </is>
      </c>
      <c r="P85" t="inlineStr">
        <is>
          <t xml:space="preserve">dr </t>
        </is>
      </c>
      <c r="R85" t="inlineStr">
        <is>
          <t xml:space="preserve">HN </t>
        </is>
      </c>
      <c r="S85" t="n">
        <v>1</v>
      </c>
      <c r="T85" t="n">
        <v>1</v>
      </c>
      <c r="U85" t="inlineStr">
        <is>
          <t>2000-11-01</t>
        </is>
      </c>
      <c r="V85" t="inlineStr">
        <is>
          <t>2000-11-01</t>
        </is>
      </c>
      <c r="W85" t="inlineStr">
        <is>
          <t>2000-11-01</t>
        </is>
      </c>
      <c r="X85" t="inlineStr">
        <is>
          <t>2000-11-01</t>
        </is>
      </c>
      <c r="Y85" t="n">
        <v>19</v>
      </c>
      <c r="Z85" t="n">
        <v>15</v>
      </c>
      <c r="AA85" t="n">
        <v>15</v>
      </c>
      <c r="AB85" t="n">
        <v>1</v>
      </c>
      <c r="AC85" t="n">
        <v>1</v>
      </c>
      <c r="AD85" t="n">
        <v>1</v>
      </c>
      <c r="AE85" t="n">
        <v>1</v>
      </c>
      <c r="AF85" t="n">
        <v>0</v>
      </c>
      <c r="AG85" t="n">
        <v>0</v>
      </c>
      <c r="AH85" t="n">
        <v>1</v>
      </c>
      <c r="AI85" t="n">
        <v>1</v>
      </c>
      <c r="AJ85" t="n">
        <v>0</v>
      </c>
      <c r="AK85" t="n">
        <v>0</v>
      </c>
      <c r="AL85" t="n">
        <v>0</v>
      </c>
      <c r="AM85" t="n">
        <v>0</v>
      </c>
      <c r="AN85" t="n">
        <v>0</v>
      </c>
      <c r="AO85" t="n">
        <v>0</v>
      </c>
      <c r="AP85" t="inlineStr">
        <is>
          <t>No</t>
        </is>
      </c>
      <c r="AQ85" t="inlineStr">
        <is>
          <t>No</t>
        </is>
      </c>
      <c r="AS85">
        <f>HYPERLINK("https://creighton-primo.hosted.exlibrisgroup.com/primo-explore/search?tab=default_tab&amp;search_scope=EVERYTHING&amp;vid=01CRU&amp;lang=en_US&amp;offset=0&amp;query=any,contains,991003246579702656","Catalog Record")</f>
        <v/>
      </c>
      <c r="AT85">
        <f>HYPERLINK("http://www.worldcat.org/oclc/43324526","WorldCat Record")</f>
        <v/>
      </c>
      <c r="AU85" t="inlineStr">
        <is>
          <t>44782148:spa</t>
        </is>
      </c>
      <c r="AV85" t="inlineStr">
        <is>
          <t>43324526</t>
        </is>
      </c>
      <c r="AW85" t="inlineStr">
        <is>
          <t>991003246579702656</t>
        </is>
      </c>
      <c r="AX85" t="inlineStr">
        <is>
          <t>991003246579702656</t>
        </is>
      </c>
      <c r="AY85" t="inlineStr">
        <is>
          <t>2272729950002656</t>
        </is>
      </c>
      <c r="AZ85" t="inlineStr">
        <is>
          <t>BOOK</t>
        </is>
      </c>
      <c r="BC85" t="inlineStr">
        <is>
          <t>32285004261896</t>
        </is>
      </c>
      <c r="BD85" t="inlineStr">
        <is>
          <t>893880966</t>
        </is>
      </c>
    </row>
    <row r="86">
      <c r="A86" t="inlineStr">
        <is>
          <t>No</t>
        </is>
      </c>
      <c r="B86" t="inlineStr">
        <is>
          <t>HN217.5 .I43 1973</t>
        </is>
      </c>
      <c r="C86" t="inlineStr">
        <is>
          <t>0                      HN 0217500I  43          1973</t>
        </is>
      </c>
      <c r="D86" t="inlineStr">
        <is>
          <t>Imperialismo y clases sociales en el Caribe / [por] Mercedes Acosta ... [et al.]</t>
        </is>
      </c>
      <c r="F86" t="inlineStr">
        <is>
          <t>No</t>
        </is>
      </c>
      <c r="G86" t="inlineStr">
        <is>
          <t>1</t>
        </is>
      </c>
      <c r="H86" t="inlineStr">
        <is>
          <t>No</t>
        </is>
      </c>
      <c r="I86" t="inlineStr">
        <is>
          <t>No</t>
        </is>
      </c>
      <c r="J86" t="inlineStr">
        <is>
          <t>0</t>
        </is>
      </c>
      <c r="L86" t="inlineStr">
        <is>
          <t>Buenos Aires : Cuenca Ediciones, [1973]</t>
        </is>
      </c>
      <c r="M86" t="inlineStr">
        <is>
          <t>1973</t>
        </is>
      </c>
      <c r="O86" t="inlineStr">
        <is>
          <t>spa</t>
        </is>
      </c>
      <c r="P86" t="inlineStr">
        <is>
          <t xml:space="preserve">ag </t>
        </is>
      </c>
      <c r="R86" t="inlineStr">
        <is>
          <t xml:space="preserve">HN </t>
        </is>
      </c>
      <c r="S86" t="n">
        <v>2</v>
      </c>
      <c r="T86" t="n">
        <v>2</v>
      </c>
      <c r="U86" t="inlineStr">
        <is>
          <t>2001-05-16</t>
        </is>
      </c>
      <c r="V86" t="inlineStr">
        <is>
          <t>2001-05-16</t>
        </is>
      </c>
      <c r="W86" t="inlineStr">
        <is>
          <t>2001-04-02</t>
        </is>
      </c>
      <c r="X86" t="inlineStr">
        <is>
          <t>2001-04-02</t>
        </is>
      </c>
      <c r="Y86" t="n">
        <v>63</v>
      </c>
      <c r="Z86" t="n">
        <v>49</v>
      </c>
      <c r="AA86" t="n">
        <v>50</v>
      </c>
      <c r="AB86" t="n">
        <v>2</v>
      </c>
      <c r="AC86" t="n">
        <v>2</v>
      </c>
      <c r="AD86" t="n">
        <v>3</v>
      </c>
      <c r="AE86" t="n">
        <v>3</v>
      </c>
      <c r="AF86" t="n">
        <v>0</v>
      </c>
      <c r="AG86" t="n">
        <v>0</v>
      </c>
      <c r="AH86" t="n">
        <v>2</v>
      </c>
      <c r="AI86" t="n">
        <v>2</v>
      </c>
      <c r="AJ86" t="n">
        <v>1</v>
      </c>
      <c r="AK86" t="n">
        <v>1</v>
      </c>
      <c r="AL86" t="n">
        <v>1</v>
      </c>
      <c r="AM86" t="n">
        <v>1</v>
      </c>
      <c r="AN86" t="n">
        <v>0</v>
      </c>
      <c r="AO86" t="n">
        <v>0</v>
      </c>
      <c r="AP86" t="inlineStr">
        <is>
          <t>No</t>
        </is>
      </c>
      <c r="AQ86" t="inlineStr">
        <is>
          <t>Yes</t>
        </is>
      </c>
      <c r="AR86">
        <f>HYPERLINK("http://catalog.hathitrust.org/Record/000975233","HathiTrust Record")</f>
        <v/>
      </c>
      <c r="AS86">
        <f>HYPERLINK("https://creighton-primo.hosted.exlibrisgroup.com/primo-explore/search?tab=default_tab&amp;search_scope=EVERYTHING&amp;vid=01CRU&amp;lang=en_US&amp;offset=0&amp;query=any,contains,991003516869702656","Catalog Record")</f>
        <v/>
      </c>
      <c r="AT86">
        <f>HYPERLINK("http://www.worldcat.org/oclc/1202860","WorldCat Record")</f>
        <v/>
      </c>
      <c r="AU86" t="inlineStr">
        <is>
          <t>53631153:spa</t>
        </is>
      </c>
      <c r="AV86" t="inlineStr">
        <is>
          <t>1202860</t>
        </is>
      </c>
      <c r="AW86" t="inlineStr">
        <is>
          <t>991003516869702656</t>
        </is>
      </c>
      <c r="AX86" t="inlineStr">
        <is>
          <t>991003516869702656</t>
        </is>
      </c>
      <c r="AY86" t="inlineStr">
        <is>
          <t>2271241550002656</t>
        </is>
      </c>
      <c r="AZ86" t="inlineStr">
        <is>
          <t>BOOK</t>
        </is>
      </c>
      <c r="BC86" t="inlineStr">
        <is>
          <t>32285004309158</t>
        </is>
      </c>
      <c r="BD86" t="inlineStr">
        <is>
          <t>893318059</t>
        </is>
      </c>
    </row>
    <row r="87">
      <c r="A87" t="inlineStr">
        <is>
          <t>No</t>
        </is>
      </c>
      <c r="B87" t="inlineStr">
        <is>
          <t>HN217.5 .I43 1981</t>
        </is>
      </c>
      <c r="C87" t="inlineStr">
        <is>
          <t>0                      HN 0217500I  43          1981</t>
        </is>
      </c>
      <c r="D87" t="inlineStr">
        <is>
          <t>Azúcar y política en la República Dominicana / autores, Andrés Corten ... [et al.].</t>
        </is>
      </c>
      <c r="F87" t="inlineStr">
        <is>
          <t>No</t>
        </is>
      </c>
      <c r="G87" t="inlineStr">
        <is>
          <t>1</t>
        </is>
      </c>
      <c r="H87" t="inlineStr">
        <is>
          <t>No</t>
        </is>
      </c>
      <c r="I87" t="inlineStr">
        <is>
          <t>No</t>
        </is>
      </c>
      <c r="J87" t="inlineStr">
        <is>
          <t>0</t>
        </is>
      </c>
      <c r="K87" t="inlineStr">
        <is>
          <t>Imperialismo y clases sociales en el Caribe.</t>
        </is>
      </c>
      <c r="L87" t="inlineStr">
        <is>
          <t>Santo Domingo : Taller, 1981.</t>
        </is>
      </c>
      <c r="M87" t="inlineStr">
        <is>
          <t>1981</t>
        </is>
      </c>
      <c r="N87" t="inlineStr">
        <is>
          <t>3. ed.</t>
        </is>
      </c>
      <c r="O87" t="inlineStr">
        <is>
          <t>spa</t>
        </is>
      </c>
      <c r="P87" t="inlineStr">
        <is>
          <t xml:space="preserve">dr </t>
        </is>
      </c>
      <c r="Q87" t="inlineStr">
        <is>
          <t>Biblioteca Taller ; 71</t>
        </is>
      </c>
      <c r="R87" t="inlineStr">
        <is>
          <t xml:space="preserve">HN </t>
        </is>
      </c>
      <c r="S87" t="n">
        <v>2</v>
      </c>
      <c r="T87" t="n">
        <v>2</v>
      </c>
      <c r="U87" t="inlineStr">
        <is>
          <t>1997-05-06</t>
        </is>
      </c>
      <c r="V87" t="inlineStr">
        <is>
          <t>1997-05-06</t>
        </is>
      </c>
      <c r="W87" t="inlineStr">
        <is>
          <t>1995-12-06</t>
        </is>
      </c>
      <c r="X87" t="inlineStr">
        <is>
          <t>1995-12-06</t>
        </is>
      </c>
      <c r="Y87" t="n">
        <v>27</v>
      </c>
      <c r="Z87" t="n">
        <v>23</v>
      </c>
      <c r="AA87" t="n">
        <v>66</v>
      </c>
      <c r="AB87" t="n">
        <v>1</v>
      </c>
      <c r="AC87" t="n">
        <v>1</v>
      </c>
      <c r="AD87" t="n">
        <v>2</v>
      </c>
      <c r="AE87" t="n">
        <v>3</v>
      </c>
      <c r="AF87" t="n">
        <v>0</v>
      </c>
      <c r="AG87" t="n">
        <v>0</v>
      </c>
      <c r="AH87" t="n">
        <v>2</v>
      </c>
      <c r="AI87" t="n">
        <v>3</v>
      </c>
      <c r="AJ87" t="n">
        <v>0</v>
      </c>
      <c r="AK87" t="n">
        <v>1</v>
      </c>
      <c r="AL87" t="n">
        <v>0</v>
      </c>
      <c r="AM87" t="n">
        <v>0</v>
      </c>
      <c r="AN87" t="n">
        <v>0</v>
      </c>
      <c r="AO87" t="n">
        <v>0</v>
      </c>
      <c r="AP87" t="inlineStr">
        <is>
          <t>No</t>
        </is>
      </c>
      <c r="AQ87" t="inlineStr">
        <is>
          <t>No</t>
        </is>
      </c>
      <c r="AS87">
        <f>HYPERLINK("https://creighton-primo.hosted.exlibrisgroup.com/primo-explore/search?tab=default_tab&amp;search_scope=EVERYTHING&amp;vid=01CRU&amp;lang=en_US&amp;offset=0&amp;query=any,contains,991000084429702656","Catalog Record")</f>
        <v/>
      </c>
      <c r="AT87">
        <f>HYPERLINK("http://www.worldcat.org/oclc/8847854","WorldCat Record")</f>
        <v/>
      </c>
      <c r="AU87" t="inlineStr">
        <is>
          <t>148151379:spa</t>
        </is>
      </c>
      <c r="AV87" t="inlineStr">
        <is>
          <t>8847854</t>
        </is>
      </c>
      <c r="AW87" t="inlineStr">
        <is>
          <t>991000084429702656</t>
        </is>
      </c>
      <c r="AX87" t="inlineStr">
        <is>
          <t>991000084429702656</t>
        </is>
      </c>
      <c r="AY87" t="inlineStr">
        <is>
          <t>2257180020002656</t>
        </is>
      </c>
      <c r="AZ87" t="inlineStr">
        <is>
          <t>BOOK</t>
        </is>
      </c>
      <c r="BC87" t="inlineStr">
        <is>
          <t>32285002109253</t>
        </is>
      </c>
      <c r="BD87" t="inlineStr">
        <is>
          <t>893607605</t>
        </is>
      </c>
    </row>
    <row r="88">
      <c r="A88" t="inlineStr">
        <is>
          <t>No</t>
        </is>
      </c>
      <c r="B88" t="inlineStr">
        <is>
          <t>HN217.5 .R47 1999</t>
        </is>
      </c>
      <c r="C88" t="inlineStr">
        <is>
          <t>0                      HN 0217500R  47          1999</t>
        </is>
      </c>
      <c r="D88" t="inlineStr">
        <is>
          <t>La República Dominicana en el umbral del Siglo XXI : cultura, política y cambio social / Ramonina Brea, Rosario Espinal, Fernando Valerio-Holguín (editores).</t>
        </is>
      </c>
      <c r="F88" t="inlineStr">
        <is>
          <t>No</t>
        </is>
      </c>
      <c r="G88" t="inlineStr">
        <is>
          <t>1</t>
        </is>
      </c>
      <c r="H88" t="inlineStr">
        <is>
          <t>No</t>
        </is>
      </c>
      <c r="I88" t="inlineStr">
        <is>
          <t>No</t>
        </is>
      </c>
      <c r="J88" t="inlineStr">
        <is>
          <t>0</t>
        </is>
      </c>
      <c r="L88" t="inlineStr">
        <is>
          <t>Santo Domingo, República Dominicana : Pontificia Universidad Católica Madre y Maestra, Centro Universitario de Estudios Políticos y Sociales, c1999.</t>
        </is>
      </c>
      <c r="M88" t="inlineStr">
        <is>
          <t>1999</t>
        </is>
      </c>
      <c r="O88" t="inlineStr">
        <is>
          <t>spa</t>
        </is>
      </c>
      <c r="P88" t="inlineStr">
        <is>
          <t xml:space="preserve">dr </t>
        </is>
      </c>
      <c r="R88" t="inlineStr">
        <is>
          <t xml:space="preserve">HN </t>
        </is>
      </c>
      <c r="S88" t="n">
        <v>1</v>
      </c>
      <c r="T88" t="n">
        <v>1</v>
      </c>
      <c r="U88" t="inlineStr">
        <is>
          <t>2004-04-20</t>
        </is>
      </c>
      <c r="V88" t="inlineStr">
        <is>
          <t>2004-04-20</t>
        </is>
      </c>
      <c r="W88" t="inlineStr">
        <is>
          <t>2001-06-13</t>
        </is>
      </c>
      <c r="X88" t="inlineStr">
        <is>
          <t>2001-06-13</t>
        </is>
      </c>
      <c r="Y88" t="n">
        <v>34</v>
      </c>
      <c r="Z88" t="n">
        <v>32</v>
      </c>
      <c r="AA88" t="n">
        <v>34</v>
      </c>
      <c r="AB88" t="n">
        <v>1</v>
      </c>
      <c r="AC88" t="n">
        <v>1</v>
      </c>
      <c r="AD88" t="n">
        <v>1</v>
      </c>
      <c r="AE88" t="n">
        <v>1</v>
      </c>
      <c r="AF88" t="n">
        <v>0</v>
      </c>
      <c r="AG88" t="n">
        <v>0</v>
      </c>
      <c r="AH88" t="n">
        <v>1</v>
      </c>
      <c r="AI88" t="n">
        <v>1</v>
      </c>
      <c r="AJ88" t="n">
        <v>0</v>
      </c>
      <c r="AK88" t="n">
        <v>0</v>
      </c>
      <c r="AL88" t="n">
        <v>0</v>
      </c>
      <c r="AM88" t="n">
        <v>0</v>
      </c>
      <c r="AN88" t="n">
        <v>0</v>
      </c>
      <c r="AO88" t="n">
        <v>0</v>
      </c>
      <c r="AP88" t="inlineStr">
        <is>
          <t>No</t>
        </is>
      </c>
      <c r="AQ88" t="inlineStr">
        <is>
          <t>Yes</t>
        </is>
      </c>
      <c r="AR88">
        <f>HYPERLINK("http://catalog.hathitrust.org/Record/004123674","HathiTrust Record")</f>
        <v/>
      </c>
      <c r="AS88">
        <f>HYPERLINK("https://creighton-primo.hosted.exlibrisgroup.com/primo-explore/search?tab=default_tab&amp;search_scope=EVERYTHING&amp;vid=01CRU&amp;lang=en_US&amp;offset=0&amp;query=any,contains,991003545989702656","Catalog Record")</f>
        <v/>
      </c>
      <c r="AT88">
        <f>HYPERLINK("http://www.worldcat.org/oclc/46589941","WorldCat Record")</f>
        <v/>
      </c>
      <c r="AU88" t="inlineStr">
        <is>
          <t>903483857:spa</t>
        </is>
      </c>
      <c r="AV88" t="inlineStr">
        <is>
          <t>46589941</t>
        </is>
      </c>
      <c r="AW88" t="inlineStr">
        <is>
          <t>991003545989702656</t>
        </is>
      </c>
      <c r="AX88" t="inlineStr">
        <is>
          <t>991003545989702656</t>
        </is>
      </c>
      <c r="AY88" t="inlineStr">
        <is>
          <t>2271804470002656</t>
        </is>
      </c>
      <c r="AZ88" t="inlineStr">
        <is>
          <t>BOOK</t>
        </is>
      </c>
      <c r="BB88" t="inlineStr">
        <is>
          <t>9788489548527</t>
        </is>
      </c>
      <c r="BC88" t="inlineStr">
        <is>
          <t>32285004327226</t>
        </is>
      </c>
      <c r="BD88" t="inlineStr">
        <is>
          <t>893410392</t>
        </is>
      </c>
    </row>
    <row r="89">
      <c r="A89" t="inlineStr">
        <is>
          <t>No</t>
        </is>
      </c>
      <c r="B89" t="inlineStr">
        <is>
          <t>HN217.7 .T46</t>
        </is>
      </c>
      <c r="C89" t="inlineStr">
        <is>
          <t>0                      HN 0217700T  46</t>
        </is>
      </c>
      <c r="D89" t="inlineStr">
        <is>
          <t>Tendencias demográficas, problemas sociales y desarrollo en la República Dominicana / [autores, Nelson Ramírez Madera ... et al.].</t>
        </is>
      </c>
      <c r="E89" t="inlineStr">
        <is>
          <t>V.1</t>
        </is>
      </c>
      <c r="F89" t="inlineStr">
        <is>
          <t>No</t>
        </is>
      </c>
      <c r="G89" t="inlineStr">
        <is>
          <t>1</t>
        </is>
      </c>
      <c r="H89" t="inlineStr">
        <is>
          <t>No</t>
        </is>
      </c>
      <c r="I89" t="inlineStr">
        <is>
          <t>No</t>
        </is>
      </c>
      <c r="J89" t="inlineStr">
        <is>
          <t>0</t>
        </is>
      </c>
      <c r="L89" t="inlineStr">
        <is>
          <t>Santo Domingo : Centro de Estudios Sociales y Demográficos, c1999-</t>
        </is>
      </c>
      <c r="M89" t="inlineStr">
        <is>
          <t>1999</t>
        </is>
      </c>
      <c r="N89" t="inlineStr">
        <is>
          <t>1. ed.</t>
        </is>
      </c>
      <c r="O89" t="inlineStr">
        <is>
          <t>spa</t>
        </is>
      </c>
      <c r="P89" t="inlineStr">
        <is>
          <t xml:space="preserve">dr </t>
        </is>
      </c>
      <c r="R89" t="inlineStr">
        <is>
          <t xml:space="preserve">HN </t>
        </is>
      </c>
      <c r="S89" t="n">
        <v>2</v>
      </c>
      <c r="T89" t="n">
        <v>2</v>
      </c>
      <c r="U89" t="inlineStr">
        <is>
          <t>2001-05-16</t>
        </is>
      </c>
      <c r="V89" t="inlineStr">
        <is>
          <t>2001-05-16</t>
        </is>
      </c>
      <c r="W89" t="inlineStr">
        <is>
          <t>2001-04-16</t>
        </is>
      </c>
      <c r="X89" t="inlineStr">
        <is>
          <t>2001-04-16</t>
        </is>
      </c>
      <c r="Y89" t="n">
        <v>8</v>
      </c>
      <c r="Z89" t="n">
        <v>8</v>
      </c>
      <c r="AA89" t="n">
        <v>8</v>
      </c>
      <c r="AB89" t="n">
        <v>1</v>
      </c>
      <c r="AC89" t="n">
        <v>1</v>
      </c>
      <c r="AD89" t="n">
        <v>1</v>
      </c>
      <c r="AE89" t="n">
        <v>1</v>
      </c>
      <c r="AF89" t="n">
        <v>0</v>
      </c>
      <c r="AG89" t="n">
        <v>0</v>
      </c>
      <c r="AH89" t="n">
        <v>1</v>
      </c>
      <c r="AI89" t="n">
        <v>1</v>
      </c>
      <c r="AJ89" t="n">
        <v>0</v>
      </c>
      <c r="AK89" t="n">
        <v>0</v>
      </c>
      <c r="AL89" t="n">
        <v>0</v>
      </c>
      <c r="AM89" t="n">
        <v>0</v>
      </c>
      <c r="AN89" t="n">
        <v>0</v>
      </c>
      <c r="AO89" t="n">
        <v>0</v>
      </c>
      <c r="AP89" t="inlineStr">
        <is>
          <t>No</t>
        </is>
      </c>
      <c r="AQ89" t="inlineStr">
        <is>
          <t>No</t>
        </is>
      </c>
      <c r="AS89">
        <f>HYPERLINK("https://creighton-primo.hosted.exlibrisgroup.com/primo-explore/search?tab=default_tab&amp;search_scope=EVERYTHING&amp;vid=01CRU&amp;lang=en_US&amp;offset=0&amp;query=any,contains,991003285859702656","Catalog Record")</f>
        <v/>
      </c>
      <c r="AT89">
        <f>HYPERLINK("http://www.worldcat.org/oclc/46389272","WorldCat Record")</f>
        <v/>
      </c>
      <c r="AU89" t="inlineStr">
        <is>
          <t>3134448712:spa</t>
        </is>
      </c>
      <c r="AV89" t="inlineStr">
        <is>
          <t>46389272</t>
        </is>
      </c>
      <c r="AW89" t="inlineStr">
        <is>
          <t>991003285859702656</t>
        </is>
      </c>
      <c r="AX89" t="inlineStr">
        <is>
          <t>991003285859702656</t>
        </is>
      </c>
      <c r="AY89" t="inlineStr">
        <is>
          <t>2257175430002656</t>
        </is>
      </c>
      <c r="AZ89" t="inlineStr">
        <is>
          <t>BOOK</t>
        </is>
      </c>
      <c r="BC89" t="inlineStr">
        <is>
          <t>32285004312624</t>
        </is>
      </c>
      <c r="BD89" t="inlineStr">
        <is>
          <t>893617187</t>
        </is>
      </c>
    </row>
    <row r="90">
      <c r="A90" t="inlineStr">
        <is>
          <t>No</t>
        </is>
      </c>
      <c r="B90" t="inlineStr">
        <is>
          <t>HN219.C6 W3 1972</t>
        </is>
      </c>
      <c r="C90" t="inlineStr">
        <is>
          <t>0                      HN 0219000C  6                  W  3           1972</t>
        </is>
      </c>
      <c r="D90" t="inlineStr">
        <is>
          <t>Politics and the power structure : a rural community in the Dominican Republic / [by] Malcolm T. Walker.</t>
        </is>
      </c>
      <c r="F90" t="inlineStr">
        <is>
          <t>No</t>
        </is>
      </c>
      <c r="G90" t="inlineStr">
        <is>
          <t>1</t>
        </is>
      </c>
      <c r="H90" t="inlineStr">
        <is>
          <t>No</t>
        </is>
      </c>
      <c r="I90" t="inlineStr">
        <is>
          <t>No</t>
        </is>
      </c>
      <c r="J90" t="inlineStr">
        <is>
          <t>0</t>
        </is>
      </c>
      <c r="K90" t="inlineStr">
        <is>
          <t>Walker, Malcolm T.</t>
        </is>
      </c>
      <c r="L90" t="inlineStr">
        <is>
          <t>New York : Teachers College Press, [c1972]</t>
        </is>
      </c>
      <c r="M90" t="inlineStr">
        <is>
          <t>1972</t>
        </is>
      </c>
      <c r="O90" t="inlineStr">
        <is>
          <t>eng</t>
        </is>
      </c>
      <c r="P90" t="inlineStr">
        <is>
          <t>nyu</t>
        </is>
      </c>
      <c r="Q90" t="inlineStr">
        <is>
          <t>Publications of the Center for Education in Latin America, Institute for International Studies</t>
        </is>
      </c>
      <c r="R90" t="inlineStr">
        <is>
          <t xml:space="preserve">HN </t>
        </is>
      </c>
      <c r="S90" t="n">
        <v>2</v>
      </c>
      <c r="T90" t="n">
        <v>2</v>
      </c>
      <c r="U90" t="inlineStr">
        <is>
          <t>2000-05-17</t>
        </is>
      </c>
      <c r="V90" t="inlineStr">
        <is>
          <t>2000-05-17</t>
        </is>
      </c>
      <c r="W90" t="inlineStr">
        <is>
          <t>1997-03-06</t>
        </is>
      </c>
      <c r="X90" t="inlineStr">
        <is>
          <t>1997-03-06</t>
        </is>
      </c>
      <c r="Y90" t="n">
        <v>334</v>
      </c>
      <c r="Z90" t="n">
        <v>275</v>
      </c>
      <c r="AA90" t="n">
        <v>278</v>
      </c>
      <c r="AB90" t="n">
        <v>2</v>
      </c>
      <c r="AC90" t="n">
        <v>2</v>
      </c>
      <c r="AD90" t="n">
        <v>15</v>
      </c>
      <c r="AE90" t="n">
        <v>15</v>
      </c>
      <c r="AF90" t="n">
        <v>3</v>
      </c>
      <c r="AG90" t="n">
        <v>3</v>
      </c>
      <c r="AH90" t="n">
        <v>6</v>
      </c>
      <c r="AI90" t="n">
        <v>6</v>
      </c>
      <c r="AJ90" t="n">
        <v>10</v>
      </c>
      <c r="AK90" t="n">
        <v>10</v>
      </c>
      <c r="AL90" t="n">
        <v>1</v>
      </c>
      <c r="AM90" t="n">
        <v>1</v>
      </c>
      <c r="AN90" t="n">
        <v>0</v>
      </c>
      <c r="AO90" t="n">
        <v>0</v>
      </c>
      <c r="AP90" t="inlineStr">
        <is>
          <t>No</t>
        </is>
      </c>
      <c r="AQ90" t="inlineStr">
        <is>
          <t>Yes</t>
        </is>
      </c>
      <c r="AR90">
        <f>HYPERLINK("http://catalog.hathitrust.org/Record/000975234","HathiTrust Record")</f>
        <v/>
      </c>
      <c r="AS90">
        <f>HYPERLINK("https://creighton-primo.hosted.exlibrisgroup.com/primo-explore/search?tab=default_tab&amp;search_scope=EVERYTHING&amp;vid=01CRU&amp;lang=en_US&amp;offset=0&amp;query=any,contains,991005356059702656","Catalog Record")</f>
        <v/>
      </c>
      <c r="AT90">
        <f>HYPERLINK("http://www.worldcat.org/oclc/622069","WorldCat Record")</f>
        <v/>
      </c>
      <c r="AU90" t="inlineStr">
        <is>
          <t>836669725:eng</t>
        </is>
      </c>
      <c r="AV90" t="inlineStr">
        <is>
          <t>622069</t>
        </is>
      </c>
      <c r="AW90" t="inlineStr">
        <is>
          <t>991005356059702656</t>
        </is>
      </c>
      <c r="AX90" t="inlineStr">
        <is>
          <t>991005356059702656</t>
        </is>
      </c>
      <c r="AY90" t="inlineStr">
        <is>
          <t>2257066170002656</t>
        </is>
      </c>
      <c r="AZ90" t="inlineStr">
        <is>
          <t>BOOK</t>
        </is>
      </c>
      <c r="BC90" t="inlineStr">
        <is>
          <t>32285002440310</t>
        </is>
      </c>
      <c r="BD90" t="inlineStr">
        <is>
          <t>893242590</t>
        </is>
      </c>
    </row>
    <row r="91">
      <c r="A91" t="inlineStr">
        <is>
          <t>No</t>
        </is>
      </c>
      <c r="B91" t="inlineStr">
        <is>
          <t>HN219.S2 L69 1997</t>
        </is>
      </c>
      <c r="C91" t="inlineStr">
        <is>
          <t>0                      HN 0219000S  2                  L  69          1997</t>
        </is>
      </c>
      <c r="D91" t="inlineStr">
        <is>
          <t>La urbanización de la pobreza : urbanización, trabajo y desigualdad social en Santo Domingo / Wilfredo Lozano; colaboración de Isis Duarte, Otto Fernández.</t>
        </is>
      </c>
      <c r="F91" t="inlineStr">
        <is>
          <t>No</t>
        </is>
      </c>
      <c r="G91" t="inlineStr">
        <is>
          <t>1</t>
        </is>
      </c>
      <c r="H91" t="inlineStr">
        <is>
          <t>No</t>
        </is>
      </c>
      <c r="I91" t="inlineStr">
        <is>
          <t>No</t>
        </is>
      </c>
      <c r="J91" t="inlineStr">
        <is>
          <t>0</t>
        </is>
      </c>
      <c r="K91" t="inlineStr">
        <is>
          <t>Lozano, Wilfredo, 1950-</t>
        </is>
      </c>
      <c r="L91" t="inlineStr">
        <is>
          <t>Santo Domingo : FLACSO, Programa República Dominicana, 1997.</t>
        </is>
      </c>
      <c r="M91" t="inlineStr">
        <is>
          <t>1997</t>
        </is>
      </c>
      <c r="O91" t="inlineStr">
        <is>
          <t>spa</t>
        </is>
      </c>
      <c r="P91" t="inlineStr">
        <is>
          <t xml:space="preserve">dr </t>
        </is>
      </c>
      <c r="R91" t="inlineStr">
        <is>
          <t xml:space="preserve">HN </t>
        </is>
      </c>
      <c r="S91" t="n">
        <v>0</v>
      </c>
      <c r="T91" t="n">
        <v>0</v>
      </c>
      <c r="U91" t="inlineStr">
        <is>
          <t>2008-01-24</t>
        </is>
      </c>
      <c r="V91" t="inlineStr">
        <is>
          <t>2008-01-24</t>
        </is>
      </c>
      <c r="W91" t="inlineStr">
        <is>
          <t>1999-06-07</t>
        </is>
      </c>
      <c r="X91" t="inlineStr">
        <is>
          <t>1999-06-07</t>
        </is>
      </c>
      <c r="Y91" t="n">
        <v>30</v>
      </c>
      <c r="Z91" t="n">
        <v>29</v>
      </c>
      <c r="AA91" t="n">
        <v>31</v>
      </c>
      <c r="AB91" t="n">
        <v>1</v>
      </c>
      <c r="AC91" t="n">
        <v>1</v>
      </c>
      <c r="AD91" t="n">
        <v>1</v>
      </c>
      <c r="AE91" t="n">
        <v>1</v>
      </c>
      <c r="AF91" t="n">
        <v>0</v>
      </c>
      <c r="AG91" t="n">
        <v>0</v>
      </c>
      <c r="AH91" t="n">
        <v>1</v>
      </c>
      <c r="AI91" t="n">
        <v>1</v>
      </c>
      <c r="AJ91" t="n">
        <v>0</v>
      </c>
      <c r="AK91" t="n">
        <v>0</v>
      </c>
      <c r="AL91" t="n">
        <v>0</v>
      </c>
      <c r="AM91" t="n">
        <v>0</v>
      </c>
      <c r="AN91" t="n">
        <v>0</v>
      </c>
      <c r="AO91" t="n">
        <v>0</v>
      </c>
      <c r="AP91" t="inlineStr">
        <is>
          <t>No</t>
        </is>
      </c>
      <c r="AQ91" t="inlineStr">
        <is>
          <t>Yes</t>
        </is>
      </c>
      <c r="AR91">
        <f>HYPERLINK("http://catalog.hathitrust.org/Record/003992290","HathiTrust Record")</f>
        <v/>
      </c>
      <c r="AS91">
        <f>HYPERLINK("https://creighton-primo.hosted.exlibrisgroup.com/primo-explore/search?tab=default_tab&amp;search_scope=EVERYTHING&amp;vid=01CRU&amp;lang=en_US&amp;offset=0&amp;query=any,contains,991002938569702656","Catalog Record")</f>
        <v/>
      </c>
      <c r="AT91">
        <f>HYPERLINK("http://www.worldcat.org/oclc/39093396","WorldCat Record")</f>
        <v/>
      </c>
      <c r="AU91" t="inlineStr">
        <is>
          <t>477550670:spa</t>
        </is>
      </c>
      <c r="AV91" t="inlineStr">
        <is>
          <t>39093396</t>
        </is>
      </c>
      <c r="AW91" t="inlineStr">
        <is>
          <t>991002938569702656</t>
        </is>
      </c>
      <c r="AX91" t="inlineStr">
        <is>
          <t>991002938569702656</t>
        </is>
      </c>
      <c r="AY91" t="inlineStr">
        <is>
          <t>2272731330002656</t>
        </is>
      </c>
      <c r="AZ91" t="inlineStr">
        <is>
          <t>BOOK</t>
        </is>
      </c>
      <c r="BB91" t="inlineStr">
        <is>
          <t>9788492184514</t>
        </is>
      </c>
      <c r="BC91" t="inlineStr">
        <is>
          <t>32285003573481</t>
        </is>
      </c>
      <c r="BD91" t="inlineStr">
        <is>
          <t>893262554</t>
        </is>
      </c>
    </row>
    <row r="92">
      <c r="A92" t="inlineStr">
        <is>
          <t>No</t>
        </is>
      </c>
      <c r="B92" t="inlineStr">
        <is>
          <t>HN220.2.C6 M4 1996</t>
        </is>
      </c>
      <c r="C92" t="inlineStr">
        <is>
          <t>0                      HN 0220200C  6                  M  4           1996</t>
        </is>
      </c>
      <c r="D92" t="inlineStr">
        <is>
          <t>La frontera : un viaje fotográfico hecho por FUDECO en la República Dominicana / introducción, Horacio J. Ornes Heded ; prefacio, Bernd V. Dreesmann ; fotografías de Nancy Durrell McKenna = La frontera : a photographic journey of FUDECO's work in the Dominican Republic / introduction, Horacio J. Ornes Heded ; foreword, Bernd V. Dreesmann ; photographs by Nancy Durrell McKenna.</t>
        </is>
      </c>
      <c r="F92" t="inlineStr">
        <is>
          <t>No</t>
        </is>
      </c>
      <c r="G92" t="inlineStr">
        <is>
          <t>1</t>
        </is>
      </c>
      <c r="H92" t="inlineStr">
        <is>
          <t>No</t>
        </is>
      </c>
      <c r="I92" t="inlineStr">
        <is>
          <t>No</t>
        </is>
      </c>
      <c r="J92" t="inlineStr">
        <is>
          <t>0</t>
        </is>
      </c>
      <c r="K92" t="inlineStr">
        <is>
          <t>McKenna, Nancy Durrell.</t>
        </is>
      </c>
      <c r="L92" t="inlineStr">
        <is>
          <t>Santo Domingo, República Dominicana : Fundación para el Desarrollo Comunitario, [1996?]</t>
        </is>
      </c>
      <c r="M92" t="inlineStr">
        <is>
          <t>1996</t>
        </is>
      </c>
      <c r="O92" t="inlineStr">
        <is>
          <t>spa</t>
        </is>
      </c>
      <c r="P92" t="inlineStr">
        <is>
          <t xml:space="preserve">dr </t>
        </is>
      </c>
      <c r="R92" t="inlineStr">
        <is>
          <t xml:space="preserve">HN </t>
        </is>
      </c>
      <c r="S92" t="n">
        <v>2</v>
      </c>
      <c r="T92" t="n">
        <v>2</v>
      </c>
      <c r="U92" t="inlineStr">
        <is>
          <t>2007-04-11</t>
        </is>
      </c>
      <c r="V92" t="inlineStr">
        <is>
          <t>2007-04-11</t>
        </is>
      </c>
      <c r="W92" t="inlineStr">
        <is>
          <t>1999-06-09</t>
        </is>
      </c>
      <c r="X92" t="inlineStr">
        <is>
          <t>1999-06-09</t>
        </is>
      </c>
      <c r="Y92" t="n">
        <v>6</v>
      </c>
      <c r="Z92" t="n">
        <v>6</v>
      </c>
      <c r="AA92" t="n">
        <v>6</v>
      </c>
      <c r="AB92" t="n">
        <v>1</v>
      </c>
      <c r="AC92" t="n">
        <v>1</v>
      </c>
      <c r="AD92" t="n">
        <v>0</v>
      </c>
      <c r="AE92" t="n">
        <v>0</v>
      </c>
      <c r="AF92" t="n">
        <v>0</v>
      </c>
      <c r="AG92" t="n">
        <v>0</v>
      </c>
      <c r="AH92" t="n">
        <v>0</v>
      </c>
      <c r="AI92" t="n">
        <v>0</v>
      </c>
      <c r="AJ92" t="n">
        <v>0</v>
      </c>
      <c r="AK92" t="n">
        <v>0</v>
      </c>
      <c r="AL92" t="n">
        <v>0</v>
      </c>
      <c r="AM92" t="n">
        <v>0</v>
      </c>
      <c r="AN92" t="n">
        <v>0</v>
      </c>
      <c r="AO92" t="n">
        <v>0</v>
      </c>
      <c r="AP92" t="inlineStr">
        <is>
          <t>No</t>
        </is>
      </c>
      <c r="AQ92" t="inlineStr">
        <is>
          <t>No</t>
        </is>
      </c>
      <c r="AS92">
        <f>HYPERLINK("https://creighton-primo.hosted.exlibrisgroup.com/primo-explore/search?tab=default_tab&amp;search_scope=EVERYTHING&amp;vid=01CRU&amp;lang=en_US&amp;offset=0&amp;query=any,contains,991002959249702656","Catalog Record")</f>
        <v/>
      </c>
      <c r="AT92">
        <f>HYPERLINK("http://www.worldcat.org/oclc/39534461","WorldCat Record")</f>
        <v/>
      </c>
      <c r="AU92" t="inlineStr">
        <is>
          <t>147559259:spa</t>
        </is>
      </c>
      <c r="AV92" t="inlineStr">
        <is>
          <t>39534461</t>
        </is>
      </c>
      <c r="AW92" t="inlineStr">
        <is>
          <t>991002959249702656</t>
        </is>
      </c>
      <c r="AX92" t="inlineStr">
        <is>
          <t>991002959249702656</t>
        </is>
      </c>
      <c r="AY92" t="inlineStr">
        <is>
          <t>2257529000002656</t>
        </is>
      </c>
      <c r="AZ92" t="inlineStr">
        <is>
          <t>BOOK</t>
        </is>
      </c>
      <c r="BC92" t="inlineStr">
        <is>
          <t>32285003574430</t>
        </is>
      </c>
      <c r="BD92" t="inlineStr">
        <is>
          <t>893698498</t>
        </is>
      </c>
    </row>
    <row r="93">
      <c r="A93" t="inlineStr">
        <is>
          <t>No</t>
        </is>
      </c>
      <c r="B93" t="inlineStr">
        <is>
          <t>HN220.2.C6 R49 1997</t>
        </is>
      </c>
      <c r="C93" t="inlineStr">
        <is>
          <t>0                      HN 0220200C  6                  R  49          1997</t>
        </is>
      </c>
      <c r="D93" t="inlineStr">
        <is>
          <t>La organización : desarrollo y fortalecimiento / Ivelisse Reyes, Marino Tejeda.</t>
        </is>
      </c>
      <c r="F93" t="inlineStr">
        <is>
          <t>No</t>
        </is>
      </c>
      <c r="G93" t="inlineStr">
        <is>
          <t>1</t>
        </is>
      </c>
      <c r="H93" t="inlineStr">
        <is>
          <t>No</t>
        </is>
      </c>
      <c r="I93" t="inlineStr">
        <is>
          <t>No</t>
        </is>
      </c>
      <c r="J93" t="inlineStr">
        <is>
          <t>0</t>
        </is>
      </c>
      <c r="K93" t="inlineStr">
        <is>
          <t>Reyes, Ivelisse.</t>
        </is>
      </c>
      <c r="L93" t="inlineStr">
        <is>
          <t>Santo Domingo, Distrito Nacional : Ciudad Alternativa, c1997.</t>
        </is>
      </c>
      <c r="M93" t="inlineStr">
        <is>
          <t>1997</t>
        </is>
      </c>
      <c r="N93" t="inlineStr">
        <is>
          <t>1. ed.</t>
        </is>
      </c>
      <c r="O93" t="inlineStr">
        <is>
          <t>spa</t>
        </is>
      </c>
      <c r="P93" t="inlineStr">
        <is>
          <t xml:space="preserve">dr </t>
        </is>
      </c>
      <c r="Q93" t="inlineStr">
        <is>
          <t>Serie Fortalecimiento organizativo ; no. 2</t>
        </is>
      </c>
      <c r="R93" t="inlineStr">
        <is>
          <t xml:space="preserve">HN </t>
        </is>
      </c>
      <c r="S93" t="n">
        <v>1</v>
      </c>
      <c r="T93" t="n">
        <v>1</v>
      </c>
      <c r="U93" t="inlineStr">
        <is>
          <t>2003-12-09</t>
        </is>
      </c>
      <c r="V93" t="inlineStr">
        <is>
          <t>2003-12-09</t>
        </is>
      </c>
      <c r="W93" t="inlineStr">
        <is>
          <t>2003-12-09</t>
        </is>
      </c>
      <c r="X93" t="inlineStr">
        <is>
          <t>2003-12-09</t>
        </is>
      </c>
      <c r="Y93" t="n">
        <v>1</v>
      </c>
      <c r="Z93" t="n">
        <v>1</v>
      </c>
      <c r="AA93" t="n">
        <v>1</v>
      </c>
      <c r="AB93" t="n">
        <v>1</v>
      </c>
      <c r="AC93" t="n">
        <v>1</v>
      </c>
      <c r="AD93" t="n">
        <v>0</v>
      </c>
      <c r="AE93" t="n">
        <v>0</v>
      </c>
      <c r="AF93" t="n">
        <v>0</v>
      </c>
      <c r="AG93" t="n">
        <v>0</v>
      </c>
      <c r="AH93" t="n">
        <v>0</v>
      </c>
      <c r="AI93" t="n">
        <v>0</v>
      </c>
      <c r="AJ93" t="n">
        <v>0</v>
      </c>
      <c r="AK93" t="n">
        <v>0</v>
      </c>
      <c r="AL93" t="n">
        <v>0</v>
      </c>
      <c r="AM93" t="n">
        <v>0</v>
      </c>
      <c r="AN93" t="n">
        <v>0</v>
      </c>
      <c r="AO93" t="n">
        <v>0</v>
      </c>
      <c r="AP93" t="inlineStr">
        <is>
          <t>No</t>
        </is>
      </c>
      <c r="AQ93" t="inlineStr">
        <is>
          <t>No</t>
        </is>
      </c>
      <c r="AS93">
        <f>HYPERLINK("https://creighton-primo.hosted.exlibrisgroup.com/primo-explore/search?tab=default_tab&amp;search_scope=EVERYTHING&amp;vid=01CRU&amp;lang=en_US&amp;offset=0&amp;query=any,contains,991004202369702656","Catalog Record")</f>
        <v/>
      </c>
      <c r="AT93">
        <f>HYPERLINK("http://www.worldcat.org/oclc/53672285","WorldCat Record")</f>
        <v/>
      </c>
      <c r="AU93" t="inlineStr">
        <is>
          <t>12092286:spa</t>
        </is>
      </c>
      <c r="AV93" t="inlineStr">
        <is>
          <t>53672285</t>
        </is>
      </c>
      <c r="AW93" t="inlineStr">
        <is>
          <t>991004202369702656</t>
        </is>
      </c>
      <c r="AX93" t="inlineStr">
        <is>
          <t>991004202369702656</t>
        </is>
      </c>
      <c r="AY93" t="inlineStr">
        <is>
          <t>2264628200002656</t>
        </is>
      </c>
      <c r="AZ93" t="inlineStr">
        <is>
          <t>BOOK</t>
        </is>
      </c>
      <c r="BC93" t="inlineStr">
        <is>
          <t>32285004887195</t>
        </is>
      </c>
      <c r="BD93" t="inlineStr">
        <is>
          <t>893712270</t>
        </is>
      </c>
    </row>
    <row r="94">
      <c r="A94" t="inlineStr">
        <is>
          <t>No</t>
        </is>
      </c>
      <c r="B94" t="inlineStr">
        <is>
          <t>HN220.2.M6 D45 1997</t>
        </is>
      </c>
      <c r="C94" t="inlineStr">
        <is>
          <t>0                      HN 0220200M  6                  D  45          1997</t>
        </is>
      </c>
      <c r="D94" t="inlineStr">
        <is>
          <t>La mala vida : delincuencia y picaresca en la colonia española de Santo Domingo / Carlos Esteban Deive.</t>
        </is>
      </c>
      <c r="F94" t="inlineStr">
        <is>
          <t>No</t>
        </is>
      </c>
      <c r="G94" t="inlineStr">
        <is>
          <t>1</t>
        </is>
      </c>
      <c r="H94" t="inlineStr">
        <is>
          <t>No</t>
        </is>
      </c>
      <c r="I94" t="inlineStr">
        <is>
          <t>No</t>
        </is>
      </c>
      <c r="J94" t="inlineStr">
        <is>
          <t>0</t>
        </is>
      </c>
      <c r="K94" t="inlineStr">
        <is>
          <t>Deive, Carlos Esteban, 1935-</t>
        </is>
      </c>
      <c r="L94" t="inlineStr">
        <is>
          <t>Santo Domingo, República Dominicana : Fundación Cultural Dominicana, 1997.</t>
        </is>
      </c>
      <c r="M94" t="inlineStr">
        <is>
          <t>1997</t>
        </is>
      </c>
      <c r="N94" t="inlineStr">
        <is>
          <t>2a ed.</t>
        </is>
      </c>
      <c r="O94" t="inlineStr">
        <is>
          <t>spa</t>
        </is>
      </c>
      <c r="P94" t="inlineStr">
        <is>
          <t xml:space="preserve">dr </t>
        </is>
      </c>
      <c r="R94" t="inlineStr">
        <is>
          <t xml:space="preserve">HN </t>
        </is>
      </c>
      <c r="S94" t="n">
        <v>2</v>
      </c>
      <c r="T94" t="n">
        <v>2</v>
      </c>
      <c r="U94" t="inlineStr">
        <is>
          <t>2010-06-21</t>
        </is>
      </c>
      <c r="V94" t="inlineStr">
        <is>
          <t>2010-06-21</t>
        </is>
      </c>
      <c r="W94" t="inlineStr">
        <is>
          <t>1998-01-05</t>
        </is>
      </c>
      <c r="X94" t="inlineStr">
        <is>
          <t>1998-01-05</t>
        </is>
      </c>
      <c r="Y94" t="n">
        <v>55</v>
      </c>
      <c r="Z94" t="n">
        <v>44</v>
      </c>
      <c r="AA94" t="n">
        <v>56</v>
      </c>
      <c r="AB94" t="n">
        <v>1</v>
      </c>
      <c r="AC94" t="n">
        <v>1</v>
      </c>
      <c r="AD94" t="n">
        <v>1</v>
      </c>
      <c r="AE94" t="n">
        <v>1</v>
      </c>
      <c r="AF94" t="n">
        <v>0</v>
      </c>
      <c r="AG94" t="n">
        <v>0</v>
      </c>
      <c r="AH94" t="n">
        <v>1</v>
      </c>
      <c r="AI94" t="n">
        <v>1</v>
      </c>
      <c r="AJ94" t="n">
        <v>0</v>
      </c>
      <c r="AK94" t="n">
        <v>0</v>
      </c>
      <c r="AL94" t="n">
        <v>0</v>
      </c>
      <c r="AM94" t="n">
        <v>0</v>
      </c>
      <c r="AN94" t="n">
        <v>0</v>
      </c>
      <c r="AO94" t="n">
        <v>0</v>
      </c>
      <c r="AP94" t="inlineStr">
        <is>
          <t>No</t>
        </is>
      </c>
      <c r="AQ94" t="inlineStr">
        <is>
          <t>No</t>
        </is>
      </c>
      <c r="AS94">
        <f>HYPERLINK("https://creighton-primo.hosted.exlibrisgroup.com/primo-explore/search?tab=default_tab&amp;search_scope=EVERYTHING&amp;vid=01CRU&amp;lang=en_US&amp;offset=0&amp;query=any,contains,991001586269702656","Catalog Record")</f>
        <v/>
      </c>
      <c r="AT94">
        <f>HYPERLINK("http://www.worldcat.org/oclc/20536110","WorldCat Record")</f>
        <v/>
      </c>
      <c r="AU94" t="inlineStr">
        <is>
          <t>367150803:spa</t>
        </is>
      </c>
      <c r="AV94" t="inlineStr">
        <is>
          <t>20536110</t>
        </is>
      </c>
      <c r="AW94" t="inlineStr">
        <is>
          <t>991001586269702656</t>
        </is>
      </c>
      <c r="AX94" t="inlineStr">
        <is>
          <t>991001586269702656</t>
        </is>
      </c>
      <c r="AY94" t="inlineStr">
        <is>
          <t>2270703900002656</t>
        </is>
      </c>
      <c r="AZ94" t="inlineStr">
        <is>
          <t>BOOK</t>
        </is>
      </c>
      <c r="BC94" t="inlineStr">
        <is>
          <t>32285003300877</t>
        </is>
      </c>
      <c r="BD94" t="inlineStr">
        <is>
          <t>893328217</t>
        </is>
      </c>
    </row>
    <row r="95">
      <c r="A95" t="inlineStr">
        <is>
          <t>No</t>
        </is>
      </c>
      <c r="B95" t="inlineStr">
        <is>
          <t>HN220.2.N66 D53 1997</t>
        </is>
      </c>
      <c r="C95" t="inlineStr">
        <is>
          <t>0                      HN 0220200N  66                 D  53          1997</t>
        </is>
      </c>
      <c r="D95" t="inlineStr">
        <is>
          <t>Las organizaciones no gubernamentales y su incidencia en las áreas : menores en circunstancias difíciles, generación de empleo y pobreza crítica / Miriam Díaz Santana.</t>
        </is>
      </c>
      <c r="F95" t="inlineStr">
        <is>
          <t>No</t>
        </is>
      </c>
      <c r="G95" t="inlineStr">
        <is>
          <t>1</t>
        </is>
      </c>
      <c r="H95" t="inlineStr">
        <is>
          <t>No</t>
        </is>
      </c>
      <c r="I95" t="inlineStr">
        <is>
          <t>No</t>
        </is>
      </c>
      <c r="J95" t="inlineStr">
        <is>
          <t>0</t>
        </is>
      </c>
      <c r="K95" t="inlineStr">
        <is>
          <t>Díaz Santana, Miriam, 1946-</t>
        </is>
      </c>
      <c r="L95" t="inlineStr">
        <is>
          <t>Santo Domingo, República Dominicana : Pontificia Universidad Católica Madre y Maestra, Centro Universitario de Estudios Políticos y Sociales, c1997.</t>
        </is>
      </c>
      <c r="M95" t="inlineStr">
        <is>
          <t>1997</t>
        </is>
      </c>
      <c r="O95" t="inlineStr">
        <is>
          <t>spa</t>
        </is>
      </c>
      <c r="P95" t="inlineStr">
        <is>
          <t xml:space="preserve">dr </t>
        </is>
      </c>
      <c r="R95" t="inlineStr">
        <is>
          <t xml:space="preserve">HN </t>
        </is>
      </c>
      <c r="S95" t="n">
        <v>0</v>
      </c>
      <c r="T95" t="n">
        <v>0</v>
      </c>
      <c r="U95" t="inlineStr">
        <is>
          <t>2004-01-15</t>
        </is>
      </c>
      <c r="V95" t="inlineStr">
        <is>
          <t>2004-01-15</t>
        </is>
      </c>
      <c r="W95" t="inlineStr">
        <is>
          <t>2000-01-13</t>
        </is>
      </c>
      <c r="X95" t="inlineStr">
        <is>
          <t>2000-01-13</t>
        </is>
      </c>
      <c r="Y95" t="n">
        <v>5</v>
      </c>
      <c r="Z95" t="n">
        <v>5</v>
      </c>
      <c r="AA95" t="n">
        <v>5</v>
      </c>
      <c r="AB95" t="n">
        <v>1</v>
      </c>
      <c r="AC95" t="n">
        <v>1</v>
      </c>
      <c r="AD95" t="n">
        <v>1</v>
      </c>
      <c r="AE95" t="n">
        <v>1</v>
      </c>
      <c r="AF95" t="n">
        <v>0</v>
      </c>
      <c r="AG95" t="n">
        <v>0</v>
      </c>
      <c r="AH95" t="n">
        <v>1</v>
      </c>
      <c r="AI95" t="n">
        <v>1</v>
      </c>
      <c r="AJ95" t="n">
        <v>0</v>
      </c>
      <c r="AK95" t="n">
        <v>0</v>
      </c>
      <c r="AL95" t="n">
        <v>0</v>
      </c>
      <c r="AM95" t="n">
        <v>0</v>
      </c>
      <c r="AN95" t="n">
        <v>0</v>
      </c>
      <c r="AO95" t="n">
        <v>0</v>
      </c>
      <c r="AP95" t="inlineStr">
        <is>
          <t>No</t>
        </is>
      </c>
      <c r="AQ95" t="inlineStr">
        <is>
          <t>No</t>
        </is>
      </c>
      <c r="AS95">
        <f>HYPERLINK("https://creighton-primo.hosted.exlibrisgroup.com/primo-explore/search?tab=default_tab&amp;search_scope=EVERYTHING&amp;vid=01CRU&amp;lang=en_US&amp;offset=0&amp;query=any,contains,991003050419702656","Catalog Record")</f>
        <v/>
      </c>
      <c r="AT95">
        <f>HYPERLINK("http://www.worldcat.org/oclc/42902844","WorldCat Record")</f>
        <v/>
      </c>
      <c r="AU95" t="inlineStr">
        <is>
          <t>27525433:spa</t>
        </is>
      </c>
      <c r="AV95" t="inlineStr">
        <is>
          <t>42902844</t>
        </is>
      </c>
      <c r="AW95" t="inlineStr">
        <is>
          <t>991003050419702656</t>
        </is>
      </c>
      <c r="AX95" t="inlineStr">
        <is>
          <t>991003050419702656</t>
        </is>
      </c>
      <c r="AY95" t="inlineStr">
        <is>
          <t>2269646370002656</t>
        </is>
      </c>
      <c r="AZ95" t="inlineStr">
        <is>
          <t>BOOK</t>
        </is>
      </c>
      <c r="BB95" t="inlineStr">
        <is>
          <t>9788489548329</t>
        </is>
      </c>
      <c r="BC95" t="inlineStr">
        <is>
          <t>32285003641437</t>
        </is>
      </c>
      <c r="BD95" t="inlineStr">
        <is>
          <t>893887090</t>
        </is>
      </c>
    </row>
    <row r="96">
      <c r="A96" t="inlineStr">
        <is>
          <t>No</t>
        </is>
      </c>
      <c r="B96" t="inlineStr">
        <is>
          <t>HN220.C6 V373 1994</t>
        </is>
      </c>
      <c r="C96" t="inlineStr">
        <is>
          <t>0                      HN 0220000C  6                  V  373         1994</t>
        </is>
      </c>
      <c r="D96" t="inlineStr">
        <is>
          <t>Las organizaciones de base en Santo Domingo / Tahira Vargas ; con una introducción de César Pérez.</t>
        </is>
      </c>
      <c r="F96" t="inlineStr">
        <is>
          <t>No</t>
        </is>
      </c>
      <c r="G96" t="inlineStr">
        <is>
          <t>1</t>
        </is>
      </c>
      <c r="H96" t="inlineStr">
        <is>
          <t>No</t>
        </is>
      </c>
      <c r="I96" t="inlineStr">
        <is>
          <t>No</t>
        </is>
      </c>
      <c r="J96" t="inlineStr">
        <is>
          <t>0</t>
        </is>
      </c>
      <c r="K96" t="inlineStr">
        <is>
          <t>Vargas, Tahira.</t>
        </is>
      </c>
      <c r="L96" t="inlineStr">
        <is>
          <t>Santo Domingo : Publicaciones del Centro de Estudios Sociales Padre Juan Montalvo, S.J., 1994.</t>
        </is>
      </c>
      <c r="M96" t="inlineStr">
        <is>
          <t>1994</t>
        </is>
      </c>
      <c r="O96" t="inlineStr">
        <is>
          <t>spa</t>
        </is>
      </c>
      <c r="P96" t="inlineStr">
        <is>
          <t xml:space="preserve">dr </t>
        </is>
      </c>
      <c r="Q96" t="inlineStr">
        <is>
          <t>Publicaciones del Centro de Estudios Sociales Padre Juan Montalvo, S.J. ; 6</t>
        </is>
      </c>
      <c r="R96" t="inlineStr">
        <is>
          <t xml:space="preserve">HN </t>
        </is>
      </c>
      <c r="S96" t="n">
        <v>0</v>
      </c>
      <c r="T96" t="n">
        <v>0</v>
      </c>
      <c r="U96" t="inlineStr">
        <is>
          <t>2010-06-15</t>
        </is>
      </c>
      <c r="V96" t="inlineStr">
        <is>
          <t>2010-06-15</t>
        </is>
      </c>
      <c r="W96" t="inlineStr">
        <is>
          <t>1997-04-21</t>
        </is>
      </c>
      <c r="X96" t="inlineStr">
        <is>
          <t>1997-04-21</t>
        </is>
      </c>
      <c r="Y96" t="n">
        <v>11</v>
      </c>
      <c r="Z96" t="n">
        <v>11</v>
      </c>
      <c r="AA96" t="n">
        <v>13</v>
      </c>
      <c r="AB96" t="n">
        <v>1</v>
      </c>
      <c r="AC96" t="n">
        <v>1</v>
      </c>
      <c r="AD96" t="n">
        <v>0</v>
      </c>
      <c r="AE96" t="n">
        <v>0</v>
      </c>
      <c r="AF96" t="n">
        <v>0</v>
      </c>
      <c r="AG96" t="n">
        <v>0</v>
      </c>
      <c r="AH96" t="n">
        <v>0</v>
      </c>
      <c r="AI96" t="n">
        <v>0</v>
      </c>
      <c r="AJ96" t="n">
        <v>0</v>
      </c>
      <c r="AK96" t="n">
        <v>0</v>
      </c>
      <c r="AL96" t="n">
        <v>0</v>
      </c>
      <c r="AM96" t="n">
        <v>0</v>
      </c>
      <c r="AN96" t="n">
        <v>0</v>
      </c>
      <c r="AO96" t="n">
        <v>0</v>
      </c>
      <c r="AP96" t="inlineStr">
        <is>
          <t>No</t>
        </is>
      </c>
      <c r="AQ96" t="inlineStr">
        <is>
          <t>Yes</t>
        </is>
      </c>
      <c r="AR96">
        <f>HYPERLINK("http://catalog.hathitrust.org/Record/003992626","HathiTrust Record")</f>
        <v/>
      </c>
      <c r="AS96">
        <f>HYPERLINK("https://creighton-primo.hosted.exlibrisgroup.com/primo-explore/search?tab=default_tab&amp;search_scope=EVERYTHING&amp;vid=01CRU&amp;lang=en_US&amp;offset=0&amp;query=any,contains,991002796729702656","Catalog Record")</f>
        <v/>
      </c>
      <c r="AT96">
        <f>HYPERLINK("http://www.worldcat.org/oclc/36737532","WorldCat Record")</f>
        <v/>
      </c>
      <c r="AU96" t="inlineStr">
        <is>
          <t>476230138:spa</t>
        </is>
      </c>
      <c r="AV96" t="inlineStr">
        <is>
          <t>36737532</t>
        </is>
      </c>
      <c r="AW96" t="inlineStr">
        <is>
          <t>991002796729702656</t>
        </is>
      </c>
      <c r="AX96" t="inlineStr">
        <is>
          <t>991002796729702656</t>
        </is>
      </c>
      <c r="AY96" t="inlineStr">
        <is>
          <t>2264153450002656</t>
        </is>
      </c>
      <c r="AZ96" t="inlineStr">
        <is>
          <t>BOOK</t>
        </is>
      </c>
      <c r="BC96" t="inlineStr">
        <is>
          <t>32285002498649</t>
        </is>
      </c>
      <c r="BD96" t="inlineStr">
        <is>
          <t>893245659</t>
        </is>
      </c>
    </row>
    <row r="97">
      <c r="A97" t="inlineStr">
        <is>
          <t>No</t>
        </is>
      </c>
      <c r="B97" t="inlineStr">
        <is>
          <t>HN223 .B79 1991</t>
        </is>
      </c>
      <c r="C97" t="inlineStr">
        <is>
          <t>0                      HN 0223000B  79          1991</t>
        </is>
      </c>
      <c r="D97" t="inlineStr">
        <is>
          <t>The Jamaican people 1880-1902 : race, class and social control / Patrick Bryan.</t>
        </is>
      </c>
      <c r="F97" t="inlineStr">
        <is>
          <t>No</t>
        </is>
      </c>
      <c r="G97" t="inlineStr">
        <is>
          <t>1</t>
        </is>
      </c>
      <c r="H97" t="inlineStr">
        <is>
          <t>No</t>
        </is>
      </c>
      <c r="I97" t="inlineStr">
        <is>
          <t>No</t>
        </is>
      </c>
      <c r="J97" t="inlineStr">
        <is>
          <t>0</t>
        </is>
      </c>
      <c r="K97" t="inlineStr">
        <is>
          <t>Bryan, Patrick E.</t>
        </is>
      </c>
      <c r="L97" t="inlineStr">
        <is>
          <t>London : Macmillan Caribbean, 1991.</t>
        </is>
      </c>
      <c r="M97" t="inlineStr">
        <is>
          <t>1991</t>
        </is>
      </c>
      <c r="O97" t="inlineStr">
        <is>
          <t>eng</t>
        </is>
      </c>
      <c r="P97" t="inlineStr">
        <is>
          <t>enk</t>
        </is>
      </c>
      <c r="Q97" t="inlineStr">
        <is>
          <t>Warwick University Caribbean studies</t>
        </is>
      </c>
      <c r="R97" t="inlineStr">
        <is>
          <t xml:space="preserve">HN </t>
        </is>
      </c>
      <c r="S97" t="n">
        <v>3</v>
      </c>
      <c r="T97" t="n">
        <v>3</v>
      </c>
      <c r="U97" t="inlineStr">
        <is>
          <t>1992-11-13</t>
        </is>
      </c>
      <c r="V97" t="inlineStr">
        <is>
          <t>1992-11-13</t>
        </is>
      </c>
      <c r="W97" t="inlineStr">
        <is>
          <t>1992-01-21</t>
        </is>
      </c>
      <c r="X97" t="inlineStr">
        <is>
          <t>1992-01-21</t>
        </is>
      </c>
      <c r="Y97" t="n">
        <v>160</v>
      </c>
      <c r="Z97" t="n">
        <v>76</v>
      </c>
      <c r="AA97" t="n">
        <v>144</v>
      </c>
      <c r="AB97" t="n">
        <v>1</v>
      </c>
      <c r="AC97" t="n">
        <v>1</v>
      </c>
      <c r="AD97" t="n">
        <v>3</v>
      </c>
      <c r="AE97" t="n">
        <v>4</v>
      </c>
      <c r="AF97" t="n">
        <v>0</v>
      </c>
      <c r="AG97" t="n">
        <v>0</v>
      </c>
      <c r="AH97" t="n">
        <v>1</v>
      </c>
      <c r="AI97" t="n">
        <v>2</v>
      </c>
      <c r="AJ97" t="n">
        <v>3</v>
      </c>
      <c r="AK97" t="n">
        <v>3</v>
      </c>
      <c r="AL97" t="n">
        <v>0</v>
      </c>
      <c r="AM97" t="n">
        <v>0</v>
      </c>
      <c r="AN97" t="n">
        <v>0</v>
      </c>
      <c r="AO97" t="n">
        <v>0</v>
      </c>
      <c r="AP97" t="inlineStr">
        <is>
          <t>No</t>
        </is>
      </c>
      <c r="AQ97" t="inlineStr">
        <is>
          <t>Yes</t>
        </is>
      </c>
      <c r="AR97">
        <f>HYPERLINK("http://catalog.hathitrust.org/Record/003066660","HathiTrust Record")</f>
        <v/>
      </c>
      <c r="AS97">
        <f>HYPERLINK("https://creighton-primo.hosted.exlibrisgroup.com/primo-explore/search?tab=default_tab&amp;search_scope=EVERYTHING&amp;vid=01CRU&amp;lang=en_US&amp;offset=0&amp;query=any,contains,991001799039702656","Catalog Record")</f>
        <v/>
      </c>
      <c r="AT97">
        <f>HYPERLINK("http://www.worldcat.org/oclc/28114609","WorldCat Record")</f>
        <v/>
      </c>
      <c r="AU97" t="inlineStr">
        <is>
          <t>1080541:eng</t>
        </is>
      </c>
      <c r="AV97" t="inlineStr">
        <is>
          <t>28114609</t>
        </is>
      </c>
      <c r="AW97" t="inlineStr">
        <is>
          <t>991001799039702656</t>
        </is>
      </c>
      <c r="AX97" t="inlineStr">
        <is>
          <t>991001799039702656</t>
        </is>
      </c>
      <c r="AY97" t="inlineStr">
        <is>
          <t>2267702360002656</t>
        </is>
      </c>
      <c r="AZ97" t="inlineStr">
        <is>
          <t>BOOK</t>
        </is>
      </c>
      <c r="BB97" t="inlineStr">
        <is>
          <t>9780333551257</t>
        </is>
      </c>
      <c r="BC97" t="inlineStr">
        <is>
          <t>32285000864602</t>
        </is>
      </c>
      <c r="BD97" t="inlineStr">
        <is>
          <t>893621637</t>
        </is>
      </c>
    </row>
    <row r="98">
      <c r="A98" t="inlineStr">
        <is>
          <t>No</t>
        </is>
      </c>
      <c r="B98" t="inlineStr">
        <is>
          <t>HN223.5 .M3</t>
        </is>
      </c>
      <c r="C98" t="inlineStr">
        <is>
          <t>0                      HN 0223500M  3</t>
        </is>
      </c>
      <c r="D98" t="inlineStr">
        <is>
          <t>Social change and images of the future: a study of the pursuit of progress in Jamaica [by] James A. Mau.</t>
        </is>
      </c>
      <c r="F98" t="inlineStr">
        <is>
          <t>No</t>
        </is>
      </c>
      <c r="G98" t="inlineStr">
        <is>
          <t>1</t>
        </is>
      </c>
      <c r="H98" t="inlineStr">
        <is>
          <t>No</t>
        </is>
      </c>
      <c r="I98" t="inlineStr">
        <is>
          <t>No</t>
        </is>
      </c>
      <c r="J98" t="inlineStr">
        <is>
          <t>0</t>
        </is>
      </c>
      <c r="K98" t="inlineStr">
        <is>
          <t>Mau, James A., 1935-</t>
        </is>
      </c>
      <c r="L98" t="inlineStr">
        <is>
          <t>Cambridge, Mass., Schenkman Pub. Co. [1968]</t>
        </is>
      </c>
      <c r="M98" t="inlineStr">
        <is>
          <t>1968</t>
        </is>
      </c>
      <c r="O98" t="inlineStr">
        <is>
          <t>eng</t>
        </is>
      </c>
      <c r="P98" t="inlineStr">
        <is>
          <t>mau</t>
        </is>
      </c>
      <c r="Q98" t="inlineStr">
        <is>
          <t>International studies in political and social change ; 4</t>
        </is>
      </c>
      <c r="R98" t="inlineStr">
        <is>
          <t xml:space="preserve">HN </t>
        </is>
      </c>
      <c r="S98" t="n">
        <v>10</v>
      </c>
      <c r="T98" t="n">
        <v>10</v>
      </c>
      <c r="U98" t="inlineStr">
        <is>
          <t>1999-02-18</t>
        </is>
      </c>
      <c r="V98" t="inlineStr">
        <is>
          <t>1999-02-18</t>
        </is>
      </c>
      <c r="W98" t="inlineStr">
        <is>
          <t>1997-08-06</t>
        </is>
      </c>
      <c r="X98" t="inlineStr">
        <is>
          <t>1997-08-06</t>
        </is>
      </c>
      <c r="Y98" t="n">
        <v>342</v>
      </c>
      <c r="Z98" t="n">
        <v>273</v>
      </c>
      <c r="AA98" t="n">
        <v>275</v>
      </c>
      <c r="AB98" t="n">
        <v>3</v>
      </c>
      <c r="AC98" t="n">
        <v>3</v>
      </c>
      <c r="AD98" t="n">
        <v>16</v>
      </c>
      <c r="AE98" t="n">
        <v>16</v>
      </c>
      <c r="AF98" t="n">
        <v>7</v>
      </c>
      <c r="AG98" t="n">
        <v>7</v>
      </c>
      <c r="AH98" t="n">
        <v>2</v>
      </c>
      <c r="AI98" t="n">
        <v>2</v>
      </c>
      <c r="AJ98" t="n">
        <v>7</v>
      </c>
      <c r="AK98" t="n">
        <v>7</v>
      </c>
      <c r="AL98" t="n">
        <v>2</v>
      </c>
      <c r="AM98" t="n">
        <v>2</v>
      </c>
      <c r="AN98" t="n">
        <v>0</v>
      </c>
      <c r="AO98" t="n">
        <v>0</v>
      </c>
      <c r="AP98" t="inlineStr">
        <is>
          <t>No</t>
        </is>
      </c>
      <c r="AQ98" t="inlineStr">
        <is>
          <t>Yes</t>
        </is>
      </c>
      <c r="AR98">
        <f>HYPERLINK("http://catalog.hathitrust.org/Record/002862883","HathiTrust Record")</f>
        <v/>
      </c>
      <c r="AS98">
        <f>HYPERLINK("https://creighton-primo.hosted.exlibrisgroup.com/primo-explore/search?tab=default_tab&amp;search_scope=EVERYTHING&amp;vid=01CRU&amp;lang=en_US&amp;offset=0&amp;query=any,contains,991000545659702656","Catalog Record")</f>
        <v/>
      </c>
      <c r="AT98">
        <f>HYPERLINK("http://www.worldcat.org/oclc/91307","WorldCat Record")</f>
        <v/>
      </c>
      <c r="AU98" t="inlineStr">
        <is>
          <t>225165720:eng</t>
        </is>
      </c>
      <c r="AV98" t="inlineStr">
        <is>
          <t>91307</t>
        </is>
      </c>
      <c r="AW98" t="inlineStr">
        <is>
          <t>991000545659702656</t>
        </is>
      </c>
      <c r="AX98" t="inlineStr">
        <is>
          <t>991000545659702656</t>
        </is>
      </c>
      <c r="AY98" t="inlineStr">
        <is>
          <t>2264517090002656</t>
        </is>
      </c>
      <c r="AZ98" t="inlineStr">
        <is>
          <t>BOOK</t>
        </is>
      </c>
      <c r="BC98" t="inlineStr">
        <is>
          <t>32285003044855</t>
        </is>
      </c>
      <c r="BD98" t="inlineStr">
        <is>
          <t>893508884</t>
        </is>
      </c>
    </row>
    <row r="99">
      <c r="A99" t="inlineStr">
        <is>
          <t>No</t>
        </is>
      </c>
      <c r="B99" t="inlineStr">
        <is>
          <t>HN230.Z9 V54 1977</t>
        </is>
      </c>
      <c r="C99" t="inlineStr">
        <is>
          <t>0                      HN 0230000Z  9                  V  54          1977</t>
        </is>
      </c>
      <c r="D99" t="inlineStr">
        <is>
          <t>Violence and politics in Jamaica, 1960-70 : internal security in a developing country / Terry Lacey.</t>
        </is>
      </c>
      <c r="F99" t="inlineStr">
        <is>
          <t>No</t>
        </is>
      </c>
      <c r="G99" t="inlineStr">
        <is>
          <t>1</t>
        </is>
      </c>
      <c r="H99" t="inlineStr">
        <is>
          <t>No</t>
        </is>
      </c>
      <c r="I99" t="inlineStr">
        <is>
          <t>No</t>
        </is>
      </c>
      <c r="J99" t="inlineStr">
        <is>
          <t>0</t>
        </is>
      </c>
      <c r="K99" t="inlineStr">
        <is>
          <t>Lacey, Terry.</t>
        </is>
      </c>
      <c r="L99" t="inlineStr">
        <is>
          <t>Totowa, N.J. : F. Cass, 1977.</t>
        </is>
      </c>
      <c r="M99" t="inlineStr">
        <is>
          <t>1977</t>
        </is>
      </c>
      <c r="O99" t="inlineStr">
        <is>
          <t>eng</t>
        </is>
      </c>
      <c r="P99" t="inlineStr">
        <is>
          <t>nju</t>
        </is>
      </c>
      <c r="R99" t="inlineStr">
        <is>
          <t xml:space="preserve">HN </t>
        </is>
      </c>
      <c r="S99" t="n">
        <v>7</v>
      </c>
      <c r="T99" t="n">
        <v>7</v>
      </c>
      <c r="U99" t="inlineStr">
        <is>
          <t>2004-02-06</t>
        </is>
      </c>
      <c r="V99" t="inlineStr">
        <is>
          <t>2004-02-06</t>
        </is>
      </c>
      <c r="W99" t="inlineStr">
        <is>
          <t>1990-02-13</t>
        </is>
      </c>
      <c r="X99" t="inlineStr">
        <is>
          <t>1990-02-13</t>
        </is>
      </c>
      <c r="Y99" t="n">
        <v>252</v>
      </c>
      <c r="Z99" t="n">
        <v>235</v>
      </c>
      <c r="AA99" t="n">
        <v>296</v>
      </c>
      <c r="AB99" t="n">
        <v>1</v>
      </c>
      <c r="AC99" t="n">
        <v>3</v>
      </c>
      <c r="AD99" t="n">
        <v>8</v>
      </c>
      <c r="AE99" t="n">
        <v>11</v>
      </c>
      <c r="AF99" t="n">
        <v>3</v>
      </c>
      <c r="AG99" t="n">
        <v>3</v>
      </c>
      <c r="AH99" t="n">
        <v>4</v>
      </c>
      <c r="AI99" t="n">
        <v>4</v>
      </c>
      <c r="AJ99" t="n">
        <v>4</v>
      </c>
      <c r="AK99" t="n">
        <v>5</v>
      </c>
      <c r="AL99" t="n">
        <v>0</v>
      </c>
      <c r="AM99" t="n">
        <v>2</v>
      </c>
      <c r="AN99" t="n">
        <v>0</v>
      </c>
      <c r="AO99" t="n">
        <v>0</v>
      </c>
      <c r="AP99" t="inlineStr">
        <is>
          <t>No</t>
        </is>
      </c>
      <c r="AQ99" t="inlineStr">
        <is>
          <t>Yes</t>
        </is>
      </c>
      <c r="AR99">
        <f>HYPERLINK("http://catalog.hathitrust.org/Record/000294899","HathiTrust Record")</f>
        <v/>
      </c>
      <c r="AS99">
        <f>HYPERLINK("https://creighton-primo.hosted.exlibrisgroup.com/primo-explore/search?tab=default_tab&amp;search_scope=EVERYTHING&amp;vid=01CRU&amp;lang=en_US&amp;offset=0&amp;query=any,contains,991004375409702656","Catalog Record")</f>
        <v/>
      </c>
      <c r="AT99">
        <f>HYPERLINK("http://www.worldcat.org/oclc/3204614","WorldCat Record")</f>
        <v/>
      </c>
      <c r="AU99" t="inlineStr">
        <is>
          <t>8383083:eng</t>
        </is>
      </c>
      <c r="AV99" t="inlineStr">
        <is>
          <t>3204614</t>
        </is>
      </c>
      <c r="AW99" t="inlineStr">
        <is>
          <t>991004375409702656</t>
        </is>
      </c>
      <c r="AX99" t="inlineStr">
        <is>
          <t>991004375409702656</t>
        </is>
      </c>
      <c r="AY99" t="inlineStr">
        <is>
          <t>2269526660002656</t>
        </is>
      </c>
      <c r="AZ99" t="inlineStr">
        <is>
          <t>BOOK</t>
        </is>
      </c>
      <c r="BB99" t="inlineStr">
        <is>
          <t>9780714660028</t>
        </is>
      </c>
      <c r="BC99" t="inlineStr">
        <is>
          <t>32285000042126</t>
        </is>
      </c>
      <c r="BD99" t="inlineStr">
        <is>
          <t>893618588</t>
        </is>
      </c>
    </row>
    <row r="100">
      <c r="A100" t="inlineStr">
        <is>
          <t>No</t>
        </is>
      </c>
      <c r="B100" t="inlineStr">
        <is>
          <t>HN233 .S7 1969</t>
        </is>
      </c>
      <c r="C100" t="inlineStr">
        <is>
          <t>0                      HN 0233000S  7           1969</t>
        </is>
      </c>
      <c r="D100" t="inlineStr">
        <is>
          <t>The people of Puerto Rico; a study in social anthropology, by Julian H. Steward [and others.</t>
        </is>
      </c>
      <c r="F100" t="inlineStr">
        <is>
          <t>No</t>
        </is>
      </c>
      <c r="G100" t="inlineStr">
        <is>
          <t>1</t>
        </is>
      </c>
      <c r="H100" t="inlineStr">
        <is>
          <t>No</t>
        </is>
      </c>
      <c r="I100" t="inlineStr">
        <is>
          <t>No</t>
        </is>
      </c>
      <c r="J100" t="inlineStr">
        <is>
          <t>0</t>
        </is>
      </c>
      <c r="K100" t="inlineStr">
        <is>
          <t>Steward, Julian Haynes, 1902-1972.</t>
        </is>
      </c>
      <c r="L100" t="inlineStr">
        <is>
          <t>Urbana] University of Illinois Press, 1956.</t>
        </is>
      </c>
      <c r="M100" t="inlineStr">
        <is>
          <t>1956</t>
        </is>
      </c>
      <c r="O100" t="inlineStr">
        <is>
          <t>eng</t>
        </is>
      </c>
      <c r="P100" t="inlineStr">
        <is>
          <t>ilu</t>
        </is>
      </c>
      <c r="R100" t="inlineStr">
        <is>
          <t xml:space="preserve">HN </t>
        </is>
      </c>
      <c r="S100" t="n">
        <v>1</v>
      </c>
      <c r="T100" t="n">
        <v>1</v>
      </c>
      <c r="U100" t="inlineStr">
        <is>
          <t>2009-09-04</t>
        </is>
      </c>
      <c r="V100" t="inlineStr">
        <is>
          <t>2009-09-04</t>
        </is>
      </c>
      <c r="W100" t="inlineStr">
        <is>
          <t>1997-08-06</t>
        </is>
      </c>
      <c r="X100" t="inlineStr">
        <is>
          <t>1997-08-06</t>
        </is>
      </c>
      <c r="Y100" t="n">
        <v>744</v>
      </c>
      <c r="Z100" t="n">
        <v>662</v>
      </c>
      <c r="AA100" t="n">
        <v>699</v>
      </c>
      <c r="AB100" t="n">
        <v>3</v>
      </c>
      <c r="AC100" t="n">
        <v>3</v>
      </c>
      <c r="AD100" t="n">
        <v>26</v>
      </c>
      <c r="AE100" t="n">
        <v>26</v>
      </c>
      <c r="AF100" t="n">
        <v>9</v>
      </c>
      <c r="AG100" t="n">
        <v>9</v>
      </c>
      <c r="AH100" t="n">
        <v>7</v>
      </c>
      <c r="AI100" t="n">
        <v>7</v>
      </c>
      <c r="AJ100" t="n">
        <v>15</v>
      </c>
      <c r="AK100" t="n">
        <v>15</v>
      </c>
      <c r="AL100" t="n">
        <v>2</v>
      </c>
      <c r="AM100" t="n">
        <v>2</v>
      </c>
      <c r="AN100" t="n">
        <v>0</v>
      </c>
      <c r="AO100" t="n">
        <v>0</v>
      </c>
      <c r="AP100" t="inlineStr">
        <is>
          <t>No</t>
        </is>
      </c>
      <c r="AQ100" t="inlineStr">
        <is>
          <t>No</t>
        </is>
      </c>
      <c r="AR100">
        <f>HYPERLINK("http://catalog.hathitrust.org/Record/001108204","HathiTrust Record")</f>
        <v/>
      </c>
      <c r="AS100">
        <f>HYPERLINK("https://creighton-primo.hosted.exlibrisgroup.com/primo-explore/search?tab=default_tab&amp;search_scope=EVERYTHING&amp;vid=01CRU&amp;lang=en_US&amp;offset=0&amp;query=any,contains,991002078749702656","Catalog Record")</f>
        <v/>
      </c>
      <c r="AT100">
        <f>HYPERLINK("http://www.worldcat.org/oclc/264208","WorldCat Record")</f>
        <v/>
      </c>
      <c r="AU100" t="inlineStr">
        <is>
          <t>1379245:eng</t>
        </is>
      </c>
      <c r="AV100" t="inlineStr">
        <is>
          <t>264208</t>
        </is>
      </c>
      <c r="AW100" t="inlineStr">
        <is>
          <t>991002078749702656</t>
        </is>
      </c>
      <c r="AX100" t="inlineStr">
        <is>
          <t>991002078749702656</t>
        </is>
      </c>
      <c r="AY100" t="inlineStr">
        <is>
          <t>2268287270002656</t>
        </is>
      </c>
      <c r="AZ100" t="inlineStr">
        <is>
          <t>BOOK</t>
        </is>
      </c>
      <c r="BC100" t="inlineStr">
        <is>
          <t>32285003044863</t>
        </is>
      </c>
      <c r="BD100" t="inlineStr">
        <is>
          <t>893590884</t>
        </is>
      </c>
    </row>
    <row r="101">
      <c r="A101" t="inlineStr">
        <is>
          <t>No</t>
        </is>
      </c>
      <c r="B101" t="inlineStr">
        <is>
          <t>HN246.T7 R6</t>
        </is>
      </c>
      <c r="C101" t="inlineStr">
        <is>
          <t>0                      HN 0246000T  7                  R  6</t>
        </is>
      </c>
      <c r="D101" t="inlineStr">
        <is>
          <t>Lower-class families; the culture of poverty in Negro Trinidad.</t>
        </is>
      </c>
      <c r="F101" t="inlineStr">
        <is>
          <t>No</t>
        </is>
      </c>
      <c r="G101" t="inlineStr">
        <is>
          <t>1</t>
        </is>
      </c>
      <c r="H101" t="inlineStr">
        <is>
          <t>No</t>
        </is>
      </c>
      <c r="I101" t="inlineStr">
        <is>
          <t>No</t>
        </is>
      </c>
      <c r="J101" t="inlineStr">
        <is>
          <t>0</t>
        </is>
      </c>
      <c r="K101" t="inlineStr">
        <is>
          <t>Rodman, Hyman.</t>
        </is>
      </c>
      <c r="L101" t="inlineStr">
        <is>
          <t>New York, Oxford University Press, 1971.</t>
        </is>
      </c>
      <c r="M101" t="inlineStr">
        <is>
          <t>1971</t>
        </is>
      </c>
      <c r="O101" t="inlineStr">
        <is>
          <t>eng</t>
        </is>
      </c>
      <c r="P101" t="inlineStr">
        <is>
          <t>nyu</t>
        </is>
      </c>
      <c r="R101" t="inlineStr">
        <is>
          <t xml:space="preserve">HN </t>
        </is>
      </c>
      <c r="S101" t="n">
        <v>1</v>
      </c>
      <c r="T101" t="n">
        <v>1</v>
      </c>
      <c r="U101" t="inlineStr">
        <is>
          <t>2004-02-02</t>
        </is>
      </c>
      <c r="V101" t="inlineStr">
        <is>
          <t>2004-02-02</t>
        </is>
      </c>
      <c r="W101" t="inlineStr">
        <is>
          <t>1997-08-06</t>
        </is>
      </c>
      <c r="X101" t="inlineStr">
        <is>
          <t>1997-08-06</t>
        </is>
      </c>
      <c r="Y101" t="n">
        <v>706</v>
      </c>
      <c r="Z101" t="n">
        <v>559</v>
      </c>
      <c r="AA101" t="n">
        <v>566</v>
      </c>
      <c r="AB101" t="n">
        <v>4</v>
      </c>
      <c r="AC101" t="n">
        <v>4</v>
      </c>
      <c r="AD101" t="n">
        <v>25</v>
      </c>
      <c r="AE101" t="n">
        <v>25</v>
      </c>
      <c r="AF101" t="n">
        <v>10</v>
      </c>
      <c r="AG101" t="n">
        <v>10</v>
      </c>
      <c r="AH101" t="n">
        <v>8</v>
      </c>
      <c r="AI101" t="n">
        <v>8</v>
      </c>
      <c r="AJ101" t="n">
        <v>13</v>
      </c>
      <c r="AK101" t="n">
        <v>13</v>
      </c>
      <c r="AL101" t="n">
        <v>3</v>
      </c>
      <c r="AM101" t="n">
        <v>3</v>
      </c>
      <c r="AN101" t="n">
        <v>0</v>
      </c>
      <c r="AO101" t="n">
        <v>0</v>
      </c>
      <c r="AP101" t="inlineStr">
        <is>
          <t>No</t>
        </is>
      </c>
      <c r="AQ101" t="inlineStr">
        <is>
          <t>Yes</t>
        </is>
      </c>
      <c r="AR101">
        <f>HYPERLINK("http://catalog.hathitrust.org/Record/001109712","HathiTrust Record")</f>
        <v/>
      </c>
      <c r="AS101">
        <f>HYPERLINK("https://creighton-primo.hosted.exlibrisgroup.com/primo-explore/search?tab=default_tab&amp;search_scope=EVERYTHING&amp;vid=01CRU&amp;lang=en_US&amp;offset=0&amp;query=any,contains,991000830529702656","Catalog Record")</f>
        <v/>
      </c>
      <c r="AT101">
        <f>HYPERLINK("http://www.worldcat.org/oclc/147624","WorldCat Record")</f>
        <v/>
      </c>
      <c r="AU101" t="inlineStr">
        <is>
          <t>365340693:eng</t>
        </is>
      </c>
      <c r="AV101" t="inlineStr">
        <is>
          <t>147624</t>
        </is>
      </c>
      <c r="AW101" t="inlineStr">
        <is>
          <t>991000830529702656</t>
        </is>
      </c>
      <c r="AX101" t="inlineStr">
        <is>
          <t>991000830529702656</t>
        </is>
      </c>
      <c r="AY101" t="inlineStr">
        <is>
          <t>2258949550002656</t>
        </is>
      </c>
      <c r="AZ101" t="inlineStr">
        <is>
          <t>BOOK</t>
        </is>
      </c>
      <c r="BC101" t="inlineStr">
        <is>
          <t>32285003044889</t>
        </is>
      </c>
      <c r="BD101" t="inlineStr">
        <is>
          <t>893426082</t>
        </is>
      </c>
    </row>
    <row r="102">
      <c r="A102" t="inlineStr">
        <is>
          <t>No</t>
        </is>
      </c>
      <c r="B102" t="inlineStr">
        <is>
          <t>HN25 .C3597 1996</t>
        </is>
      </c>
      <c r="C102" t="inlineStr">
        <is>
          <t>0                      HN 0025000C  3597        1996</t>
        </is>
      </c>
      <c r="D102" t="inlineStr">
        <is>
          <t>Caring for the future : making the next decades provide a life worth living : report of the Independent Commission on Population and Quality of Life.</t>
        </is>
      </c>
      <c r="F102" t="inlineStr">
        <is>
          <t>No</t>
        </is>
      </c>
      <c r="G102" t="inlineStr">
        <is>
          <t>1</t>
        </is>
      </c>
      <c r="H102" t="inlineStr">
        <is>
          <t>No</t>
        </is>
      </c>
      <c r="I102" t="inlineStr">
        <is>
          <t>No</t>
        </is>
      </c>
      <c r="J102" t="inlineStr">
        <is>
          <t>0</t>
        </is>
      </c>
      <c r="L102" t="inlineStr">
        <is>
          <t>Oxford ; New York : Oxford University Press, 1996.</t>
        </is>
      </c>
      <c r="M102" t="inlineStr">
        <is>
          <t>1996</t>
        </is>
      </c>
      <c r="O102" t="inlineStr">
        <is>
          <t>eng</t>
        </is>
      </c>
      <c r="P102" t="inlineStr">
        <is>
          <t>enk</t>
        </is>
      </c>
      <c r="R102" t="inlineStr">
        <is>
          <t xml:space="preserve">HN </t>
        </is>
      </c>
      <c r="S102" t="n">
        <v>6</v>
      </c>
      <c r="T102" t="n">
        <v>6</v>
      </c>
      <c r="U102" t="inlineStr">
        <is>
          <t>2008-02-07</t>
        </is>
      </c>
      <c r="V102" t="inlineStr">
        <is>
          <t>2008-02-07</t>
        </is>
      </c>
      <c r="W102" t="inlineStr">
        <is>
          <t>1996-10-24</t>
        </is>
      </c>
      <c r="X102" t="inlineStr">
        <is>
          <t>1996-10-24</t>
        </is>
      </c>
      <c r="Y102" t="n">
        <v>415</v>
      </c>
      <c r="Z102" t="n">
        <v>262</v>
      </c>
      <c r="AA102" t="n">
        <v>271</v>
      </c>
      <c r="AB102" t="n">
        <v>2</v>
      </c>
      <c r="AC102" t="n">
        <v>2</v>
      </c>
      <c r="AD102" t="n">
        <v>14</v>
      </c>
      <c r="AE102" t="n">
        <v>14</v>
      </c>
      <c r="AF102" t="n">
        <v>5</v>
      </c>
      <c r="AG102" t="n">
        <v>5</v>
      </c>
      <c r="AH102" t="n">
        <v>4</v>
      </c>
      <c r="AI102" t="n">
        <v>4</v>
      </c>
      <c r="AJ102" t="n">
        <v>8</v>
      </c>
      <c r="AK102" t="n">
        <v>8</v>
      </c>
      <c r="AL102" t="n">
        <v>1</v>
      </c>
      <c r="AM102" t="n">
        <v>1</v>
      </c>
      <c r="AN102" t="n">
        <v>1</v>
      </c>
      <c r="AO102" t="n">
        <v>1</v>
      </c>
      <c r="AP102" t="inlineStr">
        <is>
          <t>No</t>
        </is>
      </c>
      <c r="AQ102" t="inlineStr">
        <is>
          <t>Yes</t>
        </is>
      </c>
      <c r="AR102">
        <f>HYPERLINK("http://catalog.hathitrust.org/Record/003077569","HathiTrust Record")</f>
        <v/>
      </c>
      <c r="AS102">
        <f>HYPERLINK("https://creighton-primo.hosted.exlibrisgroup.com/primo-explore/search?tab=default_tab&amp;search_scope=EVERYTHING&amp;vid=01CRU&amp;lang=en_US&amp;offset=0&amp;query=any,contains,991002531079702656","Catalog Record")</f>
        <v/>
      </c>
      <c r="AT102">
        <f>HYPERLINK("http://www.worldcat.org/oclc/32893276","WorldCat Record")</f>
        <v/>
      </c>
      <c r="AU102" t="inlineStr">
        <is>
          <t>836971253:eng</t>
        </is>
      </c>
      <c r="AV102" t="inlineStr">
        <is>
          <t>32893276</t>
        </is>
      </c>
      <c r="AW102" t="inlineStr">
        <is>
          <t>991002531079702656</t>
        </is>
      </c>
      <c r="AX102" t="inlineStr">
        <is>
          <t>991002531079702656</t>
        </is>
      </c>
      <c r="AY102" t="inlineStr">
        <is>
          <t>2257779680002656</t>
        </is>
      </c>
      <c r="AZ102" t="inlineStr">
        <is>
          <t>BOOK</t>
        </is>
      </c>
      <c r="BB102" t="inlineStr">
        <is>
          <t>9780192861863</t>
        </is>
      </c>
      <c r="BC102" t="inlineStr">
        <is>
          <t>32285002368784</t>
        </is>
      </c>
      <c r="BD102" t="inlineStr">
        <is>
          <t>893591450</t>
        </is>
      </c>
    </row>
    <row r="103">
      <c r="A103" t="inlineStr">
        <is>
          <t>No</t>
        </is>
      </c>
      <c r="B103" t="inlineStr">
        <is>
          <t>HN25 .H86 2007</t>
        </is>
      </c>
      <c r="C103" t="inlineStr">
        <is>
          <t>0                      HN 0025000H  86          2007</t>
        </is>
      </c>
      <c r="D103" t="inlineStr">
        <is>
          <t>Human well-being : concept and measurement / edited by Mark McGillivray.</t>
        </is>
      </c>
      <c r="F103" t="inlineStr">
        <is>
          <t>No</t>
        </is>
      </c>
      <c r="G103" t="inlineStr">
        <is>
          <t>1</t>
        </is>
      </c>
      <c r="H103" t="inlineStr">
        <is>
          <t>No</t>
        </is>
      </c>
      <c r="I103" t="inlineStr">
        <is>
          <t>No</t>
        </is>
      </c>
      <c r="J103" t="inlineStr">
        <is>
          <t>0</t>
        </is>
      </c>
      <c r="L103" t="inlineStr">
        <is>
          <t>Basingstoke [England] ; New York : Palgrave Macmillan ; [Helsinki, Finland] : In association with the United Nations University-World Institute for Development Economics Research, 2007.</t>
        </is>
      </c>
      <c r="M103" t="inlineStr">
        <is>
          <t>2007</t>
        </is>
      </c>
      <c r="O103" t="inlineStr">
        <is>
          <t>eng</t>
        </is>
      </c>
      <c r="P103" t="inlineStr">
        <is>
          <t>enk</t>
        </is>
      </c>
      <c r="Q103" t="inlineStr">
        <is>
          <t>Studies in development economics and policy</t>
        </is>
      </c>
      <c r="R103" t="inlineStr">
        <is>
          <t xml:space="preserve">HN </t>
        </is>
      </c>
      <c r="S103" t="n">
        <v>2</v>
      </c>
      <c r="T103" t="n">
        <v>2</v>
      </c>
      <c r="U103" t="inlineStr">
        <is>
          <t>2008-04-08</t>
        </is>
      </c>
      <c r="V103" t="inlineStr">
        <is>
          <t>2008-04-08</t>
        </is>
      </c>
      <c r="W103" t="inlineStr">
        <is>
          <t>2007-11-13</t>
        </is>
      </c>
      <c r="X103" t="inlineStr">
        <is>
          <t>2007-11-13</t>
        </is>
      </c>
      <c r="Y103" t="n">
        <v>318</v>
      </c>
      <c r="Z103" t="n">
        <v>228</v>
      </c>
      <c r="AA103" t="n">
        <v>253</v>
      </c>
      <c r="AB103" t="n">
        <v>2</v>
      </c>
      <c r="AC103" t="n">
        <v>2</v>
      </c>
      <c r="AD103" t="n">
        <v>16</v>
      </c>
      <c r="AE103" t="n">
        <v>17</v>
      </c>
      <c r="AF103" t="n">
        <v>7</v>
      </c>
      <c r="AG103" t="n">
        <v>8</v>
      </c>
      <c r="AH103" t="n">
        <v>5</v>
      </c>
      <c r="AI103" t="n">
        <v>5</v>
      </c>
      <c r="AJ103" t="n">
        <v>9</v>
      </c>
      <c r="AK103" t="n">
        <v>10</v>
      </c>
      <c r="AL103" t="n">
        <v>1</v>
      </c>
      <c r="AM103" t="n">
        <v>1</v>
      </c>
      <c r="AN103" t="n">
        <v>0</v>
      </c>
      <c r="AO103" t="n">
        <v>0</v>
      </c>
      <c r="AP103" t="inlineStr">
        <is>
          <t>No</t>
        </is>
      </c>
      <c r="AQ103" t="inlineStr">
        <is>
          <t>No</t>
        </is>
      </c>
      <c r="AS103">
        <f>HYPERLINK("https://creighton-primo.hosted.exlibrisgroup.com/primo-explore/search?tab=default_tab&amp;search_scope=EVERYTHING&amp;vid=01CRU&amp;lang=en_US&amp;offset=0&amp;query=any,contains,991005137539702656","Catalog Record")</f>
        <v/>
      </c>
      <c r="AT103">
        <f>HYPERLINK("http://www.worldcat.org/oclc/70176945","WorldCat Record")</f>
        <v/>
      </c>
      <c r="AU103" t="inlineStr">
        <is>
          <t>888283969:eng</t>
        </is>
      </c>
      <c r="AV103" t="inlineStr">
        <is>
          <t>70176945</t>
        </is>
      </c>
      <c r="AW103" t="inlineStr">
        <is>
          <t>991005137539702656</t>
        </is>
      </c>
      <c r="AX103" t="inlineStr">
        <is>
          <t>991005137539702656</t>
        </is>
      </c>
      <c r="AY103" t="inlineStr">
        <is>
          <t>2271805360002656</t>
        </is>
      </c>
      <c r="AZ103" t="inlineStr">
        <is>
          <t>BOOK</t>
        </is>
      </c>
      <c r="BB103" t="inlineStr">
        <is>
          <t>9780230004986</t>
        </is>
      </c>
      <c r="BC103" t="inlineStr">
        <is>
          <t>32285005366918</t>
        </is>
      </c>
      <c r="BD103" t="inlineStr">
        <is>
          <t>893443460</t>
        </is>
      </c>
    </row>
    <row r="104">
      <c r="A104" t="inlineStr">
        <is>
          <t>No</t>
        </is>
      </c>
      <c r="B104" t="inlineStr">
        <is>
          <t>HN25 .M85 1989</t>
        </is>
      </c>
      <c r="C104" t="inlineStr">
        <is>
          <t>0                      HN 0025000M  85          1989</t>
        </is>
      </c>
      <c r="D104" t="inlineStr">
        <is>
          <t>The quality of life : valuation in social research / Ramkrishna Mukherjee.</t>
        </is>
      </c>
      <c r="F104" t="inlineStr">
        <is>
          <t>No</t>
        </is>
      </c>
      <c r="G104" t="inlineStr">
        <is>
          <t>1</t>
        </is>
      </c>
      <c r="H104" t="inlineStr">
        <is>
          <t>No</t>
        </is>
      </c>
      <c r="I104" t="inlineStr">
        <is>
          <t>No</t>
        </is>
      </c>
      <c r="J104" t="inlineStr">
        <is>
          <t>0</t>
        </is>
      </c>
      <c r="K104" t="inlineStr">
        <is>
          <t>Mukherjee, Ramkrishna.</t>
        </is>
      </c>
      <c r="L104" t="inlineStr">
        <is>
          <t>New Delhi ; Newbury Park : Sage Publications, 1989.</t>
        </is>
      </c>
      <c r="M104" t="inlineStr">
        <is>
          <t>1989</t>
        </is>
      </c>
      <c r="O104" t="inlineStr">
        <is>
          <t>eng</t>
        </is>
      </c>
      <c r="P104" t="inlineStr">
        <is>
          <t xml:space="preserve">ii </t>
        </is>
      </c>
      <c r="R104" t="inlineStr">
        <is>
          <t xml:space="preserve">HN </t>
        </is>
      </c>
      <c r="S104" t="n">
        <v>8</v>
      </c>
      <c r="T104" t="n">
        <v>8</v>
      </c>
      <c r="U104" t="inlineStr">
        <is>
          <t>2003-06-27</t>
        </is>
      </c>
      <c r="V104" t="inlineStr">
        <is>
          <t>2003-06-27</t>
        </is>
      </c>
      <c r="W104" t="inlineStr">
        <is>
          <t>1991-11-05</t>
        </is>
      </c>
      <c r="X104" t="inlineStr">
        <is>
          <t>1991-11-05</t>
        </is>
      </c>
      <c r="Y104" t="n">
        <v>341</v>
      </c>
      <c r="Z104" t="n">
        <v>212</v>
      </c>
      <c r="AA104" t="n">
        <v>214</v>
      </c>
      <c r="AB104" t="n">
        <v>3</v>
      </c>
      <c r="AC104" t="n">
        <v>3</v>
      </c>
      <c r="AD104" t="n">
        <v>13</v>
      </c>
      <c r="AE104" t="n">
        <v>13</v>
      </c>
      <c r="AF104" t="n">
        <v>3</v>
      </c>
      <c r="AG104" t="n">
        <v>3</v>
      </c>
      <c r="AH104" t="n">
        <v>4</v>
      </c>
      <c r="AI104" t="n">
        <v>4</v>
      </c>
      <c r="AJ104" t="n">
        <v>6</v>
      </c>
      <c r="AK104" t="n">
        <v>6</v>
      </c>
      <c r="AL104" t="n">
        <v>2</v>
      </c>
      <c r="AM104" t="n">
        <v>2</v>
      </c>
      <c r="AN104" t="n">
        <v>0</v>
      </c>
      <c r="AO104" t="n">
        <v>0</v>
      </c>
      <c r="AP104" t="inlineStr">
        <is>
          <t>No</t>
        </is>
      </c>
      <c r="AQ104" t="inlineStr">
        <is>
          <t>Yes</t>
        </is>
      </c>
      <c r="AR104">
        <f>HYPERLINK("http://catalog.hathitrust.org/Record/002063956","HathiTrust Record")</f>
        <v/>
      </c>
      <c r="AS104">
        <f>HYPERLINK("https://creighton-primo.hosted.exlibrisgroup.com/primo-explore/search?tab=default_tab&amp;search_scope=EVERYTHING&amp;vid=01CRU&amp;lang=en_US&amp;offset=0&amp;query=any,contains,991001436789702656","Catalog Record")</f>
        <v/>
      </c>
      <c r="AT104">
        <f>HYPERLINK("http://www.worldcat.org/oclc/19130597","WorldCat Record")</f>
        <v/>
      </c>
      <c r="AU104" t="inlineStr">
        <is>
          <t>836841046:eng</t>
        </is>
      </c>
      <c r="AV104" t="inlineStr">
        <is>
          <t>19130597</t>
        </is>
      </c>
      <c r="AW104" t="inlineStr">
        <is>
          <t>991001436789702656</t>
        </is>
      </c>
      <c r="AX104" t="inlineStr">
        <is>
          <t>991001436789702656</t>
        </is>
      </c>
      <c r="AY104" t="inlineStr">
        <is>
          <t>2261739100002656</t>
        </is>
      </c>
      <c r="AZ104" t="inlineStr">
        <is>
          <t>BOOK</t>
        </is>
      </c>
      <c r="BB104" t="inlineStr">
        <is>
          <t>9780803995871</t>
        </is>
      </c>
      <c r="BC104" t="inlineStr">
        <is>
          <t>32285000729722</t>
        </is>
      </c>
      <c r="BD104" t="inlineStr">
        <is>
          <t>893503422</t>
        </is>
      </c>
    </row>
    <row r="105">
      <c r="A105" t="inlineStr">
        <is>
          <t>No</t>
        </is>
      </c>
      <c r="B105" t="inlineStr">
        <is>
          <t>HN25 .Q34</t>
        </is>
      </c>
      <c r="C105" t="inlineStr">
        <is>
          <t>0                      HN 0025000Q  34</t>
        </is>
      </c>
      <c r="D105" t="inlineStr">
        <is>
          <t>The Quality of life : comparative studies / edited by Alexander Szalai and Frank M. Andrews.</t>
        </is>
      </c>
      <c r="F105" t="inlineStr">
        <is>
          <t>No</t>
        </is>
      </c>
      <c r="G105" t="inlineStr">
        <is>
          <t>1</t>
        </is>
      </c>
      <c r="H105" t="inlineStr">
        <is>
          <t>No</t>
        </is>
      </c>
      <c r="I105" t="inlineStr">
        <is>
          <t>No</t>
        </is>
      </c>
      <c r="J105" t="inlineStr">
        <is>
          <t>0</t>
        </is>
      </c>
      <c r="L105" t="inlineStr">
        <is>
          <t>London ; Beverly Hills, Calif. : Sage Publications, c1980.</t>
        </is>
      </c>
      <c r="M105" t="inlineStr">
        <is>
          <t>1980</t>
        </is>
      </c>
      <c r="O105" t="inlineStr">
        <is>
          <t>eng</t>
        </is>
      </c>
      <c r="P105" t="inlineStr">
        <is>
          <t>enk</t>
        </is>
      </c>
      <c r="Q105" t="inlineStr">
        <is>
          <t>Sage studies in international sociology ; 20</t>
        </is>
      </c>
      <c r="R105" t="inlineStr">
        <is>
          <t xml:space="preserve">HN </t>
        </is>
      </c>
      <c r="S105" t="n">
        <v>6</v>
      </c>
      <c r="T105" t="n">
        <v>6</v>
      </c>
      <c r="U105" t="inlineStr">
        <is>
          <t>1999-02-21</t>
        </is>
      </c>
      <c r="V105" t="inlineStr">
        <is>
          <t>1999-02-21</t>
        </is>
      </c>
      <c r="W105" t="inlineStr">
        <is>
          <t>1992-01-17</t>
        </is>
      </c>
      <c r="X105" t="inlineStr">
        <is>
          <t>1992-01-17</t>
        </is>
      </c>
      <c r="Y105" t="n">
        <v>341</v>
      </c>
      <c r="Z105" t="n">
        <v>218</v>
      </c>
      <c r="AA105" t="n">
        <v>220</v>
      </c>
      <c r="AB105" t="n">
        <v>2</v>
      </c>
      <c r="AC105" t="n">
        <v>2</v>
      </c>
      <c r="AD105" t="n">
        <v>13</v>
      </c>
      <c r="AE105" t="n">
        <v>13</v>
      </c>
      <c r="AF105" t="n">
        <v>3</v>
      </c>
      <c r="AG105" t="n">
        <v>3</v>
      </c>
      <c r="AH105" t="n">
        <v>5</v>
      </c>
      <c r="AI105" t="n">
        <v>5</v>
      </c>
      <c r="AJ105" t="n">
        <v>8</v>
      </c>
      <c r="AK105" t="n">
        <v>8</v>
      </c>
      <c r="AL105" t="n">
        <v>1</v>
      </c>
      <c r="AM105" t="n">
        <v>1</v>
      </c>
      <c r="AN105" t="n">
        <v>0</v>
      </c>
      <c r="AO105" t="n">
        <v>0</v>
      </c>
      <c r="AP105" t="inlineStr">
        <is>
          <t>No</t>
        </is>
      </c>
      <c r="AQ105" t="inlineStr">
        <is>
          <t>Yes</t>
        </is>
      </c>
      <c r="AR105">
        <f>HYPERLINK("http://catalog.hathitrust.org/Record/000261522","HathiTrust Record")</f>
        <v/>
      </c>
      <c r="AS105">
        <f>HYPERLINK("https://creighton-primo.hosted.exlibrisgroup.com/primo-explore/search?tab=default_tab&amp;search_scope=EVERYTHING&amp;vid=01CRU&amp;lang=en_US&amp;offset=0&amp;query=any,contains,991005043399702656","Catalog Record")</f>
        <v/>
      </c>
      <c r="AT105">
        <f>HYPERLINK("http://www.worldcat.org/oclc/6813600","WorldCat Record")</f>
        <v/>
      </c>
      <c r="AU105" t="inlineStr">
        <is>
          <t>889354066:eng</t>
        </is>
      </c>
      <c r="AV105" t="inlineStr">
        <is>
          <t>6813600</t>
        </is>
      </c>
      <c r="AW105" t="inlineStr">
        <is>
          <t>991005043399702656</t>
        </is>
      </c>
      <c r="AX105" t="inlineStr">
        <is>
          <t>991005043399702656</t>
        </is>
      </c>
      <c r="AY105" t="inlineStr">
        <is>
          <t>2268431820002656</t>
        </is>
      </c>
      <c r="AZ105" t="inlineStr">
        <is>
          <t>BOOK</t>
        </is>
      </c>
      <c r="BB105" t="inlineStr">
        <is>
          <t>9780803998247</t>
        </is>
      </c>
      <c r="BC105" t="inlineStr">
        <is>
          <t>32285000915479</t>
        </is>
      </c>
      <c r="BD105" t="inlineStr">
        <is>
          <t>893707165</t>
        </is>
      </c>
    </row>
    <row r="106">
      <c r="A106" t="inlineStr">
        <is>
          <t>No</t>
        </is>
      </c>
      <c r="B106" t="inlineStr">
        <is>
          <t>HN250.M3 H6</t>
        </is>
      </c>
      <c r="C106" t="inlineStr">
        <is>
          <t>0                      HN 0250000M  3                  H  6</t>
        </is>
      </c>
      <c r="D106" t="inlineStr">
        <is>
          <t>Morne-Paysan, peasant village in Martinique, by Michael M. Horowitz.</t>
        </is>
      </c>
      <c r="F106" t="inlineStr">
        <is>
          <t>No</t>
        </is>
      </c>
      <c r="G106" t="inlineStr">
        <is>
          <t>1</t>
        </is>
      </c>
      <c r="H106" t="inlineStr">
        <is>
          <t>No</t>
        </is>
      </c>
      <c r="I106" t="inlineStr">
        <is>
          <t>No</t>
        </is>
      </c>
      <c r="J106" t="inlineStr">
        <is>
          <t>0</t>
        </is>
      </c>
      <c r="K106" t="inlineStr">
        <is>
          <t>Horowitz, Michael M., 1933-2018.</t>
        </is>
      </c>
      <c r="L106" t="inlineStr">
        <is>
          <t>New York, Holt, Rinehart and Winston [1967]</t>
        </is>
      </c>
      <c r="M106" t="inlineStr">
        <is>
          <t>1967</t>
        </is>
      </c>
      <c r="O106" t="inlineStr">
        <is>
          <t>eng</t>
        </is>
      </c>
      <c r="P106" t="inlineStr">
        <is>
          <t>nyu</t>
        </is>
      </c>
      <c r="Q106" t="inlineStr">
        <is>
          <t>Case studies in cultural anthropology</t>
        </is>
      </c>
      <c r="R106" t="inlineStr">
        <is>
          <t xml:space="preserve">HN </t>
        </is>
      </c>
      <c r="S106" t="n">
        <v>2</v>
      </c>
      <c r="T106" t="n">
        <v>2</v>
      </c>
      <c r="U106" t="inlineStr">
        <is>
          <t>2007-09-23</t>
        </is>
      </c>
      <c r="V106" t="inlineStr">
        <is>
          <t>2007-09-23</t>
        </is>
      </c>
      <c r="W106" t="inlineStr">
        <is>
          <t>1997-08-06</t>
        </is>
      </c>
      <c r="X106" t="inlineStr">
        <is>
          <t>1997-08-06</t>
        </is>
      </c>
      <c r="Y106" t="n">
        <v>704</v>
      </c>
      <c r="Z106" t="n">
        <v>569</v>
      </c>
      <c r="AA106" t="n">
        <v>627</v>
      </c>
      <c r="AB106" t="n">
        <v>3</v>
      </c>
      <c r="AC106" t="n">
        <v>4</v>
      </c>
      <c r="AD106" t="n">
        <v>27</v>
      </c>
      <c r="AE106" t="n">
        <v>29</v>
      </c>
      <c r="AF106" t="n">
        <v>14</v>
      </c>
      <c r="AG106" t="n">
        <v>15</v>
      </c>
      <c r="AH106" t="n">
        <v>7</v>
      </c>
      <c r="AI106" t="n">
        <v>7</v>
      </c>
      <c r="AJ106" t="n">
        <v>14</v>
      </c>
      <c r="AK106" t="n">
        <v>15</v>
      </c>
      <c r="AL106" t="n">
        <v>2</v>
      </c>
      <c r="AM106" t="n">
        <v>3</v>
      </c>
      <c r="AN106" t="n">
        <v>0</v>
      </c>
      <c r="AO106" t="n">
        <v>0</v>
      </c>
      <c r="AP106" t="inlineStr">
        <is>
          <t>No</t>
        </is>
      </c>
      <c r="AQ106" t="inlineStr">
        <is>
          <t>Yes</t>
        </is>
      </c>
      <c r="AR106">
        <f>HYPERLINK("http://catalog.hathitrust.org/Record/001109713","HathiTrust Record")</f>
        <v/>
      </c>
      <c r="AS106">
        <f>HYPERLINK("https://creighton-primo.hosted.exlibrisgroup.com/primo-explore/search?tab=default_tab&amp;search_scope=EVERYTHING&amp;vid=01CRU&amp;lang=en_US&amp;offset=0&amp;query=any,contains,991001391069702656","Catalog Record")</f>
        <v/>
      </c>
      <c r="AT106">
        <f>HYPERLINK("http://www.worldcat.org/oclc/227928","WorldCat Record")</f>
        <v/>
      </c>
      <c r="AU106" t="inlineStr">
        <is>
          <t>196977192:eng</t>
        </is>
      </c>
      <c r="AV106" t="inlineStr">
        <is>
          <t>227928</t>
        </is>
      </c>
      <c r="AW106" t="inlineStr">
        <is>
          <t>991001391069702656</t>
        </is>
      </c>
      <c r="AX106" t="inlineStr">
        <is>
          <t>991001391069702656</t>
        </is>
      </c>
      <c r="AY106" t="inlineStr">
        <is>
          <t>2255778710002656</t>
        </is>
      </c>
      <c r="AZ106" t="inlineStr">
        <is>
          <t>BOOK</t>
        </is>
      </c>
      <c r="BC106" t="inlineStr">
        <is>
          <t>32285003044897</t>
        </is>
      </c>
      <c r="BD106" t="inlineStr">
        <is>
          <t>893590253</t>
        </is>
      </c>
    </row>
    <row r="107">
      <c r="A107" t="inlineStr">
        <is>
          <t>No</t>
        </is>
      </c>
      <c r="B107" t="inlineStr">
        <is>
          <t>HN253.5 .J6</t>
        </is>
      </c>
      <c r="C107" t="inlineStr">
        <is>
          <t>0                      HN 0253500J  6</t>
        </is>
      </c>
      <c r="D107" t="inlineStr">
        <is>
          <t>Continuity and change in Latin America. Edited by John J. Johnson. Contributors: Richard N. Adams [and others]</t>
        </is>
      </c>
      <c r="F107" t="inlineStr">
        <is>
          <t>No</t>
        </is>
      </c>
      <c r="G107" t="inlineStr">
        <is>
          <t>1</t>
        </is>
      </c>
      <c r="H107" t="inlineStr">
        <is>
          <t>No</t>
        </is>
      </c>
      <c r="I107" t="inlineStr">
        <is>
          <t>No</t>
        </is>
      </c>
      <c r="J107" t="inlineStr">
        <is>
          <t>0</t>
        </is>
      </c>
      <c r="K107" t="inlineStr">
        <is>
          <t>Johnson, John J., 1912-2004 editor.</t>
        </is>
      </c>
      <c r="L107" t="inlineStr">
        <is>
          <t>Stanford, Calif., Stanford University Press, 1964.</t>
        </is>
      </c>
      <c r="M107" t="inlineStr">
        <is>
          <t>1964</t>
        </is>
      </c>
      <c r="O107" t="inlineStr">
        <is>
          <t>eng</t>
        </is>
      </c>
      <c r="P107" t="inlineStr">
        <is>
          <t>cau</t>
        </is>
      </c>
      <c r="R107" t="inlineStr">
        <is>
          <t xml:space="preserve">HN </t>
        </is>
      </c>
      <c r="S107" t="n">
        <v>5</v>
      </c>
      <c r="T107" t="n">
        <v>5</v>
      </c>
      <c r="U107" t="inlineStr">
        <is>
          <t>1999-02-01</t>
        </is>
      </c>
      <c r="V107" t="inlineStr">
        <is>
          <t>1999-02-01</t>
        </is>
      </c>
      <c r="W107" t="inlineStr">
        <is>
          <t>1997-08-06</t>
        </is>
      </c>
      <c r="X107" t="inlineStr">
        <is>
          <t>1997-08-06</t>
        </is>
      </c>
      <c r="Y107" t="n">
        <v>902</v>
      </c>
      <c r="Z107" t="n">
        <v>765</v>
      </c>
      <c r="AA107" t="n">
        <v>772</v>
      </c>
      <c r="AB107" t="n">
        <v>8</v>
      </c>
      <c r="AC107" t="n">
        <v>8</v>
      </c>
      <c r="AD107" t="n">
        <v>36</v>
      </c>
      <c r="AE107" t="n">
        <v>36</v>
      </c>
      <c r="AF107" t="n">
        <v>13</v>
      </c>
      <c r="AG107" t="n">
        <v>13</v>
      </c>
      <c r="AH107" t="n">
        <v>7</v>
      </c>
      <c r="AI107" t="n">
        <v>7</v>
      </c>
      <c r="AJ107" t="n">
        <v>21</v>
      </c>
      <c r="AK107" t="n">
        <v>21</v>
      </c>
      <c r="AL107" t="n">
        <v>7</v>
      </c>
      <c r="AM107" t="n">
        <v>7</v>
      </c>
      <c r="AN107" t="n">
        <v>0</v>
      </c>
      <c r="AO107" t="n">
        <v>0</v>
      </c>
      <c r="AP107" t="inlineStr">
        <is>
          <t>No</t>
        </is>
      </c>
      <c r="AQ107" t="inlineStr">
        <is>
          <t>No</t>
        </is>
      </c>
      <c r="AS107">
        <f>HYPERLINK("https://creighton-primo.hosted.exlibrisgroup.com/primo-explore/search?tab=default_tab&amp;search_scope=EVERYTHING&amp;vid=01CRU&amp;lang=en_US&amp;offset=0&amp;query=any,contains,991002017269702656","Catalog Record")</f>
        <v/>
      </c>
      <c r="AT107">
        <f>HYPERLINK("http://www.worldcat.org/oclc/259273","WorldCat Record")</f>
        <v/>
      </c>
      <c r="AU107" t="inlineStr">
        <is>
          <t>912302901:eng</t>
        </is>
      </c>
      <c r="AV107" t="inlineStr">
        <is>
          <t>259273</t>
        </is>
      </c>
      <c r="AW107" t="inlineStr">
        <is>
          <t>991002017269702656</t>
        </is>
      </c>
      <c r="AX107" t="inlineStr">
        <is>
          <t>991002017269702656</t>
        </is>
      </c>
      <c r="AY107" t="inlineStr">
        <is>
          <t>2271290880002656</t>
        </is>
      </c>
      <c r="AZ107" t="inlineStr">
        <is>
          <t>BOOK</t>
        </is>
      </c>
      <c r="BC107" t="inlineStr">
        <is>
          <t>32285003044905</t>
        </is>
      </c>
      <c r="BD107" t="inlineStr">
        <is>
          <t>893444916</t>
        </is>
      </c>
    </row>
    <row r="108">
      <c r="A108" t="inlineStr">
        <is>
          <t>No</t>
        </is>
      </c>
      <c r="B108" t="inlineStr">
        <is>
          <t>HN263 .I413</t>
        </is>
      </c>
      <c r="C108" t="inlineStr">
        <is>
          <t>0                      HN 0263000I  413</t>
        </is>
      </c>
      <c r="D108" t="inlineStr">
        <is>
          <t>Los que mandan (Those who rule) Translated and with an introd. by Carlos A. Astiz, with Mary F. McCarthy.</t>
        </is>
      </c>
      <c r="F108" t="inlineStr">
        <is>
          <t>No</t>
        </is>
      </c>
      <c r="G108" t="inlineStr">
        <is>
          <t>1</t>
        </is>
      </c>
      <c r="H108" t="inlineStr">
        <is>
          <t>No</t>
        </is>
      </c>
      <c r="I108" t="inlineStr">
        <is>
          <t>No</t>
        </is>
      </c>
      <c r="J108" t="inlineStr">
        <is>
          <t>0</t>
        </is>
      </c>
      <c r="K108" t="inlineStr">
        <is>
          <t>Imaz, José Luis de.</t>
        </is>
      </c>
      <c r="L108" t="inlineStr">
        <is>
          <t>Albany, State University of New York Press [1970]</t>
        </is>
      </c>
      <c r="M108" t="inlineStr">
        <is>
          <t>1970</t>
        </is>
      </c>
      <c r="O108" t="inlineStr">
        <is>
          <t>eng</t>
        </is>
      </c>
      <c r="P108" t="inlineStr">
        <is>
          <t>nyu</t>
        </is>
      </c>
      <c r="R108" t="inlineStr">
        <is>
          <t xml:space="preserve">HN </t>
        </is>
      </c>
      <c r="S108" t="n">
        <v>2</v>
      </c>
      <c r="T108" t="n">
        <v>2</v>
      </c>
      <c r="U108" t="inlineStr">
        <is>
          <t>1992-10-31</t>
        </is>
      </c>
      <c r="V108" t="inlineStr">
        <is>
          <t>1992-10-31</t>
        </is>
      </c>
      <c r="W108" t="inlineStr">
        <is>
          <t>1990-02-20</t>
        </is>
      </c>
      <c r="X108" t="inlineStr">
        <is>
          <t>1990-02-20</t>
        </is>
      </c>
      <c r="Y108" t="n">
        <v>466</v>
      </c>
      <c r="Z108" t="n">
        <v>413</v>
      </c>
      <c r="AA108" t="n">
        <v>420</v>
      </c>
      <c r="AB108" t="n">
        <v>3</v>
      </c>
      <c r="AC108" t="n">
        <v>3</v>
      </c>
      <c r="AD108" t="n">
        <v>21</v>
      </c>
      <c r="AE108" t="n">
        <v>21</v>
      </c>
      <c r="AF108" t="n">
        <v>5</v>
      </c>
      <c r="AG108" t="n">
        <v>5</v>
      </c>
      <c r="AH108" t="n">
        <v>6</v>
      </c>
      <c r="AI108" t="n">
        <v>6</v>
      </c>
      <c r="AJ108" t="n">
        <v>13</v>
      </c>
      <c r="AK108" t="n">
        <v>13</v>
      </c>
      <c r="AL108" t="n">
        <v>2</v>
      </c>
      <c r="AM108" t="n">
        <v>2</v>
      </c>
      <c r="AN108" t="n">
        <v>0</v>
      </c>
      <c r="AO108" t="n">
        <v>0</v>
      </c>
      <c r="AP108" t="inlineStr">
        <is>
          <t>No</t>
        </is>
      </c>
      <c r="AQ108" t="inlineStr">
        <is>
          <t>Yes</t>
        </is>
      </c>
      <c r="AR108">
        <f>HYPERLINK("http://catalog.hathitrust.org/Record/001350802","HathiTrust Record")</f>
        <v/>
      </c>
      <c r="AS108">
        <f>HYPERLINK("https://creighton-primo.hosted.exlibrisgroup.com/primo-explore/search?tab=default_tab&amp;search_scope=EVERYTHING&amp;vid=01CRU&amp;lang=en_US&amp;offset=0&amp;query=any,contains,991000653879702656","Catalog Record")</f>
        <v/>
      </c>
      <c r="AT108">
        <f>HYPERLINK("http://www.worldcat.org/oclc/114242","WorldCat Record")</f>
        <v/>
      </c>
      <c r="AU108" t="inlineStr">
        <is>
          <t>1230253:eng</t>
        </is>
      </c>
      <c r="AV108" t="inlineStr">
        <is>
          <t>114242</t>
        </is>
      </c>
      <c r="AW108" t="inlineStr">
        <is>
          <t>991000653879702656</t>
        </is>
      </c>
      <c r="AX108" t="inlineStr">
        <is>
          <t>991000653879702656</t>
        </is>
      </c>
      <c r="AY108" t="inlineStr">
        <is>
          <t>2259817460002656</t>
        </is>
      </c>
      <c r="AZ108" t="inlineStr">
        <is>
          <t>BOOK</t>
        </is>
      </c>
      <c r="BB108" t="inlineStr">
        <is>
          <t>9780873950442</t>
        </is>
      </c>
      <c r="BC108" t="inlineStr">
        <is>
          <t>32285000056365</t>
        </is>
      </c>
      <c r="BD108" t="inlineStr">
        <is>
          <t>893702308</t>
        </is>
      </c>
    </row>
    <row r="109">
      <c r="A109" t="inlineStr">
        <is>
          <t>No</t>
        </is>
      </c>
      <c r="B109" t="inlineStr">
        <is>
          <t>HN263 .J69 1992</t>
        </is>
      </c>
      <c r="C109" t="inlineStr">
        <is>
          <t>0                      HN 0263000J  69          1992</t>
        </is>
      </c>
      <c r="D109" t="inlineStr">
        <is>
          <t>Propaganda and persuasion / Garth S. Jowett, Victoria O'Donnell.</t>
        </is>
      </c>
      <c r="F109" t="inlineStr">
        <is>
          <t>No</t>
        </is>
      </c>
      <c r="G109" t="inlineStr">
        <is>
          <t>1</t>
        </is>
      </c>
      <c r="H109" t="inlineStr">
        <is>
          <t>No</t>
        </is>
      </c>
      <c r="I109" t="inlineStr">
        <is>
          <t>Yes</t>
        </is>
      </c>
      <c r="J109" t="inlineStr">
        <is>
          <t>0</t>
        </is>
      </c>
      <c r="K109" t="inlineStr">
        <is>
          <t>Jowett, Garth.</t>
        </is>
      </c>
      <c r="L109" t="inlineStr">
        <is>
          <t>Newbury Park, Calif. : Sage Publications, c1992.</t>
        </is>
      </c>
      <c r="M109" t="inlineStr">
        <is>
          <t>1992</t>
        </is>
      </c>
      <c r="N109" t="inlineStr">
        <is>
          <t>2nd ed.</t>
        </is>
      </c>
      <c r="O109" t="inlineStr">
        <is>
          <t>eng</t>
        </is>
      </c>
      <c r="P109" t="inlineStr">
        <is>
          <t>cau</t>
        </is>
      </c>
      <c r="R109" t="inlineStr">
        <is>
          <t xml:space="preserve">HN </t>
        </is>
      </c>
      <c r="S109" t="n">
        <v>9</v>
      </c>
      <c r="T109" t="n">
        <v>9</v>
      </c>
      <c r="U109" t="inlineStr">
        <is>
          <t>2000-03-13</t>
        </is>
      </c>
      <c r="V109" t="inlineStr">
        <is>
          <t>2000-03-13</t>
        </is>
      </c>
      <c r="W109" t="inlineStr">
        <is>
          <t>1993-01-19</t>
        </is>
      </c>
      <c r="X109" t="inlineStr">
        <is>
          <t>1993-01-19</t>
        </is>
      </c>
      <c r="Y109" t="n">
        <v>467</v>
      </c>
      <c r="Z109" t="n">
        <v>321</v>
      </c>
      <c r="AA109" t="n">
        <v>927</v>
      </c>
      <c r="AB109" t="n">
        <v>5</v>
      </c>
      <c r="AC109" t="n">
        <v>10</v>
      </c>
      <c r="AD109" t="n">
        <v>22</v>
      </c>
      <c r="AE109" t="n">
        <v>52</v>
      </c>
      <c r="AF109" t="n">
        <v>10</v>
      </c>
      <c r="AG109" t="n">
        <v>24</v>
      </c>
      <c r="AH109" t="n">
        <v>3</v>
      </c>
      <c r="AI109" t="n">
        <v>9</v>
      </c>
      <c r="AJ109" t="n">
        <v>11</v>
      </c>
      <c r="AK109" t="n">
        <v>21</v>
      </c>
      <c r="AL109" t="n">
        <v>4</v>
      </c>
      <c r="AM109" t="n">
        <v>9</v>
      </c>
      <c r="AN109" t="n">
        <v>0</v>
      </c>
      <c r="AO109" t="n">
        <v>1</v>
      </c>
      <c r="AP109" t="inlineStr">
        <is>
          <t>No</t>
        </is>
      </c>
      <c r="AQ109" t="inlineStr">
        <is>
          <t>Yes</t>
        </is>
      </c>
      <c r="AR109">
        <f>HYPERLINK("http://catalog.hathitrust.org/Record/002604341","HathiTrust Record")</f>
        <v/>
      </c>
      <c r="AS109">
        <f>HYPERLINK("https://creighton-primo.hosted.exlibrisgroup.com/primo-explore/search?tab=default_tab&amp;search_scope=EVERYTHING&amp;vid=01CRU&amp;lang=en_US&amp;offset=0&amp;query=any,contains,991002031759702656","Catalog Record")</f>
        <v/>
      </c>
      <c r="AT109">
        <f>HYPERLINK("http://www.worldcat.org/oclc/25872921","WorldCat Record")</f>
        <v/>
      </c>
      <c r="AU109" t="inlineStr">
        <is>
          <t>5386889:eng</t>
        </is>
      </c>
      <c r="AV109" t="inlineStr">
        <is>
          <t>25872921</t>
        </is>
      </c>
      <c r="AW109" t="inlineStr">
        <is>
          <t>991002031759702656</t>
        </is>
      </c>
      <c r="AX109" t="inlineStr">
        <is>
          <t>991002031759702656</t>
        </is>
      </c>
      <c r="AY109" t="inlineStr">
        <is>
          <t>2270823060002656</t>
        </is>
      </c>
      <c r="AZ109" t="inlineStr">
        <is>
          <t>BOOK</t>
        </is>
      </c>
      <c r="BB109" t="inlineStr">
        <is>
          <t>9780803946774</t>
        </is>
      </c>
      <c r="BC109" t="inlineStr">
        <is>
          <t>32285001446839</t>
        </is>
      </c>
      <c r="BD109" t="inlineStr">
        <is>
          <t>893892043</t>
        </is>
      </c>
    </row>
    <row r="110">
      <c r="A110" t="inlineStr">
        <is>
          <t>No</t>
        </is>
      </c>
      <c r="B110" t="inlineStr">
        <is>
          <t>HN27 .S66 1990</t>
        </is>
      </c>
      <c r="C110" t="inlineStr">
        <is>
          <t>0                      HN 0027000S  66          1990</t>
        </is>
      </c>
      <c r="D110" t="inlineStr">
        <is>
          <t>The post-colonial critic : interviews, strategies, dialogues / Gayatri Chakravorty Spivak ; edited by Sarah Harasym.</t>
        </is>
      </c>
      <c r="F110" t="inlineStr">
        <is>
          <t>No</t>
        </is>
      </c>
      <c r="G110" t="inlineStr">
        <is>
          <t>1</t>
        </is>
      </c>
      <c r="H110" t="inlineStr">
        <is>
          <t>No</t>
        </is>
      </c>
      <c r="I110" t="inlineStr">
        <is>
          <t>No</t>
        </is>
      </c>
      <c r="J110" t="inlineStr">
        <is>
          <t>0</t>
        </is>
      </c>
      <c r="K110" t="inlineStr">
        <is>
          <t>Spivak, Gayatri Chakravorty.</t>
        </is>
      </c>
      <c r="L110" t="inlineStr">
        <is>
          <t>New York : Routledge, c1990.</t>
        </is>
      </c>
      <c r="M110" t="inlineStr">
        <is>
          <t>1990</t>
        </is>
      </c>
      <c r="O110" t="inlineStr">
        <is>
          <t>eng</t>
        </is>
      </c>
      <c r="P110" t="inlineStr">
        <is>
          <t>nyu</t>
        </is>
      </c>
      <c r="R110" t="inlineStr">
        <is>
          <t xml:space="preserve">HN </t>
        </is>
      </c>
      <c r="S110" t="n">
        <v>4</v>
      </c>
      <c r="T110" t="n">
        <v>4</v>
      </c>
      <c r="U110" t="inlineStr">
        <is>
          <t>2000-10-30</t>
        </is>
      </c>
      <c r="V110" t="inlineStr">
        <is>
          <t>2000-10-30</t>
        </is>
      </c>
      <c r="W110" t="inlineStr">
        <is>
          <t>1994-03-11</t>
        </is>
      </c>
      <c r="X110" t="inlineStr">
        <is>
          <t>1994-03-11</t>
        </is>
      </c>
      <c r="Y110" t="n">
        <v>704</v>
      </c>
      <c r="Z110" t="n">
        <v>430</v>
      </c>
      <c r="AA110" t="n">
        <v>461</v>
      </c>
      <c r="AB110" t="n">
        <v>4</v>
      </c>
      <c r="AC110" t="n">
        <v>4</v>
      </c>
      <c r="AD110" t="n">
        <v>27</v>
      </c>
      <c r="AE110" t="n">
        <v>27</v>
      </c>
      <c r="AF110" t="n">
        <v>11</v>
      </c>
      <c r="AG110" t="n">
        <v>11</v>
      </c>
      <c r="AH110" t="n">
        <v>6</v>
      </c>
      <c r="AI110" t="n">
        <v>6</v>
      </c>
      <c r="AJ110" t="n">
        <v>13</v>
      </c>
      <c r="AK110" t="n">
        <v>13</v>
      </c>
      <c r="AL110" t="n">
        <v>3</v>
      </c>
      <c r="AM110" t="n">
        <v>3</v>
      </c>
      <c r="AN110" t="n">
        <v>0</v>
      </c>
      <c r="AO110" t="n">
        <v>0</v>
      </c>
      <c r="AP110" t="inlineStr">
        <is>
          <t>No</t>
        </is>
      </c>
      <c r="AQ110" t="inlineStr">
        <is>
          <t>Yes</t>
        </is>
      </c>
      <c r="AR110">
        <f>HYPERLINK("http://catalog.hathitrust.org/Record/002165085","HathiTrust Record")</f>
        <v/>
      </c>
      <c r="AS110">
        <f>HYPERLINK("https://creighton-primo.hosted.exlibrisgroup.com/primo-explore/search?tab=default_tab&amp;search_scope=EVERYTHING&amp;vid=01CRU&amp;lang=en_US&amp;offset=0&amp;query=any,contains,991001753649702656","Catalog Record")</f>
        <v/>
      </c>
      <c r="AT110">
        <f>HYPERLINK("http://www.worldcat.org/oclc/22192413","WorldCat Record")</f>
        <v/>
      </c>
      <c r="AU110" t="inlineStr">
        <is>
          <t>19808963:eng</t>
        </is>
      </c>
      <c r="AV110" t="inlineStr">
        <is>
          <t>22192413</t>
        </is>
      </c>
      <c r="AW110" t="inlineStr">
        <is>
          <t>991001753649702656</t>
        </is>
      </c>
      <c r="AX110" t="inlineStr">
        <is>
          <t>991001753649702656</t>
        </is>
      </c>
      <c r="AY110" t="inlineStr">
        <is>
          <t>2270376110002656</t>
        </is>
      </c>
      <c r="AZ110" t="inlineStr">
        <is>
          <t>BOOK</t>
        </is>
      </c>
      <c r="BB110" t="inlineStr">
        <is>
          <t>9780415901703</t>
        </is>
      </c>
      <c r="BC110" t="inlineStr">
        <is>
          <t>32285001855575</t>
        </is>
      </c>
      <c r="BD110" t="inlineStr">
        <is>
          <t>893322217</t>
        </is>
      </c>
    </row>
    <row r="111">
      <c r="A111" t="inlineStr">
        <is>
          <t>No</t>
        </is>
      </c>
      <c r="B111" t="inlineStr">
        <is>
          <t>HN28 .C85 1995</t>
        </is>
      </c>
      <c r="C111" t="inlineStr">
        <is>
          <t>0                      HN 0028000C  85          1995</t>
        </is>
      </c>
      <c r="D111" t="inlineStr">
        <is>
          <t>Cultural politics and social movements / edited by Marcy Darnovsky, Barbara Epstein, and Richard Flacks.</t>
        </is>
      </c>
      <c r="F111" t="inlineStr">
        <is>
          <t>No</t>
        </is>
      </c>
      <c r="G111" t="inlineStr">
        <is>
          <t>1</t>
        </is>
      </c>
      <c r="H111" t="inlineStr">
        <is>
          <t>No</t>
        </is>
      </c>
      <c r="I111" t="inlineStr">
        <is>
          <t>No</t>
        </is>
      </c>
      <c r="J111" t="inlineStr">
        <is>
          <t>0</t>
        </is>
      </c>
      <c r="L111" t="inlineStr">
        <is>
          <t>Philadelphia : Temple University Press, 1995.</t>
        </is>
      </c>
      <c r="M111" t="inlineStr">
        <is>
          <t>1995</t>
        </is>
      </c>
      <c r="O111" t="inlineStr">
        <is>
          <t>eng</t>
        </is>
      </c>
      <c r="P111" t="inlineStr">
        <is>
          <t>pau</t>
        </is>
      </c>
      <c r="R111" t="inlineStr">
        <is>
          <t xml:space="preserve">HN </t>
        </is>
      </c>
      <c r="S111" t="n">
        <v>11</v>
      </c>
      <c r="T111" t="n">
        <v>11</v>
      </c>
      <c r="U111" t="inlineStr">
        <is>
          <t>2003-11-02</t>
        </is>
      </c>
      <c r="V111" t="inlineStr">
        <is>
          <t>2003-11-02</t>
        </is>
      </c>
      <c r="W111" t="inlineStr">
        <is>
          <t>1997-04-03</t>
        </is>
      </c>
      <c r="X111" t="inlineStr">
        <is>
          <t>1997-04-03</t>
        </is>
      </c>
      <c r="Y111" t="n">
        <v>600</v>
      </c>
      <c r="Z111" t="n">
        <v>512</v>
      </c>
      <c r="AA111" t="n">
        <v>680</v>
      </c>
      <c r="AB111" t="n">
        <v>3</v>
      </c>
      <c r="AC111" t="n">
        <v>3</v>
      </c>
      <c r="AD111" t="n">
        <v>23</v>
      </c>
      <c r="AE111" t="n">
        <v>32</v>
      </c>
      <c r="AF111" t="n">
        <v>11</v>
      </c>
      <c r="AG111" t="n">
        <v>17</v>
      </c>
      <c r="AH111" t="n">
        <v>6</v>
      </c>
      <c r="AI111" t="n">
        <v>8</v>
      </c>
      <c r="AJ111" t="n">
        <v>10</v>
      </c>
      <c r="AK111" t="n">
        <v>13</v>
      </c>
      <c r="AL111" t="n">
        <v>2</v>
      </c>
      <c r="AM111" t="n">
        <v>2</v>
      </c>
      <c r="AN111" t="n">
        <v>0</v>
      </c>
      <c r="AO111" t="n">
        <v>0</v>
      </c>
      <c r="AP111" t="inlineStr">
        <is>
          <t>No</t>
        </is>
      </c>
      <c r="AQ111" t="inlineStr">
        <is>
          <t>No</t>
        </is>
      </c>
      <c r="AS111">
        <f>HYPERLINK("https://creighton-primo.hosted.exlibrisgroup.com/primo-explore/search?tab=default_tab&amp;search_scope=EVERYTHING&amp;vid=01CRU&amp;lang=en_US&amp;offset=0&amp;query=any,contains,991002405269702656","Catalog Record")</f>
        <v/>
      </c>
      <c r="AT111">
        <f>HYPERLINK("http://www.worldcat.org/oclc/31289856","WorldCat Record")</f>
        <v/>
      </c>
      <c r="AU111" t="inlineStr">
        <is>
          <t>350884449:eng</t>
        </is>
      </c>
      <c r="AV111" t="inlineStr">
        <is>
          <t>31289856</t>
        </is>
      </c>
      <c r="AW111" t="inlineStr">
        <is>
          <t>991002405269702656</t>
        </is>
      </c>
      <c r="AX111" t="inlineStr">
        <is>
          <t>991002405269702656</t>
        </is>
      </c>
      <c r="AY111" t="inlineStr">
        <is>
          <t>2259766510002656</t>
        </is>
      </c>
      <c r="AZ111" t="inlineStr">
        <is>
          <t>BOOK</t>
        </is>
      </c>
      <c r="BB111" t="inlineStr">
        <is>
          <t>9781566393225</t>
        </is>
      </c>
      <c r="BC111" t="inlineStr">
        <is>
          <t>32285002478385</t>
        </is>
      </c>
      <c r="BD111" t="inlineStr">
        <is>
          <t>893523568</t>
        </is>
      </c>
    </row>
    <row r="112">
      <c r="A112" t="inlineStr">
        <is>
          <t>No</t>
        </is>
      </c>
      <c r="B112" t="inlineStr">
        <is>
          <t>HN28 .F57 2001</t>
        </is>
      </c>
      <c r="C112" t="inlineStr">
        <is>
          <t>0                      HN 0028000F  57          2001</t>
        </is>
      </c>
      <c r="D112" t="inlineStr">
        <is>
          <t>Welfare theory : an introduction / Tony Fitzpatrick.</t>
        </is>
      </c>
      <c r="F112" t="inlineStr">
        <is>
          <t>No</t>
        </is>
      </c>
      <c r="G112" t="inlineStr">
        <is>
          <t>1</t>
        </is>
      </c>
      <c r="H112" t="inlineStr">
        <is>
          <t>No</t>
        </is>
      </c>
      <c r="I112" t="inlineStr">
        <is>
          <t>No</t>
        </is>
      </c>
      <c r="J112" t="inlineStr">
        <is>
          <t>0</t>
        </is>
      </c>
      <c r="K112" t="inlineStr">
        <is>
          <t>Fitzpatrick, Tony, 1966-</t>
        </is>
      </c>
      <c r="L112" t="inlineStr">
        <is>
          <t>Houndmills, Basingstoke, Hampshire ; New York : Palgrave, 2001.</t>
        </is>
      </c>
      <c r="M112" t="inlineStr">
        <is>
          <t>2001</t>
        </is>
      </c>
      <c r="O112" t="inlineStr">
        <is>
          <t>eng</t>
        </is>
      </c>
      <c r="P112" t="inlineStr">
        <is>
          <t>enk</t>
        </is>
      </c>
      <c r="R112" t="inlineStr">
        <is>
          <t xml:space="preserve">HN </t>
        </is>
      </c>
      <c r="S112" t="n">
        <v>7</v>
      </c>
      <c r="T112" t="n">
        <v>7</v>
      </c>
      <c r="U112" t="inlineStr">
        <is>
          <t>2008-10-08</t>
        </is>
      </c>
      <c r="V112" t="inlineStr">
        <is>
          <t>2008-10-08</t>
        </is>
      </c>
      <c r="W112" t="inlineStr">
        <is>
          <t>2002-11-06</t>
        </is>
      </c>
      <c r="X112" t="inlineStr">
        <is>
          <t>2002-11-06</t>
        </is>
      </c>
      <c r="Y112" t="n">
        <v>255</v>
      </c>
      <c r="Z112" t="n">
        <v>131</v>
      </c>
      <c r="AA112" t="n">
        <v>137</v>
      </c>
      <c r="AB112" t="n">
        <v>1</v>
      </c>
      <c r="AC112" t="n">
        <v>1</v>
      </c>
      <c r="AD112" t="n">
        <v>3</v>
      </c>
      <c r="AE112" t="n">
        <v>3</v>
      </c>
      <c r="AF112" t="n">
        <v>1</v>
      </c>
      <c r="AG112" t="n">
        <v>1</v>
      </c>
      <c r="AH112" t="n">
        <v>0</v>
      </c>
      <c r="AI112" t="n">
        <v>0</v>
      </c>
      <c r="AJ112" t="n">
        <v>2</v>
      </c>
      <c r="AK112" t="n">
        <v>2</v>
      </c>
      <c r="AL112" t="n">
        <v>0</v>
      </c>
      <c r="AM112" t="n">
        <v>0</v>
      </c>
      <c r="AN112" t="n">
        <v>0</v>
      </c>
      <c r="AO112" t="n">
        <v>0</v>
      </c>
      <c r="AP112" t="inlineStr">
        <is>
          <t>No</t>
        </is>
      </c>
      <c r="AQ112" t="inlineStr">
        <is>
          <t>No</t>
        </is>
      </c>
      <c r="AS112">
        <f>HYPERLINK("https://creighton-primo.hosted.exlibrisgroup.com/primo-explore/search?tab=default_tab&amp;search_scope=EVERYTHING&amp;vid=01CRU&amp;lang=en_US&amp;offset=0&amp;query=any,contains,991003915169702656","Catalog Record")</f>
        <v/>
      </c>
      <c r="AT112">
        <f>HYPERLINK("http://www.worldcat.org/oclc/46785325","WorldCat Record")</f>
        <v/>
      </c>
      <c r="AU112" t="inlineStr">
        <is>
          <t>36044653:eng</t>
        </is>
      </c>
      <c r="AV112" t="inlineStr">
        <is>
          <t>46785325</t>
        </is>
      </c>
      <c r="AW112" t="inlineStr">
        <is>
          <t>991003915169702656</t>
        </is>
      </c>
      <c r="AX112" t="inlineStr">
        <is>
          <t>991003915169702656</t>
        </is>
      </c>
      <c r="AY112" t="inlineStr">
        <is>
          <t>2263092390002656</t>
        </is>
      </c>
      <c r="AZ112" t="inlineStr">
        <is>
          <t>BOOK</t>
        </is>
      </c>
      <c r="BB112" t="inlineStr">
        <is>
          <t>9780333778425</t>
        </is>
      </c>
      <c r="BC112" t="inlineStr">
        <is>
          <t>32285004660956</t>
        </is>
      </c>
      <c r="BD112" t="inlineStr">
        <is>
          <t>893900563</t>
        </is>
      </c>
    </row>
    <row r="113">
      <c r="A113" t="inlineStr">
        <is>
          <t>No</t>
        </is>
      </c>
      <c r="B113" t="inlineStr">
        <is>
          <t>HN28 .G56 1992</t>
        </is>
      </c>
      <c r="C113" t="inlineStr">
        <is>
          <t>0                      HN 0028000G  56          1992</t>
        </is>
      </c>
      <c r="D113" t="inlineStr">
        <is>
          <t>Divisions of welfare : a critical introduction to comparative social policy / Norman Ginsburg.</t>
        </is>
      </c>
      <c r="F113" t="inlineStr">
        <is>
          <t>No</t>
        </is>
      </c>
      <c r="G113" t="inlineStr">
        <is>
          <t>1</t>
        </is>
      </c>
      <c r="H113" t="inlineStr">
        <is>
          <t>No</t>
        </is>
      </c>
      <c r="I113" t="inlineStr">
        <is>
          <t>No</t>
        </is>
      </c>
      <c r="J113" t="inlineStr">
        <is>
          <t>0</t>
        </is>
      </c>
      <c r="K113" t="inlineStr">
        <is>
          <t>Ginsburg, Norman.</t>
        </is>
      </c>
      <c r="L113" t="inlineStr">
        <is>
          <t>London ; Newbury Park, Calif. : Sage Publications, 1992.</t>
        </is>
      </c>
      <c r="M113" t="inlineStr">
        <is>
          <t>1992</t>
        </is>
      </c>
      <c r="O113" t="inlineStr">
        <is>
          <t>eng</t>
        </is>
      </c>
      <c r="P113" t="inlineStr">
        <is>
          <t>enk</t>
        </is>
      </c>
      <c r="R113" t="inlineStr">
        <is>
          <t xml:space="preserve">HN </t>
        </is>
      </c>
      <c r="S113" t="n">
        <v>9</v>
      </c>
      <c r="T113" t="n">
        <v>9</v>
      </c>
      <c r="U113" t="inlineStr">
        <is>
          <t>1995-10-20</t>
        </is>
      </c>
      <c r="V113" t="inlineStr">
        <is>
          <t>1995-10-20</t>
        </is>
      </c>
      <c r="W113" t="inlineStr">
        <is>
          <t>1992-09-28</t>
        </is>
      </c>
      <c r="X113" t="inlineStr">
        <is>
          <t>1992-09-28</t>
        </is>
      </c>
      <c r="Y113" t="n">
        <v>336</v>
      </c>
      <c r="Z113" t="n">
        <v>157</v>
      </c>
      <c r="AA113" t="n">
        <v>162</v>
      </c>
      <c r="AB113" t="n">
        <v>2</v>
      </c>
      <c r="AC113" t="n">
        <v>2</v>
      </c>
      <c r="AD113" t="n">
        <v>6</v>
      </c>
      <c r="AE113" t="n">
        <v>6</v>
      </c>
      <c r="AF113" t="n">
        <v>0</v>
      </c>
      <c r="AG113" t="n">
        <v>0</v>
      </c>
      <c r="AH113" t="n">
        <v>3</v>
      </c>
      <c r="AI113" t="n">
        <v>3</v>
      </c>
      <c r="AJ113" t="n">
        <v>3</v>
      </c>
      <c r="AK113" t="n">
        <v>3</v>
      </c>
      <c r="AL113" t="n">
        <v>1</v>
      </c>
      <c r="AM113" t="n">
        <v>1</v>
      </c>
      <c r="AN113" t="n">
        <v>0</v>
      </c>
      <c r="AO113" t="n">
        <v>0</v>
      </c>
      <c r="AP113" t="inlineStr">
        <is>
          <t>No</t>
        </is>
      </c>
      <c r="AQ113" t="inlineStr">
        <is>
          <t>No</t>
        </is>
      </c>
      <c r="AS113">
        <f>HYPERLINK("https://creighton-primo.hosted.exlibrisgroup.com/primo-explore/search?tab=default_tab&amp;search_scope=EVERYTHING&amp;vid=01CRU&amp;lang=en_US&amp;offset=0&amp;query=any,contains,991002028119702656","Catalog Record")</f>
        <v/>
      </c>
      <c r="AT113">
        <f>HYPERLINK("http://www.worldcat.org/oclc/25795822","WorldCat Record")</f>
        <v/>
      </c>
      <c r="AU113" t="inlineStr">
        <is>
          <t>836900471:eng</t>
        </is>
      </c>
      <c r="AV113" t="inlineStr">
        <is>
          <t>25795822</t>
        </is>
      </c>
      <c r="AW113" t="inlineStr">
        <is>
          <t>991002028119702656</t>
        </is>
      </c>
      <c r="AX113" t="inlineStr">
        <is>
          <t>991002028119702656</t>
        </is>
      </c>
      <c r="AY113" t="inlineStr">
        <is>
          <t>2272398360002656</t>
        </is>
      </c>
      <c r="AZ113" t="inlineStr">
        <is>
          <t>BOOK</t>
        </is>
      </c>
      <c r="BB113" t="inlineStr">
        <is>
          <t>9780803984400</t>
        </is>
      </c>
      <c r="BC113" t="inlineStr">
        <is>
          <t>32285001289304</t>
        </is>
      </c>
      <c r="BD113" t="inlineStr">
        <is>
          <t>893523101</t>
        </is>
      </c>
    </row>
    <row r="114">
      <c r="A114" t="inlineStr">
        <is>
          <t>No</t>
        </is>
      </c>
      <c r="B114" t="inlineStr">
        <is>
          <t>HN28 .H29 2004</t>
        </is>
      </c>
      <c r="C114" t="inlineStr">
        <is>
          <t>0                      HN 0028000H  29          2004</t>
        </is>
      </c>
      <c r="D114" t="inlineStr">
        <is>
          <t>Handbook of social problems : a comparative international perspective / edited by George Ritzer.</t>
        </is>
      </c>
      <c r="F114" t="inlineStr">
        <is>
          <t>No</t>
        </is>
      </c>
      <c r="G114" t="inlineStr">
        <is>
          <t>1</t>
        </is>
      </c>
      <c r="H114" t="inlineStr">
        <is>
          <t>No</t>
        </is>
      </c>
      <c r="I114" t="inlineStr">
        <is>
          <t>No</t>
        </is>
      </c>
      <c r="J114" t="inlineStr">
        <is>
          <t>0</t>
        </is>
      </c>
      <c r="L114" t="inlineStr">
        <is>
          <t>Thousand Oaks, Calif. : Sage Publications, c2004.</t>
        </is>
      </c>
      <c r="M114" t="inlineStr">
        <is>
          <t>2004</t>
        </is>
      </c>
      <c r="O114" t="inlineStr">
        <is>
          <t>eng</t>
        </is>
      </c>
      <c r="P114" t="inlineStr">
        <is>
          <t>cau</t>
        </is>
      </c>
      <c r="R114" t="inlineStr">
        <is>
          <t xml:space="preserve">HN </t>
        </is>
      </c>
      <c r="S114" t="n">
        <v>14</v>
      </c>
      <c r="T114" t="n">
        <v>14</v>
      </c>
      <c r="U114" t="inlineStr">
        <is>
          <t>2009-11-10</t>
        </is>
      </c>
      <c r="V114" t="inlineStr">
        <is>
          <t>2009-11-10</t>
        </is>
      </c>
      <c r="W114" t="inlineStr">
        <is>
          <t>2004-09-29</t>
        </is>
      </c>
      <c r="X114" t="inlineStr">
        <is>
          <t>2004-09-29</t>
        </is>
      </c>
      <c r="Y114" t="n">
        <v>306</v>
      </c>
      <c r="Z114" t="n">
        <v>191</v>
      </c>
      <c r="AA114" t="n">
        <v>281</v>
      </c>
      <c r="AB114" t="n">
        <v>2</v>
      </c>
      <c r="AC114" t="n">
        <v>2</v>
      </c>
      <c r="AD114" t="n">
        <v>11</v>
      </c>
      <c r="AE114" t="n">
        <v>15</v>
      </c>
      <c r="AF114" t="n">
        <v>5</v>
      </c>
      <c r="AG114" t="n">
        <v>8</v>
      </c>
      <c r="AH114" t="n">
        <v>3</v>
      </c>
      <c r="AI114" t="n">
        <v>4</v>
      </c>
      <c r="AJ114" t="n">
        <v>6</v>
      </c>
      <c r="AK114" t="n">
        <v>8</v>
      </c>
      <c r="AL114" t="n">
        <v>1</v>
      </c>
      <c r="AM114" t="n">
        <v>1</v>
      </c>
      <c r="AN114" t="n">
        <v>0</v>
      </c>
      <c r="AO114" t="n">
        <v>0</v>
      </c>
      <c r="AP114" t="inlineStr">
        <is>
          <t>No</t>
        </is>
      </c>
      <c r="AQ114" t="inlineStr">
        <is>
          <t>Yes</t>
        </is>
      </c>
      <c r="AR114">
        <f>HYPERLINK("http://catalog.hathitrust.org/Record/005018988","HathiTrust Record")</f>
        <v/>
      </c>
      <c r="AS114">
        <f>HYPERLINK("https://creighton-primo.hosted.exlibrisgroup.com/primo-explore/search?tab=default_tab&amp;search_scope=EVERYTHING&amp;vid=01CRU&amp;lang=en_US&amp;offset=0&amp;query=any,contains,991004364169702656","Catalog Record")</f>
        <v/>
      </c>
      <c r="AT114">
        <f>HYPERLINK("http://www.worldcat.org/oclc/52687953","WorldCat Record")</f>
        <v/>
      </c>
      <c r="AU114" t="inlineStr">
        <is>
          <t>840209400:eng</t>
        </is>
      </c>
      <c r="AV114" t="inlineStr">
        <is>
          <t>52687953</t>
        </is>
      </c>
      <c r="AW114" t="inlineStr">
        <is>
          <t>991004364169702656</t>
        </is>
      </c>
      <c r="AX114" t="inlineStr">
        <is>
          <t>991004364169702656</t>
        </is>
      </c>
      <c r="AY114" t="inlineStr">
        <is>
          <t>2261863830002656</t>
        </is>
      </c>
      <c r="AZ114" t="inlineStr">
        <is>
          <t>BOOK</t>
        </is>
      </c>
      <c r="BB114" t="inlineStr">
        <is>
          <t>9780761926108</t>
        </is>
      </c>
      <c r="BC114" t="inlineStr">
        <is>
          <t>32285004989702</t>
        </is>
      </c>
      <c r="BD114" t="inlineStr">
        <is>
          <t>893810483</t>
        </is>
      </c>
    </row>
    <row r="115">
      <c r="A115" t="inlineStr">
        <is>
          <t>No</t>
        </is>
      </c>
      <c r="B115" t="inlineStr">
        <is>
          <t>HN28 .I46 1989</t>
        </is>
      </c>
      <c r="C115" t="inlineStr">
        <is>
          <t>0                      HN 0028000I  46          1989</t>
        </is>
      </c>
      <c r="D115" t="inlineStr">
        <is>
          <t>Images of issues : typifying contemporary social problems / edited by Joel Best.</t>
        </is>
      </c>
      <c r="F115" t="inlineStr">
        <is>
          <t>No</t>
        </is>
      </c>
      <c r="G115" t="inlineStr">
        <is>
          <t>1</t>
        </is>
      </c>
      <c r="H115" t="inlineStr">
        <is>
          <t>No</t>
        </is>
      </c>
      <c r="I115" t="inlineStr">
        <is>
          <t>No</t>
        </is>
      </c>
      <c r="J115" t="inlineStr">
        <is>
          <t>0</t>
        </is>
      </c>
      <c r="L115" t="inlineStr">
        <is>
          <t>New York : Aldine de Gruyter, 1989.</t>
        </is>
      </c>
      <c r="M115" t="inlineStr">
        <is>
          <t>1989</t>
        </is>
      </c>
      <c r="O115" t="inlineStr">
        <is>
          <t>eng</t>
        </is>
      </c>
      <c r="P115" t="inlineStr">
        <is>
          <t>nyu</t>
        </is>
      </c>
      <c r="Q115" t="inlineStr">
        <is>
          <t>Social problems and social issues</t>
        </is>
      </c>
      <c r="R115" t="inlineStr">
        <is>
          <t xml:space="preserve">HN </t>
        </is>
      </c>
      <c r="S115" t="n">
        <v>12</v>
      </c>
      <c r="T115" t="n">
        <v>12</v>
      </c>
      <c r="U115" t="inlineStr">
        <is>
          <t>2004-04-14</t>
        </is>
      </c>
      <c r="V115" t="inlineStr">
        <is>
          <t>2004-04-14</t>
        </is>
      </c>
      <c r="W115" t="inlineStr">
        <is>
          <t>1990-02-26</t>
        </is>
      </c>
      <c r="X115" t="inlineStr">
        <is>
          <t>1990-02-26</t>
        </is>
      </c>
      <c r="Y115" t="n">
        <v>506</v>
      </c>
      <c r="Z115" t="n">
        <v>395</v>
      </c>
      <c r="AA115" t="n">
        <v>549</v>
      </c>
      <c r="AB115" t="n">
        <v>3</v>
      </c>
      <c r="AC115" t="n">
        <v>3</v>
      </c>
      <c r="AD115" t="n">
        <v>16</v>
      </c>
      <c r="AE115" t="n">
        <v>22</v>
      </c>
      <c r="AF115" t="n">
        <v>5</v>
      </c>
      <c r="AG115" t="n">
        <v>7</v>
      </c>
      <c r="AH115" t="n">
        <v>4</v>
      </c>
      <c r="AI115" t="n">
        <v>6</v>
      </c>
      <c r="AJ115" t="n">
        <v>9</v>
      </c>
      <c r="AK115" t="n">
        <v>12</v>
      </c>
      <c r="AL115" t="n">
        <v>2</v>
      </c>
      <c r="AM115" t="n">
        <v>2</v>
      </c>
      <c r="AN115" t="n">
        <v>0</v>
      </c>
      <c r="AO115" t="n">
        <v>0</v>
      </c>
      <c r="AP115" t="inlineStr">
        <is>
          <t>No</t>
        </is>
      </c>
      <c r="AQ115" t="inlineStr">
        <is>
          <t>No</t>
        </is>
      </c>
      <c r="AS115">
        <f>HYPERLINK("https://creighton-primo.hosted.exlibrisgroup.com/primo-explore/search?tab=default_tab&amp;search_scope=EVERYTHING&amp;vid=01CRU&amp;lang=en_US&amp;offset=0&amp;query=any,contains,991001496839702656","Catalog Record")</f>
        <v/>
      </c>
      <c r="AT115">
        <f>HYPERLINK("http://www.worldcat.org/oclc/19774854","WorldCat Record")</f>
        <v/>
      </c>
      <c r="AU115" t="inlineStr">
        <is>
          <t>889424395:eng</t>
        </is>
      </c>
      <c r="AV115" t="inlineStr">
        <is>
          <t>19774854</t>
        </is>
      </c>
      <c r="AW115" t="inlineStr">
        <is>
          <t>991001496839702656</t>
        </is>
      </c>
      <c r="AX115" t="inlineStr">
        <is>
          <t>991001496839702656</t>
        </is>
      </c>
      <c r="AY115" t="inlineStr">
        <is>
          <t>2271465860002656</t>
        </is>
      </c>
      <c r="AZ115" t="inlineStr">
        <is>
          <t>BOOK</t>
        </is>
      </c>
      <c r="BB115" t="inlineStr">
        <is>
          <t>9780202303536</t>
        </is>
      </c>
      <c r="BC115" t="inlineStr">
        <is>
          <t>32285000041300</t>
        </is>
      </c>
      <c r="BD115" t="inlineStr">
        <is>
          <t>893340478</t>
        </is>
      </c>
    </row>
    <row r="116">
      <c r="A116" t="inlineStr">
        <is>
          <t>No</t>
        </is>
      </c>
      <c r="B116" t="inlineStr">
        <is>
          <t>HN28 .M33 2010</t>
        </is>
      </c>
      <c r="C116" t="inlineStr">
        <is>
          <t>0                      HN 0028000M  33          2010</t>
        </is>
      </c>
      <c r="D116" t="inlineStr">
        <is>
          <t>Readings on social movements : origins, dynamics and outcomes / [edited by] Doug McAdam, David A. Snow.</t>
        </is>
      </c>
      <c r="F116" t="inlineStr">
        <is>
          <t>No</t>
        </is>
      </c>
      <c r="G116" t="inlineStr">
        <is>
          <t>1</t>
        </is>
      </c>
      <c r="H116" t="inlineStr">
        <is>
          <t>No</t>
        </is>
      </c>
      <c r="I116" t="inlineStr">
        <is>
          <t>No</t>
        </is>
      </c>
      <c r="J116" t="inlineStr">
        <is>
          <t>0</t>
        </is>
      </c>
      <c r="L116" t="inlineStr">
        <is>
          <t>New York : Oxford University Press, 2010.</t>
        </is>
      </c>
      <c r="M116" t="inlineStr">
        <is>
          <t>2010</t>
        </is>
      </c>
      <c r="N116" t="inlineStr">
        <is>
          <t>2nd ed.</t>
        </is>
      </c>
      <c r="O116" t="inlineStr">
        <is>
          <t>eng</t>
        </is>
      </c>
      <c r="P116" t="inlineStr">
        <is>
          <t>nyu</t>
        </is>
      </c>
      <c r="R116" t="inlineStr">
        <is>
          <t xml:space="preserve">HN </t>
        </is>
      </c>
      <c r="S116" t="n">
        <v>3</v>
      </c>
      <c r="T116" t="n">
        <v>3</v>
      </c>
      <c r="U116" t="inlineStr">
        <is>
          <t>2010-10-18</t>
        </is>
      </c>
      <c r="V116" t="inlineStr">
        <is>
          <t>2010-10-18</t>
        </is>
      </c>
      <c r="W116" t="inlineStr">
        <is>
          <t>2010-04-12</t>
        </is>
      </c>
      <c r="X116" t="inlineStr">
        <is>
          <t>2010-04-12</t>
        </is>
      </c>
      <c r="Y116" t="n">
        <v>130</v>
      </c>
      <c r="Z116" t="n">
        <v>93</v>
      </c>
      <c r="AA116" t="n">
        <v>93</v>
      </c>
      <c r="AB116" t="n">
        <v>1</v>
      </c>
      <c r="AC116" t="n">
        <v>1</v>
      </c>
      <c r="AD116" t="n">
        <v>4</v>
      </c>
      <c r="AE116" t="n">
        <v>4</v>
      </c>
      <c r="AF116" t="n">
        <v>1</v>
      </c>
      <c r="AG116" t="n">
        <v>1</v>
      </c>
      <c r="AH116" t="n">
        <v>2</v>
      </c>
      <c r="AI116" t="n">
        <v>2</v>
      </c>
      <c r="AJ116" t="n">
        <v>2</v>
      </c>
      <c r="AK116" t="n">
        <v>2</v>
      </c>
      <c r="AL116" t="n">
        <v>0</v>
      </c>
      <c r="AM116" t="n">
        <v>0</v>
      </c>
      <c r="AN116" t="n">
        <v>1</v>
      </c>
      <c r="AO116" t="n">
        <v>1</v>
      </c>
      <c r="AP116" t="inlineStr">
        <is>
          <t>No</t>
        </is>
      </c>
      <c r="AQ116" t="inlineStr">
        <is>
          <t>No</t>
        </is>
      </c>
      <c r="AS116">
        <f>HYPERLINK("https://creighton-primo.hosted.exlibrisgroup.com/primo-explore/search?tab=default_tab&amp;search_scope=EVERYTHING&amp;vid=01CRU&amp;lang=en_US&amp;offset=0&amp;query=any,contains,991005381899702656","Catalog Record")</f>
        <v/>
      </c>
      <c r="AT116">
        <f>HYPERLINK("http://www.worldcat.org/oclc/320895052","WorldCat Record")</f>
        <v/>
      </c>
      <c r="AU116" t="inlineStr">
        <is>
          <t>364112657:eng</t>
        </is>
      </c>
      <c r="AV116" t="inlineStr">
        <is>
          <t>320895052</t>
        </is>
      </c>
      <c r="AW116" t="inlineStr">
        <is>
          <t>991005381899702656</t>
        </is>
      </c>
      <c r="AX116" t="inlineStr">
        <is>
          <t>991005381899702656</t>
        </is>
      </c>
      <c r="AY116" t="inlineStr">
        <is>
          <t>2262267470002656</t>
        </is>
      </c>
      <c r="AZ116" t="inlineStr">
        <is>
          <t>BOOK</t>
        </is>
      </c>
      <c r="BB116" t="inlineStr">
        <is>
          <t>9780195384550</t>
        </is>
      </c>
      <c r="BC116" t="inlineStr">
        <is>
          <t>32285005562706</t>
        </is>
      </c>
      <c r="BD116" t="inlineStr">
        <is>
          <t>893418869</t>
        </is>
      </c>
    </row>
    <row r="117">
      <c r="A117" t="inlineStr">
        <is>
          <t>No</t>
        </is>
      </c>
      <c r="B117" t="inlineStr">
        <is>
          <t>HN28 .M55 1993</t>
        </is>
      </c>
      <c r="C117" t="inlineStr">
        <is>
          <t>0                      HN 0028000M  55          1993</t>
        </is>
      </c>
      <c r="D117" t="inlineStr">
        <is>
          <t>Constructionist controversies : issues in social problems theory / Gale Miller and James A. Holstein, editors.</t>
        </is>
      </c>
      <c r="F117" t="inlineStr">
        <is>
          <t>No</t>
        </is>
      </c>
      <c r="G117" t="inlineStr">
        <is>
          <t>1</t>
        </is>
      </c>
      <c r="H117" t="inlineStr">
        <is>
          <t>No</t>
        </is>
      </c>
      <c r="I117" t="inlineStr">
        <is>
          <t>No</t>
        </is>
      </c>
      <c r="J117" t="inlineStr">
        <is>
          <t>0</t>
        </is>
      </c>
      <c r="L117" t="inlineStr">
        <is>
          <t>New York : Aldine de Gruyter, c1993.</t>
        </is>
      </c>
      <c r="M117" t="inlineStr">
        <is>
          <t>1993</t>
        </is>
      </c>
      <c r="O117" t="inlineStr">
        <is>
          <t>eng</t>
        </is>
      </c>
      <c r="P117" t="inlineStr">
        <is>
          <t>nyu</t>
        </is>
      </c>
      <c r="Q117" t="inlineStr">
        <is>
          <t>Social problems and social issues</t>
        </is>
      </c>
      <c r="R117" t="inlineStr">
        <is>
          <t xml:space="preserve">HN </t>
        </is>
      </c>
      <c r="S117" t="n">
        <v>2</v>
      </c>
      <c r="T117" t="n">
        <v>2</v>
      </c>
      <c r="U117" t="inlineStr">
        <is>
          <t>1997-03-03</t>
        </is>
      </c>
      <c r="V117" t="inlineStr">
        <is>
          <t>1997-03-03</t>
        </is>
      </c>
      <c r="W117" t="inlineStr">
        <is>
          <t>1996-02-05</t>
        </is>
      </c>
      <c r="X117" t="inlineStr">
        <is>
          <t>1996-02-05</t>
        </is>
      </c>
      <c r="Y117" t="n">
        <v>293</v>
      </c>
      <c r="Z117" t="n">
        <v>219</v>
      </c>
      <c r="AA117" t="n">
        <v>242</v>
      </c>
      <c r="AB117" t="n">
        <v>3</v>
      </c>
      <c r="AC117" t="n">
        <v>3</v>
      </c>
      <c r="AD117" t="n">
        <v>19</v>
      </c>
      <c r="AE117" t="n">
        <v>19</v>
      </c>
      <c r="AF117" t="n">
        <v>8</v>
      </c>
      <c r="AG117" t="n">
        <v>8</v>
      </c>
      <c r="AH117" t="n">
        <v>5</v>
      </c>
      <c r="AI117" t="n">
        <v>5</v>
      </c>
      <c r="AJ117" t="n">
        <v>10</v>
      </c>
      <c r="AK117" t="n">
        <v>10</v>
      </c>
      <c r="AL117" t="n">
        <v>2</v>
      </c>
      <c r="AM117" t="n">
        <v>2</v>
      </c>
      <c r="AN117" t="n">
        <v>0</v>
      </c>
      <c r="AO117" t="n">
        <v>0</v>
      </c>
      <c r="AP117" t="inlineStr">
        <is>
          <t>No</t>
        </is>
      </c>
      <c r="AQ117" t="inlineStr">
        <is>
          <t>No</t>
        </is>
      </c>
      <c r="AS117">
        <f>HYPERLINK("https://creighton-primo.hosted.exlibrisgroup.com/primo-explore/search?tab=default_tab&amp;search_scope=EVERYTHING&amp;vid=01CRU&amp;lang=en_US&amp;offset=0&amp;query=any,contains,991002094439702656","Catalog Record")</f>
        <v/>
      </c>
      <c r="AT117">
        <f>HYPERLINK("http://www.worldcat.org/oclc/26855353","WorldCat Record")</f>
        <v/>
      </c>
      <c r="AU117" t="inlineStr">
        <is>
          <t>891216256:eng</t>
        </is>
      </c>
      <c r="AV117" t="inlineStr">
        <is>
          <t>26855353</t>
        </is>
      </c>
      <c r="AW117" t="inlineStr">
        <is>
          <t>991002094439702656</t>
        </is>
      </c>
      <c r="AX117" t="inlineStr">
        <is>
          <t>991002094439702656</t>
        </is>
      </c>
      <c r="AY117" t="inlineStr">
        <is>
          <t>2267651680002656</t>
        </is>
      </c>
      <c r="AZ117" t="inlineStr">
        <is>
          <t>BOOK</t>
        </is>
      </c>
      <c r="BB117" t="inlineStr">
        <is>
          <t>9780202304571</t>
        </is>
      </c>
      <c r="BC117" t="inlineStr">
        <is>
          <t>32285002128022</t>
        </is>
      </c>
      <c r="BD117" t="inlineStr">
        <is>
          <t>893785709</t>
        </is>
      </c>
    </row>
    <row r="118">
      <c r="A118" t="inlineStr">
        <is>
          <t>No</t>
        </is>
      </c>
      <c r="B118" t="inlineStr">
        <is>
          <t>HN28 .M69 1996</t>
        </is>
      </c>
      <c r="C118" t="inlineStr">
        <is>
          <t>0                      HN 0028000M  69          1996</t>
        </is>
      </c>
      <c r="D118" t="inlineStr">
        <is>
          <t>Miles to go : a personal history of social policy / Daniel Patrick Moynihan.</t>
        </is>
      </c>
      <c r="F118" t="inlineStr">
        <is>
          <t>No</t>
        </is>
      </c>
      <c r="G118" t="inlineStr">
        <is>
          <t>1</t>
        </is>
      </c>
      <c r="H118" t="inlineStr">
        <is>
          <t>No</t>
        </is>
      </c>
      <c r="I118" t="inlineStr">
        <is>
          <t>No</t>
        </is>
      </c>
      <c r="J118" t="inlineStr">
        <is>
          <t>0</t>
        </is>
      </c>
      <c r="K118" t="inlineStr">
        <is>
          <t>Moynihan, Daniel P. (Daniel Patrick), 1927-2003.</t>
        </is>
      </c>
      <c r="L118" t="inlineStr">
        <is>
          <t>Cambridge, Mass. : Harvard University Press, 1996.</t>
        </is>
      </c>
      <c r="M118" t="inlineStr">
        <is>
          <t>1996</t>
        </is>
      </c>
      <c r="O118" t="inlineStr">
        <is>
          <t>eng</t>
        </is>
      </c>
      <c r="P118" t="inlineStr">
        <is>
          <t>mau</t>
        </is>
      </c>
      <c r="R118" t="inlineStr">
        <is>
          <t xml:space="preserve">HN </t>
        </is>
      </c>
      <c r="S118" t="n">
        <v>1</v>
      </c>
      <c r="T118" t="n">
        <v>1</v>
      </c>
      <c r="U118" t="inlineStr">
        <is>
          <t>2010-06-30</t>
        </is>
      </c>
      <c r="V118" t="inlineStr">
        <is>
          <t>2010-06-30</t>
        </is>
      </c>
      <c r="W118" t="inlineStr">
        <is>
          <t>1997-08-22</t>
        </is>
      </c>
      <c r="X118" t="inlineStr">
        <is>
          <t>1997-08-22</t>
        </is>
      </c>
      <c r="Y118" t="n">
        <v>988</v>
      </c>
      <c r="Z118" t="n">
        <v>906</v>
      </c>
      <c r="AA118" t="n">
        <v>937</v>
      </c>
      <c r="AB118" t="n">
        <v>4</v>
      </c>
      <c r="AC118" t="n">
        <v>4</v>
      </c>
      <c r="AD118" t="n">
        <v>38</v>
      </c>
      <c r="AE118" t="n">
        <v>39</v>
      </c>
      <c r="AF118" t="n">
        <v>14</v>
      </c>
      <c r="AG118" t="n">
        <v>15</v>
      </c>
      <c r="AH118" t="n">
        <v>10</v>
      </c>
      <c r="AI118" t="n">
        <v>10</v>
      </c>
      <c r="AJ118" t="n">
        <v>18</v>
      </c>
      <c r="AK118" t="n">
        <v>18</v>
      </c>
      <c r="AL118" t="n">
        <v>2</v>
      </c>
      <c r="AM118" t="n">
        <v>2</v>
      </c>
      <c r="AN118" t="n">
        <v>6</v>
      </c>
      <c r="AO118" t="n">
        <v>6</v>
      </c>
      <c r="AP118" t="inlineStr">
        <is>
          <t>No</t>
        </is>
      </c>
      <c r="AQ118" t="inlineStr">
        <is>
          <t>Yes</t>
        </is>
      </c>
      <c r="AR118">
        <f>HYPERLINK("http://catalog.hathitrust.org/Record/003099737","HathiTrust Record")</f>
        <v/>
      </c>
      <c r="AS118">
        <f>HYPERLINK("https://creighton-primo.hosted.exlibrisgroup.com/primo-explore/search?tab=default_tab&amp;search_scope=EVERYTHING&amp;vid=01CRU&amp;lang=en_US&amp;offset=0&amp;query=any,contains,991002643029702656","Catalog Record")</f>
        <v/>
      </c>
      <c r="AT118">
        <f>HYPERLINK("http://www.worldcat.org/oclc/34597945","WorldCat Record")</f>
        <v/>
      </c>
      <c r="AU118" t="inlineStr">
        <is>
          <t>284762368:eng</t>
        </is>
      </c>
      <c r="AV118" t="inlineStr">
        <is>
          <t>34597945</t>
        </is>
      </c>
      <c r="AW118" t="inlineStr">
        <is>
          <t>991002643029702656</t>
        </is>
      </c>
      <c r="AX118" t="inlineStr">
        <is>
          <t>991002643029702656</t>
        </is>
      </c>
      <c r="AY118" t="inlineStr">
        <is>
          <t>2268464890002656</t>
        </is>
      </c>
      <c r="AZ118" t="inlineStr">
        <is>
          <t>BOOK</t>
        </is>
      </c>
      <c r="BB118" t="inlineStr">
        <is>
          <t>9780674574403</t>
        </is>
      </c>
      <c r="BC118" t="inlineStr">
        <is>
          <t>32285003001582</t>
        </is>
      </c>
      <c r="BD118" t="inlineStr">
        <is>
          <t>893704313</t>
        </is>
      </c>
    </row>
    <row r="119">
      <c r="A119" t="inlineStr">
        <is>
          <t>No</t>
        </is>
      </c>
      <c r="B119" t="inlineStr">
        <is>
          <t>HN28 .S625 1994</t>
        </is>
      </c>
      <c r="C119" t="inlineStr">
        <is>
          <t>0                      HN 0028000S  625         1994</t>
        </is>
      </c>
      <c r="D119" t="inlineStr">
        <is>
          <t>Social theory and the politics of identity / edited by Craig Calhoun.</t>
        </is>
      </c>
      <c r="F119" t="inlineStr">
        <is>
          <t>No</t>
        </is>
      </c>
      <c r="G119" t="inlineStr">
        <is>
          <t>1</t>
        </is>
      </c>
      <c r="H119" t="inlineStr">
        <is>
          <t>No</t>
        </is>
      </c>
      <c r="I119" t="inlineStr">
        <is>
          <t>No</t>
        </is>
      </c>
      <c r="J119" t="inlineStr">
        <is>
          <t>0</t>
        </is>
      </c>
      <c r="L119" t="inlineStr">
        <is>
          <t>Oxford, UK ; Cambridge, MA. : Blackwell, 1994.</t>
        </is>
      </c>
      <c r="M119" t="inlineStr">
        <is>
          <t>1994</t>
        </is>
      </c>
      <c r="O119" t="inlineStr">
        <is>
          <t>eng</t>
        </is>
      </c>
      <c r="P119" t="inlineStr">
        <is>
          <t>enk</t>
        </is>
      </c>
      <c r="R119" t="inlineStr">
        <is>
          <t xml:space="preserve">HN </t>
        </is>
      </c>
      <c r="S119" t="n">
        <v>4</v>
      </c>
      <c r="T119" t="n">
        <v>4</v>
      </c>
      <c r="U119" t="inlineStr">
        <is>
          <t>2002-02-15</t>
        </is>
      </c>
      <c r="V119" t="inlineStr">
        <is>
          <t>2002-02-15</t>
        </is>
      </c>
      <c r="W119" t="inlineStr">
        <is>
          <t>1995-04-17</t>
        </is>
      </c>
      <c r="X119" t="inlineStr">
        <is>
          <t>1995-04-17</t>
        </is>
      </c>
      <c r="Y119" t="n">
        <v>419</v>
      </c>
      <c r="Z119" t="n">
        <v>238</v>
      </c>
      <c r="AA119" t="n">
        <v>239</v>
      </c>
      <c r="AB119" t="n">
        <v>2</v>
      </c>
      <c r="AC119" t="n">
        <v>2</v>
      </c>
      <c r="AD119" t="n">
        <v>17</v>
      </c>
      <c r="AE119" t="n">
        <v>17</v>
      </c>
      <c r="AF119" t="n">
        <v>5</v>
      </c>
      <c r="AG119" t="n">
        <v>5</v>
      </c>
      <c r="AH119" t="n">
        <v>7</v>
      </c>
      <c r="AI119" t="n">
        <v>7</v>
      </c>
      <c r="AJ119" t="n">
        <v>9</v>
      </c>
      <c r="AK119" t="n">
        <v>9</v>
      </c>
      <c r="AL119" t="n">
        <v>1</v>
      </c>
      <c r="AM119" t="n">
        <v>1</v>
      </c>
      <c r="AN119" t="n">
        <v>0</v>
      </c>
      <c r="AO119" t="n">
        <v>0</v>
      </c>
      <c r="AP119" t="inlineStr">
        <is>
          <t>No</t>
        </is>
      </c>
      <c r="AQ119" t="inlineStr">
        <is>
          <t>No</t>
        </is>
      </c>
      <c r="AS119">
        <f>HYPERLINK("https://creighton-primo.hosted.exlibrisgroup.com/primo-explore/search?tab=default_tab&amp;search_scope=EVERYTHING&amp;vid=01CRU&amp;lang=en_US&amp;offset=0&amp;query=any,contains,991002377879702656","Catalog Record")</f>
        <v/>
      </c>
      <c r="AT119">
        <f>HYPERLINK("http://www.worldcat.org/oclc/30906597","WorldCat Record")</f>
        <v/>
      </c>
      <c r="AU119" t="inlineStr">
        <is>
          <t>998526:eng</t>
        </is>
      </c>
      <c r="AV119" t="inlineStr">
        <is>
          <t>30906597</t>
        </is>
      </c>
      <c r="AW119" t="inlineStr">
        <is>
          <t>991002377879702656</t>
        </is>
      </c>
      <c r="AX119" t="inlineStr">
        <is>
          <t>991002377879702656</t>
        </is>
      </c>
      <c r="AY119" t="inlineStr">
        <is>
          <t>2271631890002656</t>
        </is>
      </c>
      <c r="AZ119" t="inlineStr">
        <is>
          <t>BOOK</t>
        </is>
      </c>
      <c r="BB119" t="inlineStr">
        <is>
          <t>9781557864727</t>
        </is>
      </c>
      <c r="BC119" t="inlineStr">
        <is>
          <t>32285002018702</t>
        </is>
      </c>
      <c r="BD119" t="inlineStr">
        <is>
          <t>893335232</t>
        </is>
      </c>
    </row>
    <row r="120">
      <c r="A120" t="inlineStr">
        <is>
          <t>No</t>
        </is>
      </c>
      <c r="B120" t="inlineStr">
        <is>
          <t>HN283.5 .S62</t>
        </is>
      </c>
      <c r="C120" t="inlineStr">
        <is>
          <t>0                      HN 0283500S  62</t>
        </is>
      </c>
      <c r="D120" t="inlineStr">
        <is>
          <t>Brazilian society / T. Lynn Smith.</t>
        </is>
      </c>
      <c r="F120" t="inlineStr">
        <is>
          <t>No</t>
        </is>
      </c>
      <c r="G120" t="inlineStr">
        <is>
          <t>1</t>
        </is>
      </c>
      <c r="H120" t="inlineStr">
        <is>
          <t>No</t>
        </is>
      </c>
      <c r="I120" t="inlineStr">
        <is>
          <t>No</t>
        </is>
      </c>
      <c r="J120" t="inlineStr">
        <is>
          <t>0</t>
        </is>
      </c>
      <c r="K120" t="inlineStr">
        <is>
          <t>Smith, T. Lynn (Thomas Lynn), 1903-1976.</t>
        </is>
      </c>
      <c r="L120" t="inlineStr">
        <is>
          <t>Albuquerque : University of New Mexico Press, [1974?]</t>
        </is>
      </c>
      <c r="M120" t="inlineStr">
        <is>
          <t>1974</t>
        </is>
      </c>
      <c r="N120" t="inlineStr">
        <is>
          <t>1st ed.</t>
        </is>
      </c>
      <c r="O120" t="inlineStr">
        <is>
          <t>eng</t>
        </is>
      </c>
      <c r="P120" t="inlineStr">
        <is>
          <t>nmu</t>
        </is>
      </c>
      <c r="R120" t="inlineStr">
        <is>
          <t xml:space="preserve">HN </t>
        </is>
      </c>
      <c r="S120" t="n">
        <v>14</v>
      </c>
      <c r="T120" t="n">
        <v>14</v>
      </c>
      <c r="U120" t="inlineStr">
        <is>
          <t>2010-04-19</t>
        </is>
      </c>
      <c r="V120" t="inlineStr">
        <is>
          <t>2010-04-19</t>
        </is>
      </c>
      <c r="W120" t="inlineStr">
        <is>
          <t>1990-07-23</t>
        </is>
      </c>
      <c r="X120" t="inlineStr">
        <is>
          <t>1990-07-23</t>
        </is>
      </c>
      <c r="Y120" t="n">
        <v>574</v>
      </c>
      <c r="Z120" t="n">
        <v>497</v>
      </c>
      <c r="AA120" t="n">
        <v>501</v>
      </c>
      <c r="AB120" t="n">
        <v>5</v>
      </c>
      <c r="AC120" t="n">
        <v>5</v>
      </c>
      <c r="AD120" t="n">
        <v>28</v>
      </c>
      <c r="AE120" t="n">
        <v>28</v>
      </c>
      <c r="AF120" t="n">
        <v>10</v>
      </c>
      <c r="AG120" t="n">
        <v>10</v>
      </c>
      <c r="AH120" t="n">
        <v>7</v>
      </c>
      <c r="AI120" t="n">
        <v>7</v>
      </c>
      <c r="AJ120" t="n">
        <v>14</v>
      </c>
      <c r="AK120" t="n">
        <v>14</v>
      </c>
      <c r="AL120" t="n">
        <v>4</v>
      </c>
      <c r="AM120" t="n">
        <v>4</v>
      </c>
      <c r="AN120" t="n">
        <v>0</v>
      </c>
      <c r="AO120" t="n">
        <v>0</v>
      </c>
      <c r="AP120" t="inlineStr">
        <is>
          <t>No</t>
        </is>
      </c>
      <c r="AQ120" t="inlineStr">
        <is>
          <t>No</t>
        </is>
      </c>
      <c r="AS120">
        <f>HYPERLINK("https://creighton-primo.hosted.exlibrisgroup.com/primo-explore/search?tab=default_tab&amp;search_scope=EVERYTHING&amp;vid=01CRU&amp;lang=en_US&amp;offset=0&amp;query=any,contains,991003717609702656","Catalog Record")</f>
        <v/>
      </c>
      <c r="AT120">
        <f>HYPERLINK("http://www.worldcat.org/oclc/1363572","WorldCat Record")</f>
        <v/>
      </c>
      <c r="AU120" t="inlineStr">
        <is>
          <t>347204236:eng</t>
        </is>
      </c>
      <c r="AV120" t="inlineStr">
        <is>
          <t>1363572</t>
        </is>
      </c>
      <c r="AW120" t="inlineStr">
        <is>
          <t>991003717609702656</t>
        </is>
      </c>
      <c r="AX120" t="inlineStr">
        <is>
          <t>991003717609702656</t>
        </is>
      </c>
      <c r="AY120" t="inlineStr">
        <is>
          <t>2259270050002656</t>
        </is>
      </c>
      <c r="AZ120" t="inlineStr">
        <is>
          <t>BOOK</t>
        </is>
      </c>
      <c r="BB120" t="inlineStr">
        <is>
          <t>9780826303653</t>
        </is>
      </c>
      <c r="BC120" t="inlineStr">
        <is>
          <t>32285000247352</t>
        </is>
      </c>
      <c r="BD120" t="inlineStr">
        <is>
          <t>893611357</t>
        </is>
      </c>
    </row>
    <row r="121">
      <c r="A121" t="inlineStr">
        <is>
          <t>No</t>
        </is>
      </c>
      <c r="B121" t="inlineStr">
        <is>
          <t>HN29 .A46 1995</t>
        </is>
      </c>
      <c r="C121" t="inlineStr">
        <is>
          <t>0                      HN 0029000A  46          1995</t>
        </is>
      </c>
      <c r="D121" t="inlineStr">
        <is>
          <t>The survey research handbook : guidelines and strategies for conducting a survey / Pamela L. Alreck, Robert B. Settle.</t>
        </is>
      </c>
      <c r="F121" t="inlineStr">
        <is>
          <t>No</t>
        </is>
      </c>
      <c r="G121" t="inlineStr">
        <is>
          <t>1</t>
        </is>
      </c>
      <c r="H121" t="inlineStr">
        <is>
          <t>No</t>
        </is>
      </c>
      <c r="I121" t="inlineStr">
        <is>
          <t>No</t>
        </is>
      </c>
      <c r="J121" t="inlineStr">
        <is>
          <t>0</t>
        </is>
      </c>
      <c r="K121" t="inlineStr">
        <is>
          <t>Alreck, Pamela L.</t>
        </is>
      </c>
      <c r="L121" t="inlineStr">
        <is>
          <t>Chicago : Irwin, c1995.</t>
        </is>
      </c>
      <c r="M121" t="inlineStr">
        <is>
          <t>1995</t>
        </is>
      </c>
      <c r="N121" t="inlineStr">
        <is>
          <t>2nd ed.</t>
        </is>
      </c>
      <c r="O121" t="inlineStr">
        <is>
          <t>eng</t>
        </is>
      </c>
      <c r="P121" t="inlineStr">
        <is>
          <t>ilu</t>
        </is>
      </c>
      <c r="Q121" t="inlineStr">
        <is>
          <t>The Irwin series in marketing</t>
        </is>
      </c>
      <c r="R121" t="inlineStr">
        <is>
          <t xml:space="preserve">HN </t>
        </is>
      </c>
      <c r="S121" t="n">
        <v>8</v>
      </c>
      <c r="T121" t="n">
        <v>8</v>
      </c>
      <c r="U121" t="inlineStr">
        <is>
          <t>2007-04-12</t>
        </is>
      </c>
      <c r="V121" t="inlineStr">
        <is>
          <t>2007-04-12</t>
        </is>
      </c>
      <c r="W121" t="inlineStr">
        <is>
          <t>1996-07-01</t>
        </is>
      </c>
      <c r="X121" t="inlineStr">
        <is>
          <t>1996-07-01</t>
        </is>
      </c>
      <c r="Y121" t="n">
        <v>589</v>
      </c>
      <c r="Z121" t="n">
        <v>462</v>
      </c>
      <c r="AA121" t="n">
        <v>964</v>
      </c>
      <c r="AB121" t="n">
        <v>5</v>
      </c>
      <c r="AC121" t="n">
        <v>12</v>
      </c>
      <c r="AD121" t="n">
        <v>22</v>
      </c>
      <c r="AE121" t="n">
        <v>44</v>
      </c>
      <c r="AF121" t="n">
        <v>8</v>
      </c>
      <c r="AG121" t="n">
        <v>15</v>
      </c>
      <c r="AH121" t="n">
        <v>4</v>
      </c>
      <c r="AI121" t="n">
        <v>8</v>
      </c>
      <c r="AJ121" t="n">
        <v>12</v>
      </c>
      <c r="AK121" t="n">
        <v>20</v>
      </c>
      <c r="AL121" t="n">
        <v>4</v>
      </c>
      <c r="AM121" t="n">
        <v>10</v>
      </c>
      <c r="AN121" t="n">
        <v>0</v>
      </c>
      <c r="AO121" t="n">
        <v>0</v>
      </c>
      <c r="AP121" t="inlineStr">
        <is>
          <t>No</t>
        </is>
      </c>
      <c r="AQ121" t="inlineStr">
        <is>
          <t>Yes</t>
        </is>
      </c>
      <c r="AR121">
        <f>HYPERLINK("http://catalog.hathitrust.org/Record/002903764","HathiTrust Record")</f>
        <v/>
      </c>
      <c r="AS121">
        <f>HYPERLINK("https://creighton-primo.hosted.exlibrisgroup.com/primo-explore/search?tab=default_tab&amp;search_scope=EVERYTHING&amp;vid=01CRU&amp;lang=en_US&amp;offset=0&amp;query=any,contains,991005418609702656","Catalog Record")</f>
        <v/>
      </c>
      <c r="AT121">
        <f>HYPERLINK("http://www.worldcat.org/oclc/29954748","WorldCat Record")</f>
        <v/>
      </c>
      <c r="AU121" t="inlineStr">
        <is>
          <t>654640:eng</t>
        </is>
      </c>
      <c r="AV121" t="inlineStr">
        <is>
          <t>29954748</t>
        </is>
      </c>
      <c r="AW121" t="inlineStr">
        <is>
          <t>991005418609702656</t>
        </is>
      </c>
      <c r="AX121" t="inlineStr">
        <is>
          <t>991005418609702656</t>
        </is>
      </c>
      <c r="AY121" t="inlineStr">
        <is>
          <t>2262043320002656</t>
        </is>
      </c>
      <c r="AZ121" t="inlineStr">
        <is>
          <t>BOOK</t>
        </is>
      </c>
      <c r="BB121" t="inlineStr">
        <is>
          <t>9780256103212</t>
        </is>
      </c>
      <c r="BC121" t="inlineStr">
        <is>
          <t>32285002174810</t>
        </is>
      </c>
      <c r="BD121" t="inlineStr">
        <is>
          <t>893714078</t>
        </is>
      </c>
    </row>
    <row r="122">
      <c r="A122" t="inlineStr">
        <is>
          <t>No</t>
        </is>
      </c>
      <c r="B122" t="inlineStr">
        <is>
          <t>HN29 .B38 1980</t>
        </is>
      </c>
      <c r="C122" t="inlineStr">
        <is>
          <t>0                      HN 0029000B  38          1980</t>
        </is>
      </c>
      <c r="D122" t="inlineStr">
        <is>
          <t>Who should know what? : social science, privacy, and ethics / J. A. Barnes.</t>
        </is>
      </c>
      <c r="F122" t="inlineStr">
        <is>
          <t>No</t>
        </is>
      </c>
      <c r="G122" t="inlineStr">
        <is>
          <t>1</t>
        </is>
      </c>
      <c r="H122" t="inlineStr">
        <is>
          <t>No</t>
        </is>
      </c>
      <c r="I122" t="inlineStr">
        <is>
          <t>No</t>
        </is>
      </c>
      <c r="J122" t="inlineStr">
        <is>
          <t>0</t>
        </is>
      </c>
      <c r="K122" t="inlineStr">
        <is>
          <t>Barnes, J. A. (John Arundel), 1918-2010.</t>
        </is>
      </c>
      <c r="L122" t="inlineStr">
        <is>
          <t>Cambridge, [Eng.] ; New York : Cambridge University Press, 1980.</t>
        </is>
      </c>
      <c r="M122" t="inlineStr">
        <is>
          <t>1980</t>
        </is>
      </c>
      <c r="O122" t="inlineStr">
        <is>
          <t>eng</t>
        </is>
      </c>
      <c r="P122" t="inlineStr">
        <is>
          <t>enk</t>
        </is>
      </c>
      <c r="R122" t="inlineStr">
        <is>
          <t xml:space="preserve">HN </t>
        </is>
      </c>
      <c r="S122" t="n">
        <v>4</v>
      </c>
      <c r="T122" t="n">
        <v>4</v>
      </c>
      <c r="U122" t="inlineStr">
        <is>
          <t>1994-02-18</t>
        </is>
      </c>
      <c r="V122" t="inlineStr">
        <is>
          <t>1994-02-18</t>
        </is>
      </c>
      <c r="W122" t="inlineStr">
        <is>
          <t>1992-09-24</t>
        </is>
      </c>
      <c r="X122" t="inlineStr">
        <is>
          <t>1992-09-24</t>
        </is>
      </c>
      <c r="Y122" t="n">
        <v>397</v>
      </c>
      <c r="Z122" t="n">
        <v>313</v>
      </c>
      <c r="AA122" t="n">
        <v>370</v>
      </c>
      <c r="AB122" t="n">
        <v>2</v>
      </c>
      <c r="AC122" t="n">
        <v>2</v>
      </c>
      <c r="AD122" t="n">
        <v>13</v>
      </c>
      <c r="AE122" t="n">
        <v>18</v>
      </c>
      <c r="AF122" t="n">
        <v>4</v>
      </c>
      <c r="AG122" t="n">
        <v>4</v>
      </c>
      <c r="AH122" t="n">
        <v>5</v>
      </c>
      <c r="AI122" t="n">
        <v>5</v>
      </c>
      <c r="AJ122" t="n">
        <v>8</v>
      </c>
      <c r="AK122" t="n">
        <v>11</v>
      </c>
      <c r="AL122" t="n">
        <v>1</v>
      </c>
      <c r="AM122" t="n">
        <v>1</v>
      </c>
      <c r="AN122" t="n">
        <v>0</v>
      </c>
      <c r="AO122" t="n">
        <v>2</v>
      </c>
      <c r="AP122" t="inlineStr">
        <is>
          <t>No</t>
        </is>
      </c>
      <c r="AQ122" t="inlineStr">
        <is>
          <t>No</t>
        </is>
      </c>
      <c r="AS122">
        <f>HYPERLINK("https://creighton-primo.hosted.exlibrisgroup.com/primo-explore/search?tab=default_tab&amp;search_scope=EVERYTHING&amp;vid=01CRU&amp;lang=en_US&amp;offset=0&amp;query=any,contains,991004962009702656","Catalog Record")</f>
        <v/>
      </c>
      <c r="AT122">
        <f>HYPERLINK("http://www.worldcat.org/oclc/6313084","WorldCat Record")</f>
        <v/>
      </c>
      <c r="AU122" t="inlineStr">
        <is>
          <t>506229:eng</t>
        </is>
      </c>
      <c r="AV122" t="inlineStr">
        <is>
          <t>6313084</t>
        </is>
      </c>
      <c r="AW122" t="inlineStr">
        <is>
          <t>991004962009702656</t>
        </is>
      </c>
      <c r="AX122" t="inlineStr">
        <is>
          <t>991004962009702656</t>
        </is>
      </c>
      <c r="AY122" t="inlineStr">
        <is>
          <t>2265432660002656</t>
        </is>
      </c>
      <c r="AZ122" t="inlineStr">
        <is>
          <t>BOOK</t>
        </is>
      </c>
      <c r="BB122" t="inlineStr">
        <is>
          <t>9780521233590</t>
        </is>
      </c>
      <c r="BC122" t="inlineStr">
        <is>
          <t>32285001269579</t>
        </is>
      </c>
      <c r="BD122" t="inlineStr">
        <is>
          <t>893776635</t>
        </is>
      </c>
    </row>
    <row r="123">
      <c r="A123" t="inlineStr">
        <is>
          <t>No</t>
        </is>
      </c>
      <c r="B123" t="inlineStr">
        <is>
          <t>HN29 .B39 1984</t>
        </is>
      </c>
      <c r="C123" t="inlineStr">
        <is>
          <t>0                      HN 0029000B  39          1984</t>
        </is>
      </c>
      <c r="D123" t="inlineStr">
        <is>
          <t>Data construction in social surveys / Nicholas Bateson.</t>
        </is>
      </c>
      <c r="F123" t="inlineStr">
        <is>
          <t>No</t>
        </is>
      </c>
      <c r="G123" t="inlineStr">
        <is>
          <t>1</t>
        </is>
      </c>
      <c r="H123" t="inlineStr">
        <is>
          <t>No</t>
        </is>
      </c>
      <c r="I123" t="inlineStr">
        <is>
          <t>No</t>
        </is>
      </c>
      <c r="J123" t="inlineStr">
        <is>
          <t>0</t>
        </is>
      </c>
      <c r="K123" t="inlineStr">
        <is>
          <t>Bateson, Nicholas.</t>
        </is>
      </c>
      <c r="L123" t="inlineStr">
        <is>
          <t>London ; Boston : Allen &amp; Unwin, 1984.</t>
        </is>
      </c>
      <c r="M123" t="inlineStr">
        <is>
          <t>1984</t>
        </is>
      </c>
      <c r="O123" t="inlineStr">
        <is>
          <t>eng</t>
        </is>
      </c>
      <c r="P123" t="inlineStr">
        <is>
          <t>enk</t>
        </is>
      </c>
      <c r="Q123" t="inlineStr">
        <is>
          <t>Contemporary social research series ; 10</t>
        </is>
      </c>
      <c r="R123" t="inlineStr">
        <is>
          <t xml:space="preserve">HN </t>
        </is>
      </c>
      <c r="S123" t="n">
        <v>4</v>
      </c>
      <c r="T123" t="n">
        <v>4</v>
      </c>
      <c r="U123" t="inlineStr">
        <is>
          <t>1993-04-21</t>
        </is>
      </c>
      <c r="V123" t="inlineStr">
        <is>
          <t>1993-04-21</t>
        </is>
      </c>
      <c r="W123" t="inlineStr">
        <is>
          <t>1992-09-24</t>
        </is>
      </c>
      <c r="X123" t="inlineStr">
        <is>
          <t>1992-09-24</t>
        </is>
      </c>
      <c r="Y123" t="n">
        <v>368</v>
      </c>
      <c r="Z123" t="n">
        <v>223</v>
      </c>
      <c r="AA123" t="n">
        <v>229</v>
      </c>
      <c r="AB123" t="n">
        <v>3</v>
      </c>
      <c r="AC123" t="n">
        <v>3</v>
      </c>
      <c r="AD123" t="n">
        <v>7</v>
      </c>
      <c r="AE123" t="n">
        <v>7</v>
      </c>
      <c r="AF123" t="n">
        <v>1</v>
      </c>
      <c r="AG123" t="n">
        <v>1</v>
      </c>
      <c r="AH123" t="n">
        <v>1</v>
      </c>
      <c r="AI123" t="n">
        <v>1</v>
      </c>
      <c r="AJ123" t="n">
        <v>4</v>
      </c>
      <c r="AK123" t="n">
        <v>4</v>
      </c>
      <c r="AL123" t="n">
        <v>2</v>
      </c>
      <c r="AM123" t="n">
        <v>2</v>
      </c>
      <c r="AN123" t="n">
        <v>0</v>
      </c>
      <c r="AO123" t="n">
        <v>0</v>
      </c>
      <c r="AP123" t="inlineStr">
        <is>
          <t>No</t>
        </is>
      </c>
      <c r="AQ123" t="inlineStr">
        <is>
          <t>Yes</t>
        </is>
      </c>
      <c r="AR123">
        <f>HYPERLINK("http://catalog.hathitrust.org/Record/000337020","HathiTrust Record")</f>
        <v/>
      </c>
      <c r="AS123">
        <f>HYPERLINK("https://creighton-primo.hosted.exlibrisgroup.com/primo-explore/search?tab=default_tab&amp;search_scope=EVERYTHING&amp;vid=01CRU&amp;lang=en_US&amp;offset=0&amp;query=any,contains,991000411409702656","Catalog Record")</f>
        <v/>
      </c>
      <c r="AT123">
        <f>HYPERLINK("http://www.worldcat.org/oclc/10711211","WorldCat Record")</f>
        <v/>
      </c>
      <c r="AU123" t="inlineStr">
        <is>
          <t>3037830:eng</t>
        </is>
      </c>
      <c r="AV123" t="inlineStr">
        <is>
          <t>10711211</t>
        </is>
      </c>
      <c r="AW123" t="inlineStr">
        <is>
          <t>991000411409702656</t>
        </is>
      </c>
      <c r="AX123" t="inlineStr">
        <is>
          <t>991000411409702656</t>
        </is>
      </c>
      <c r="AY123" t="inlineStr">
        <is>
          <t>2260249410002656</t>
        </is>
      </c>
      <c r="AZ123" t="inlineStr">
        <is>
          <t>BOOK</t>
        </is>
      </c>
      <c r="BB123" t="inlineStr">
        <is>
          <t>9780043120224</t>
        </is>
      </c>
      <c r="BC123" t="inlineStr">
        <is>
          <t>32285001269587</t>
        </is>
      </c>
      <c r="BD123" t="inlineStr">
        <is>
          <t>893896853</t>
        </is>
      </c>
    </row>
    <row r="124">
      <c r="A124" t="inlineStr">
        <is>
          <t>No</t>
        </is>
      </c>
      <c r="B124" t="inlineStr">
        <is>
          <t>HN29 .B452</t>
        </is>
      </c>
      <c r="C124" t="inlineStr">
        <is>
          <t>0                      HN 0029000B  452</t>
        </is>
      </c>
      <c r="D124" t="inlineStr">
        <is>
          <t>The design and understanding of survey questions / William A. Belson.</t>
        </is>
      </c>
      <c r="F124" t="inlineStr">
        <is>
          <t>No</t>
        </is>
      </c>
      <c r="G124" t="inlineStr">
        <is>
          <t>1</t>
        </is>
      </c>
      <c r="H124" t="inlineStr">
        <is>
          <t>No</t>
        </is>
      </c>
      <c r="I124" t="inlineStr">
        <is>
          <t>No</t>
        </is>
      </c>
      <c r="J124" t="inlineStr">
        <is>
          <t>0</t>
        </is>
      </c>
      <c r="K124" t="inlineStr">
        <is>
          <t>Belson, William A.</t>
        </is>
      </c>
      <c r="L124" t="inlineStr">
        <is>
          <t>Aldershot, Hants., England : Gower, 1981.</t>
        </is>
      </c>
      <c r="M124" t="inlineStr">
        <is>
          <t>1981</t>
        </is>
      </c>
      <c r="O124" t="inlineStr">
        <is>
          <t>eng</t>
        </is>
      </c>
      <c r="P124" t="inlineStr">
        <is>
          <t>enk</t>
        </is>
      </c>
      <c r="R124" t="inlineStr">
        <is>
          <t xml:space="preserve">HN </t>
        </is>
      </c>
      <c r="S124" t="n">
        <v>9</v>
      </c>
      <c r="T124" t="n">
        <v>9</v>
      </c>
      <c r="U124" t="inlineStr">
        <is>
          <t>2002-09-07</t>
        </is>
      </c>
      <c r="V124" t="inlineStr">
        <is>
          <t>2002-09-07</t>
        </is>
      </c>
      <c r="W124" t="inlineStr">
        <is>
          <t>1992-02-06</t>
        </is>
      </c>
      <c r="X124" t="inlineStr">
        <is>
          <t>1992-02-06</t>
        </is>
      </c>
      <c r="Y124" t="n">
        <v>360</v>
      </c>
      <c r="Z124" t="n">
        <v>213</v>
      </c>
      <c r="AA124" t="n">
        <v>221</v>
      </c>
      <c r="AB124" t="n">
        <v>2</v>
      </c>
      <c r="AC124" t="n">
        <v>2</v>
      </c>
      <c r="AD124" t="n">
        <v>7</v>
      </c>
      <c r="AE124" t="n">
        <v>7</v>
      </c>
      <c r="AF124" t="n">
        <v>0</v>
      </c>
      <c r="AG124" t="n">
        <v>0</v>
      </c>
      <c r="AH124" t="n">
        <v>3</v>
      </c>
      <c r="AI124" t="n">
        <v>3</v>
      </c>
      <c r="AJ124" t="n">
        <v>5</v>
      </c>
      <c r="AK124" t="n">
        <v>5</v>
      </c>
      <c r="AL124" t="n">
        <v>1</v>
      </c>
      <c r="AM124" t="n">
        <v>1</v>
      </c>
      <c r="AN124" t="n">
        <v>0</v>
      </c>
      <c r="AO124" t="n">
        <v>0</v>
      </c>
      <c r="AP124" t="inlineStr">
        <is>
          <t>No</t>
        </is>
      </c>
      <c r="AQ124" t="inlineStr">
        <is>
          <t>Yes</t>
        </is>
      </c>
      <c r="AR124">
        <f>HYPERLINK("http://catalog.hathitrust.org/Record/000106566","HathiTrust Record")</f>
        <v/>
      </c>
      <c r="AS124">
        <f>HYPERLINK("https://creighton-primo.hosted.exlibrisgroup.com/primo-explore/search?tab=default_tab&amp;search_scope=EVERYTHING&amp;vid=01CRU&amp;lang=en_US&amp;offset=0&amp;query=any,contains,991005157649702656","Catalog Record")</f>
        <v/>
      </c>
      <c r="AT124">
        <f>HYPERLINK("http://www.worldcat.org/oclc/7745617","WorldCat Record")</f>
        <v/>
      </c>
      <c r="AU124" t="inlineStr">
        <is>
          <t>510845:eng</t>
        </is>
      </c>
      <c r="AV124" t="inlineStr">
        <is>
          <t>7745617</t>
        </is>
      </c>
      <c r="AW124" t="inlineStr">
        <is>
          <t>991005157649702656</t>
        </is>
      </c>
      <c r="AX124" t="inlineStr">
        <is>
          <t>991005157649702656</t>
        </is>
      </c>
      <c r="AY124" t="inlineStr">
        <is>
          <t>2259887660002656</t>
        </is>
      </c>
      <c r="AZ124" t="inlineStr">
        <is>
          <t>BOOK</t>
        </is>
      </c>
      <c r="BB124" t="inlineStr">
        <is>
          <t>9780566004209</t>
        </is>
      </c>
      <c r="BC124" t="inlineStr">
        <is>
          <t>32285000943471</t>
        </is>
      </c>
      <c r="BD124" t="inlineStr">
        <is>
          <t>893326255</t>
        </is>
      </c>
    </row>
    <row r="125">
      <c r="A125" t="inlineStr">
        <is>
          <t>No</t>
        </is>
      </c>
      <c r="B125" t="inlineStr">
        <is>
          <t>HN29 .B66</t>
        </is>
      </c>
      <c r="C125" t="inlineStr">
        <is>
          <t>0                      HN 0029000B  66</t>
        </is>
      </c>
      <c r="D125" t="inlineStr">
        <is>
          <t>Improving interview method and questionnaire design / Norman M. Bradburn, Seymour Sudman ; with the assistance of Edward Blair ... [et al.].</t>
        </is>
      </c>
      <c r="F125" t="inlineStr">
        <is>
          <t>No</t>
        </is>
      </c>
      <c r="G125" t="inlineStr">
        <is>
          <t>1</t>
        </is>
      </c>
      <c r="H125" t="inlineStr">
        <is>
          <t>No</t>
        </is>
      </c>
      <c r="I125" t="inlineStr">
        <is>
          <t>No</t>
        </is>
      </c>
      <c r="J125" t="inlineStr">
        <is>
          <t>0</t>
        </is>
      </c>
      <c r="K125" t="inlineStr">
        <is>
          <t>Bradburn, Norman M.</t>
        </is>
      </c>
      <c r="L125" t="inlineStr">
        <is>
          <t>San Francisco : Jossey-Bass, 1979.</t>
        </is>
      </c>
      <c r="M125" t="inlineStr">
        <is>
          <t>1979</t>
        </is>
      </c>
      <c r="N125" t="inlineStr">
        <is>
          <t>1st ed.</t>
        </is>
      </c>
      <c r="O125" t="inlineStr">
        <is>
          <t>eng</t>
        </is>
      </c>
      <c r="P125" t="inlineStr">
        <is>
          <t>cau</t>
        </is>
      </c>
      <c r="Q125" t="inlineStr">
        <is>
          <t>The Jossey-Bass social and behavioral science series</t>
        </is>
      </c>
      <c r="R125" t="inlineStr">
        <is>
          <t xml:space="preserve">HN </t>
        </is>
      </c>
      <c r="S125" t="n">
        <v>9</v>
      </c>
      <c r="T125" t="n">
        <v>9</v>
      </c>
      <c r="U125" t="inlineStr">
        <is>
          <t>1995-10-17</t>
        </is>
      </c>
      <c r="V125" t="inlineStr">
        <is>
          <t>1995-10-17</t>
        </is>
      </c>
      <c r="W125" t="inlineStr">
        <is>
          <t>1992-02-06</t>
        </is>
      </c>
      <c r="X125" t="inlineStr">
        <is>
          <t>1992-02-06</t>
        </is>
      </c>
      <c r="Y125" t="n">
        <v>819</v>
      </c>
      <c r="Z125" t="n">
        <v>656</v>
      </c>
      <c r="AA125" t="n">
        <v>658</v>
      </c>
      <c r="AB125" t="n">
        <v>5</v>
      </c>
      <c r="AC125" t="n">
        <v>5</v>
      </c>
      <c r="AD125" t="n">
        <v>35</v>
      </c>
      <c r="AE125" t="n">
        <v>35</v>
      </c>
      <c r="AF125" t="n">
        <v>14</v>
      </c>
      <c r="AG125" t="n">
        <v>14</v>
      </c>
      <c r="AH125" t="n">
        <v>9</v>
      </c>
      <c r="AI125" t="n">
        <v>9</v>
      </c>
      <c r="AJ125" t="n">
        <v>18</v>
      </c>
      <c r="AK125" t="n">
        <v>18</v>
      </c>
      <c r="AL125" t="n">
        <v>3</v>
      </c>
      <c r="AM125" t="n">
        <v>3</v>
      </c>
      <c r="AN125" t="n">
        <v>0</v>
      </c>
      <c r="AO125" t="n">
        <v>0</v>
      </c>
      <c r="AP125" t="inlineStr">
        <is>
          <t>No</t>
        </is>
      </c>
      <c r="AQ125" t="inlineStr">
        <is>
          <t>Yes</t>
        </is>
      </c>
      <c r="AR125">
        <f>HYPERLINK("http://catalog.hathitrust.org/Record/000687572","HathiTrust Record")</f>
        <v/>
      </c>
      <c r="AS125">
        <f>HYPERLINK("https://creighton-primo.hosted.exlibrisgroup.com/primo-explore/search?tab=default_tab&amp;search_scope=EVERYTHING&amp;vid=01CRU&amp;lang=en_US&amp;offset=0&amp;query=any,contains,991004753559702656","Catalog Record")</f>
        <v/>
      </c>
      <c r="AT125">
        <f>HYPERLINK("http://www.worldcat.org/oclc/4953734","WorldCat Record")</f>
        <v/>
      </c>
      <c r="AU125" t="inlineStr">
        <is>
          <t>532718:eng</t>
        </is>
      </c>
      <c r="AV125" t="inlineStr">
        <is>
          <t>4953734</t>
        </is>
      </c>
      <c r="AW125" t="inlineStr">
        <is>
          <t>991004753559702656</t>
        </is>
      </c>
      <c r="AX125" t="inlineStr">
        <is>
          <t>991004753559702656</t>
        </is>
      </c>
      <c r="AY125" t="inlineStr">
        <is>
          <t>2256346800002656</t>
        </is>
      </c>
      <c r="AZ125" t="inlineStr">
        <is>
          <t>BOOK</t>
        </is>
      </c>
      <c r="BB125" t="inlineStr">
        <is>
          <t>9780875894027</t>
        </is>
      </c>
      <c r="BC125" t="inlineStr">
        <is>
          <t>32285000943489</t>
        </is>
      </c>
      <c r="BD125" t="inlineStr">
        <is>
          <t>893706796</t>
        </is>
      </c>
    </row>
    <row r="126">
      <c r="A126" t="inlineStr">
        <is>
          <t>No</t>
        </is>
      </c>
      <c r="B126" t="inlineStr">
        <is>
          <t>HN29 .C615 2005</t>
        </is>
      </c>
      <c r="C126" t="inlineStr">
        <is>
          <t>0                      HN 0029000C  615         2005</t>
        </is>
      </c>
      <c r="D126" t="inlineStr">
        <is>
          <t>Communication impact : designing research that matters / edited by Susanna Hornig Priest.</t>
        </is>
      </c>
      <c r="F126" t="inlineStr">
        <is>
          <t>No</t>
        </is>
      </c>
      <c r="G126" t="inlineStr">
        <is>
          <t>1</t>
        </is>
      </c>
      <c r="H126" t="inlineStr">
        <is>
          <t>No</t>
        </is>
      </c>
      <c r="I126" t="inlineStr">
        <is>
          <t>No</t>
        </is>
      </c>
      <c r="J126" t="inlineStr">
        <is>
          <t>0</t>
        </is>
      </c>
      <c r="L126" t="inlineStr">
        <is>
          <t>Lanham, Md. : Rowman &amp; Littlefield, c2005.</t>
        </is>
      </c>
      <c r="M126" t="inlineStr">
        <is>
          <t>2005</t>
        </is>
      </c>
      <c r="O126" t="inlineStr">
        <is>
          <t>eng</t>
        </is>
      </c>
      <c r="P126" t="inlineStr">
        <is>
          <t>mdu</t>
        </is>
      </c>
      <c r="R126" t="inlineStr">
        <is>
          <t xml:space="preserve">HN </t>
        </is>
      </c>
      <c r="S126" t="n">
        <v>4</v>
      </c>
      <c r="T126" t="n">
        <v>4</v>
      </c>
      <c r="U126" t="inlineStr">
        <is>
          <t>2006-08-10</t>
        </is>
      </c>
      <c r="V126" t="inlineStr">
        <is>
          <t>2006-08-10</t>
        </is>
      </c>
      <c r="W126" t="inlineStr">
        <is>
          <t>2005-08-09</t>
        </is>
      </c>
      <c r="X126" t="inlineStr">
        <is>
          <t>2005-08-09</t>
        </is>
      </c>
      <c r="Y126" t="n">
        <v>190</v>
      </c>
      <c r="Z126" t="n">
        <v>127</v>
      </c>
      <c r="AA126" t="n">
        <v>129</v>
      </c>
      <c r="AB126" t="n">
        <v>2</v>
      </c>
      <c r="AC126" t="n">
        <v>2</v>
      </c>
      <c r="AD126" t="n">
        <v>4</v>
      </c>
      <c r="AE126" t="n">
        <v>4</v>
      </c>
      <c r="AF126" t="n">
        <v>1</v>
      </c>
      <c r="AG126" t="n">
        <v>1</v>
      </c>
      <c r="AH126" t="n">
        <v>1</v>
      </c>
      <c r="AI126" t="n">
        <v>1</v>
      </c>
      <c r="AJ126" t="n">
        <v>2</v>
      </c>
      <c r="AK126" t="n">
        <v>2</v>
      </c>
      <c r="AL126" t="n">
        <v>1</v>
      </c>
      <c r="AM126" t="n">
        <v>1</v>
      </c>
      <c r="AN126" t="n">
        <v>0</v>
      </c>
      <c r="AO126" t="n">
        <v>0</v>
      </c>
      <c r="AP126" t="inlineStr">
        <is>
          <t>No</t>
        </is>
      </c>
      <c r="AQ126" t="inlineStr">
        <is>
          <t>Yes</t>
        </is>
      </c>
      <c r="AR126">
        <f>HYPERLINK("http://catalog.hathitrust.org/Record/004936838","HathiTrust Record")</f>
        <v/>
      </c>
      <c r="AS126">
        <f>HYPERLINK("https://creighton-primo.hosted.exlibrisgroup.com/primo-explore/search?tab=default_tab&amp;search_scope=EVERYTHING&amp;vid=01CRU&amp;lang=en_US&amp;offset=0&amp;query=any,contains,991004604759702656","Catalog Record")</f>
        <v/>
      </c>
      <c r="AT126">
        <f>HYPERLINK("http://www.worldcat.org/oclc/55877729","WorldCat Record")</f>
        <v/>
      </c>
      <c r="AU126" t="inlineStr">
        <is>
          <t>796437349:eng</t>
        </is>
      </c>
      <c r="AV126" t="inlineStr">
        <is>
          <t>55877729</t>
        </is>
      </c>
      <c r="AW126" t="inlineStr">
        <is>
          <t>991004604759702656</t>
        </is>
      </c>
      <c r="AX126" t="inlineStr">
        <is>
          <t>991004604759702656</t>
        </is>
      </c>
      <c r="AY126" t="inlineStr">
        <is>
          <t>2271517740002656</t>
        </is>
      </c>
      <c r="AZ126" t="inlineStr">
        <is>
          <t>BOOK</t>
        </is>
      </c>
      <c r="BB126" t="inlineStr">
        <is>
          <t>9780742530973</t>
        </is>
      </c>
      <c r="BC126" t="inlineStr">
        <is>
          <t>32285005080196</t>
        </is>
      </c>
      <c r="BD126" t="inlineStr">
        <is>
          <t>893507038</t>
        </is>
      </c>
    </row>
    <row r="127">
      <c r="A127" t="inlineStr">
        <is>
          <t>No</t>
        </is>
      </c>
      <c r="B127" t="inlineStr">
        <is>
          <t>HN29 .C85 2005</t>
        </is>
      </c>
      <c r="C127" t="inlineStr">
        <is>
          <t>0                      HN 0029000C  85          2005</t>
        </is>
      </c>
      <c r="D127" t="inlineStr">
        <is>
          <t>Cutting-edge social policy research / Richard Hoefer, editor.</t>
        </is>
      </c>
      <c r="F127" t="inlineStr">
        <is>
          <t>No</t>
        </is>
      </c>
      <c r="G127" t="inlineStr">
        <is>
          <t>1</t>
        </is>
      </c>
      <c r="H127" t="inlineStr">
        <is>
          <t>No</t>
        </is>
      </c>
      <c r="I127" t="inlineStr">
        <is>
          <t>No</t>
        </is>
      </c>
      <c r="J127" t="inlineStr">
        <is>
          <t>0</t>
        </is>
      </c>
      <c r="L127" t="inlineStr">
        <is>
          <t>New York : Haworth Press, 2005.</t>
        </is>
      </c>
      <c r="M127" t="inlineStr">
        <is>
          <t>2005</t>
        </is>
      </c>
      <c r="O127" t="inlineStr">
        <is>
          <t>eng</t>
        </is>
      </c>
      <c r="P127" t="inlineStr">
        <is>
          <t>nyu</t>
        </is>
      </c>
      <c r="R127" t="inlineStr">
        <is>
          <t xml:space="preserve">HN </t>
        </is>
      </c>
      <c r="S127" t="n">
        <v>1</v>
      </c>
      <c r="T127" t="n">
        <v>1</v>
      </c>
      <c r="U127" t="inlineStr">
        <is>
          <t>2008-10-09</t>
        </is>
      </c>
      <c r="V127" t="inlineStr">
        <is>
          <t>2008-10-09</t>
        </is>
      </c>
      <c r="W127" t="inlineStr">
        <is>
          <t>2008-10-09</t>
        </is>
      </c>
      <c r="X127" t="inlineStr">
        <is>
          <t>2008-10-09</t>
        </is>
      </c>
      <c r="Y127" t="n">
        <v>76</v>
      </c>
      <c r="Z127" t="n">
        <v>54</v>
      </c>
      <c r="AA127" t="n">
        <v>77</v>
      </c>
      <c r="AB127" t="n">
        <v>1</v>
      </c>
      <c r="AC127" t="n">
        <v>1</v>
      </c>
      <c r="AD127" t="n">
        <v>2</v>
      </c>
      <c r="AE127" t="n">
        <v>2</v>
      </c>
      <c r="AF127" t="n">
        <v>0</v>
      </c>
      <c r="AG127" t="n">
        <v>0</v>
      </c>
      <c r="AH127" t="n">
        <v>2</v>
      </c>
      <c r="AI127" t="n">
        <v>2</v>
      </c>
      <c r="AJ127" t="n">
        <v>2</v>
      </c>
      <c r="AK127" t="n">
        <v>2</v>
      </c>
      <c r="AL127" t="n">
        <v>0</v>
      </c>
      <c r="AM127" t="n">
        <v>0</v>
      </c>
      <c r="AN127" t="n">
        <v>0</v>
      </c>
      <c r="AO127" t="n">
        <v>0</v>
      </c>
      <c r="AP127" t="inlineStr">
        <is>
          <t>No</t>
        </is>
      </c>
      <c r="AQ127" t="inlineStr">
        <is>
          <t>No</t>
        </is>
      </c>
      <c r="AS127">
        <f>HYPERLINK("https://creighton-primo.hosted.exlibrisgroup.com/primo-explore/search?tab=default_tab&amp;search_scope=EVERYTHING&amp;vid=01CRU&amp;lang=en_US&amp;offset=0&amp;query=any,contains,991005270509702656","Catalog Record")</f>
        <v/>
      </c>
      <c r="AT127">
        <f>HYPERLINK("http://www.worldcat.org/oclc/62161203","WorldCat Record")</f>
        <v/>
      </c>
      <c r="AU127" t="inlineStr">
        <is>
          <t>46569534:eng</t>
        </is>
      </c>
      <c r="AV127" t="inlineStr">
        <is>
          <t>62161203</t>
        </is>
      </c>
      <c r="AW127" t="inlineStr">
        <is>
          <t>991005270509702656</t>
        </is>
      </c>
      <c r="AX127" t="inlineStr">
        <is>
          <t>991005270509702656</t>
        </is>
      </c>
      <c r="AY127" t="inlineStr">
        <is>
          <t>2270683260002656</t>
        </is>
      </c>
      <c r="AZ127" t="inlineStr">
        <is>
          <t>BOOK</t>
        </is>
      </c>
      <c r="BB127" t="inlineStr">
        <is>
          <t>9780789032058</t>
        </is>
      </c>
      <c r="BC127" t="inlineStr">
        <is>
          <t>32285005462766</t>
        </is>
      </c>
      <c r="BD127" t="inlineStr">
        <is>
          <t>893533472</t>
        </is>
      </c>
    </row>
    <row r="128">
      <c r="A128" t="inlineStr">
        <is>
          <t>No</t>
        </is>
      </c>
      <c r="B128" t="inlineStr">
        <is>
          <t>HN29 .D54</t>
        </is>
      </c>
      <c r="C128" t="inlineStr">
        <is>
          <t>0                      HN 0029000D  54</t>
        </is>
      </c>
      <c r="D128" t="inlineStr">
        <is>
          <t>Mail and telephone surveys : the total design method / Don A. Dillman.</t>
        </is>
      </c>
      <c r="F128" t="inlineStr">
        <is>
          <t>No</t>
        </is>
      </c>
      <c r="G128" t="inlineStr">
        <is>
          <t>1</t>
        </is>
      </c>
      <c r="H128" t="inlineStr">
        <is>
          <t>No</t>
        </is>
      </c>
      <c r="I128" t="inlineStr">
        <is>
          <t>No</t>
        </is>
      </c>
      <c r="J128" t="inlineStr">
        <is>
          <t>0</t>
        </is>
      </c>
      <c r="K128" t="inlineStr">
        <is>
          <t>Dillman, Don A., 1941-</t>
        </is>
      </c>
      <c r="L128" t="inlineStr">
        <is>
          <t>New York : Wiley, c1978.</t>
        </is>
      </c>
      <c r="M128" t="inlineStr">
        <is>
          <t>1978</t>
        </is>
      </c>
      <c r="O128" t="inlineStr">
        <is>
          <t>eng</t>
        </is>
      </c>
      <c r="P128" t="inlineStr">
        <is>
          <t>nyu</t>
        </is>
      </c>
      <c r="R128" t="inlineStr">
        <is>
          <t xml:space="preserve">HN </t>
        </is>
      </c>
      <c r="S128" t="n">
        <v>20</v>
      </c>
      <c r="T128" t="n">
        <v>20</v>
      </c>
      <c r="U128" t="inlineStr">
        <is>
          <t>2000-11-28</t>
        </is>
      </c>
      <c r="V128" t="inlineStr">
        <is>
          <t>2000-11-28</t>
        </is>
      </c>
      <c r="W128" t="inlineStr">
        <is>
          <t>1995-03-27</t>
        </is>
      </c>
      <c r="X128" t="inlineStr">
        <is>
          <t>1995-03-27</t>
        </is>
      </c>
      <c r="Y128" t="n">
        <v>961</v>
      </c>
      <c r="Z128" t="n">
        <v>750</v>
      </c>
      <c r="AA128" t="n">
        <v>753</v>
      </c>
      <c r="AB128" t="n">
        <v>7</v>
      </c>
      <c r="AC128" t="n">
        <v>7</v>
      </c>
      <c r="AD128" t="n">
        <v>30</v>
      </c>
      <c r="AE128" t="n">
        <v>30</v>
      </c>
      <c r="AF128" t="n">
        <v>11</v>
      </c>
      <c r="AG128" t="n">
        <v>11</v>
      </c>
      <c r="AH128" t="n">
        <v>5</v>
      </c>
      <c r="AI128" t="n">
        <v>5</v>
      </c>
      <c r="AJ128" t="n">
        <v>16</v>
      </c>
      <c r="AK128" t="n">
        <v>16</v>
      </c>
      <c r="AL128" t="n">
        <v>5</v>
      </c>
      <c r="AM128" t="n">
        <v>5</v>
      </c>
      <c r="AN128" t="n">
        <v>0</v>
      </c>
      <c r="AO128" t="n">
        <v>0</v>
      </c>
      <c r="AP128" t="inlineStr">
        <is>
          <t>No</t>
        </is>
      </c>
      <c r="AQ128" t="inlineStr">
        <is>
          <t>Yes</t>
        </is>
      </c>
      <c r="AR128">
        <f>HYPERLINK("http://catalog.hathitrust.org/Record/000090165","HathiTrust Record")</f>
        <v/>
      </c>
      <c r="AS128">
        <f>HYPERLINK("https://creighton-primo.hosted.exlibrisgroup.com/primo-explore/search?tab=default_tab&amp;search_scope=EVERYTHING&amp;vid=01CRU&amp;lang=en_US&amp;offset=0&amp;query=any,contains,991005371289702656","Catalog Record")</f>
        <v/>
      </c>
      <c r="AT128">
        <f>HYPERLINK("http://www.worldcat.org/oclc/3559179","WorldCat Record")</f>
        <v/>
      </c>
      <c r="AU128" t="inlineStr">
        <is>
          <t>196506080:eng</t>
        </is>
      </c>
      <c r="AV128" t="inlineStr">
        <is>
          <t>3559179</t>
        </is>
      </c>
      <c r="AW128" t="inlineStr">
        <is>
          <t>991005371289702656</t>
        </is>
      </c>
      <c r="AX128" t="inlineStr">
        <is>
          <t>991005371289702656</t>
        </is>
      </c>
      <c r="AY128" t="inlineStr">
        <is>
          <t>2264199390002656</t>
        </is>
      </c>
      <c r="AZ128" t="inlineStr">
        <is>
          <t>BOOK</t>
        </is>
      </c>
      <c r="BB128" t="inlineStr">
        <is>
          <t>9780471215554</t>
        </is>
      </c>
      <c r="BC128" t="inlineStr">
        <is>
          <t>32285002015526</t>
        </is>
      </c>
      <c r="BD128" t="inlineStr">
        <is>
          <t>893890128</t>
        </is>
      </c>
    </row>
    <row r="129">
      <c r="A129" t="inlineStr">
        <is>
          <t>No</t>
        </is>
      </c>
      <c r="B129" t="inlineStr">
        <is>
          <t>HN29 .D69</t>
        </is>
      </c>
      <c r="C129" t="inlineStr">
        <is>
          <t>0                      HN 0029000D  69</t>
        </is>
      </c>
      <c r="D129" t="inlineStr">
        <is>
          <t>Professional interviewing / Cal W. Downs, G. Paul Smeyak, Ernest Martin.</t>
        </is>
      </c>
      <c r="F129" t="inlineStr">
        <is>
          <t>No</t>
        </is>
      </c>
      <c r="G129" t="inlineStr">
        <is>
          <t>1</t>
        </is>
      </c>
      <c r="H129" t="inlineStr">
        <is>
          <t>No</t>
        </is>
      </c>
      <c r="I129" t="inlineStr">
        <is>
          <t>No</t>
        </is>
      </c>
      <c r="J129" t="inlineStr">
        <is>
          <t>0</t>
        </is>
      </c>
      <c r="K129" t="inlineStr">
        <is>
          <t>Downs, Cal W., 1936-</t>
        </is>
      </c>
      <c r="L129" t="inlineStr">
        <is>
          <t>New York : Harper &amp; Row, c1980.</t>
        </is>
      </c>
      <c r="M129" t="inlineStr">
        <is>
          <t>1980</t>
        </is>
      </c>
      <c r="O129" t="inlineStr">
        <is>
          <t>eng</t>
        </is>
      </c>
      <c r="P129" t="inlineStr">
        <is>
          <t>nyu</t>
        </is>
      </c>
      <c r="R129" t="inlineStr">
        <is>
          <t xml:space="preserve">HN </t>
        </is>
      </c>
      <c r="S129" t="n">
        <v>8</v>
      </c>
      <c r="T129" t="n">
        <v>8</v>
      </c>
      <c r="U129" t="inlineStr">
        <is>
          <t>2007-11-07</t>
        </is>
      </c>
      <c r="V129" t="inlineStr">
        <is>
          <t>2007-11-07</t>
        </is>
      </c>
      <c r="W129" t="inlineStr">
        <is>
          <t>1990-04-30</t>
        </is>
      </c>
      <c r="X129" t="inlineStr">
        <is>
          <t>1990-04-30</t>
        </is>
      </c>
      <c r="Y129" t="n">
        <v>520</v>
      </c>
      <c r="Z129" t="n">
        <v>431</v>
      </c>
      <c r="AA129" t="n">
        <v>438</v>
      </c>
      <c r="AB129" t="n">
        <v>5</v>
      </c>
      <c r="AC129" t="n">
        <v>5</v>
      </c>
      <c r="AD129" t="n">
        <v>18</v>
      </c>
      <c r="AE129" t="n">
        <v>18</v>
      </c>
      <c r="AF129" t="n">
        <v>6</v>
      </c>
      <c r="AG129" t="n">
        <v>6</v>
      </c>
      <c r="AH129" t="n">
        <v>0</v>
      </c>
      <c r="AI129" t="n">
        <v>0</v>
      </c>
      <c r="AJ129" t="n">
        <v>9</v>
      </c>
      <c r="AK129" t="n">
        <v>9</v>
      </c>
      <c r="AL129" t="n">
        <v>4</v>
      </c>
      <c r="AM129" t="n">
        <v>4</v>
      </c>
      <c r="AN129" t="n">
        <v>3</v>
      </c>
      <c r="AO129" t="n">
        <v>3</v>
      </c>
      <c r="AP129" t="inlineStr">
        <is>
          <t>No</t>
        </is>
      </c>
      <c r="AQ129" t="inlineStr">
        <is>
          <t>Yes</t>
        </is>
      </c>
      <c r="AR129">
        <f>HYPERLINK("http://catalog.hathitrust.org/Record/000736472","HathiTrust Record")</f>
        <v/>
      </c>
      <c r="AS129">
        <f>HYPERLINK("https://creighton-primo.hosted.exlibrisgroup.com/primo-explore/search?tab=default_tab&amp;search_scope=EVERYTHING&amp;vid=01CRU&amp;lang=en_US&amp;offset=0&amp;query=any,contains,991004832259702656","Catalog Record")</f>
        <v/>
      </c>
      <c r="AT129">
        <f>HYPERLINK("http://www.worldcat.org/oclc/5412245","WorldCat Record")</f>
        <v/>
      </c>
      <c r="AU129" t="inlineStr">
        <is>
          <t>403555:eng</t>
        </is>
      </c>
      <c r="AV129" t="inlineStr">
        <is>
          <t>5412245</t>
        </is>
      </c>
      <c r="AW129" t="inlineStr">
        <is>
          <t>991004832259702656</t>
        </is>
      </c>
      <c r="AX129" t="inlineStr">
        <is>
          <t>991004832259702656</t>
        </is>
      </c>
      <c r="AY129" t="inlineStr">
        <is>
          <t>2258869680002656</t>
        </is>
      </c>
      <c r="AZ129" t="inlineStr">
        <is>
          <t>BOOK</t>
        </is>
      </c>
      <c r="BB129" t="inlineStr">
        <is>
          <t>9780060417369</t>
        </is>
      </c>
      <c r="BC129" t="inlineStr">
        <is>
          <t>32285000127802</t>
        </is>
      </c>
      <c r="BD129" t="inlineStr">
        <is>
          <t>893446412</t>
        </is>
      </c>
    </row>
    <row r="130">
      <c r="A130" t="inlineStr">
        <is>
          <t>No</t>
        </is>
      </c>
      <c r="B130" t="inlineStr">
        <is>
          <t>HN29 .F53 1998</t>
        </is>
      </c>
      <c r="C130" t="inlineStr">
        <is>
          <t>0                      HN 0029000F  53          1998</t>
        </is>
      </c>
      <c r="D130" t="inlineStr">
        <is>
          <t>How to conduct surveys : a step-by-step guide / Arlene Fink, Jacqueline Kosecoff.</t>
        </is>
      </c>
      <c r="F130" t="inlineStr">
        <is>
          <t>No</t>
        </is>
      </c>
      <c r="G130" t="inlineStr">
        <is>
          <t>1</t>
        </is>
      </c>
      <c r="H130" t="inlineStr">
        <is>
          <t>No</t>
        </is>
      </c>
      <c r="I130" t="inlineStr">
        <is>
          <t>Yes</t>
        </is>
      </c>
      <c r="J130" t="inlineStr">
        <is>
          <t>0</t>
        </is>
      </c>
      <c r="K130" t="inlineStr">
        <is>
          <t>Fink, Arlene.</t>
        </is>
      </c>
      <c r="L130" t="inlineStr">
        <is>
          <t>Thousand Oaks, CA : Sage Publications, c1998.</t>
        </is>
      </c>
      <c r="M130" t="inlineStr">
        <is>
          <t>1998</t>
        </is>
      </c>
      <c r="N130" t="inlineStr">
        <is>
          <t>2nd ed.</t>
        </is>
      </c>
      <c r="O130" t="inlineStr">
        <is>
          <t>eng</t>
        </is>
      </c>
      <c r="P130" t="inlineStr">
        <is>
          <t>cau</t>
        </is>
      </c>
      <c r="R130" t="inlineStr">
        <is>
          <t xml:space="preserve">HN </t>
        </is>
      </c>
      <c r="S130" t="n">
        <v>5</v>
      </c>
      <c r="T130" t="n">
        <v>5</v>
      </c>
      <c r="U130" t="inlineStr">
        <is>
          <t>2004-10-21</t>
        </is>
      </c>
      <c r="V130" t="inlineStr">
        <is>
          <t>2004-10-21</t>
        </is>
      </c>
      <c r="W130" t="inlineStr">
        <is>
          <t>2000-02-29</t>
        </is>
      </c>
      <c r="X130" t="inlineStr">
        <is>
          <t>2000-02-29</t>
        </is>
      </c>
      <c r="Y130" t="n">
        <v>662</v>
      </c>
      <c r="Z130" t="n">
        <v>500</v>
      </c>
      <c r="AA130" t="n">
        <v>1441</v>
      </c>
      <c r="AB130" t="n">
        <v>3</v>
      </c>
      <c r="AC130" t="n">
        <v>11</v>
      </c>
      <c r="AD130" t="n">
        <v>18</v>
      </c>
      <c r="AE130" t="n">
        <v>55</v>
      </c>
      <c r="AF130" t="n">
        <v>5</v>
      </c>
      <c r="AG130" t="n">
        <v>25</v>
      </c>
      <c r="AH130" t="n">
        <v>5</v>
      </c>
      <c r="AI130" t="n">
        <v>9</v>
      </c>
      <c r="AJ130" t="n">
        <v>9</v>
      </c>
      <c r="AK130" t="n">
        <v>24</v>
      </c>
      <c r="AL130" t="n">
        <v>2</v>
      </c>
      <c r="AM130" t="n">
        <v>9</v>
      </c>
      <c r="AN130" t="n">
        <v>0</v>
      </c>
      <c r="AO130" t="n">
        <v>0</v>
      </c>
      <c r="AP130" t="inlineStr">
        <is>
          <t>No</t>
        </is>
      </c>
      <c r="AQ130" t="inlineStr">
        <is>
          <t>Yes</t>
        </is>
      </c>
      <c r="AR130">
        <f>HYPERLINK("http://catalog.hathitrust.org/Record/003967502","HathiTrust Record")</f>
        <v/>
      </c>
      <c r="AS130">
        <f>HYPERLINK("https://creighton-primo.hosted.exlibrisgroup.com/primo-explore/search?tab=default_tab&amp;search_scope=EVERYTHING&amp;vid=01CRU&amp;lang=en_US&amp;offset=0&amp;query=any,contains,991002867469702656","Catalog Record")</f>
        <v/>
      </c>
      <c r="AT130">
        <f>HYPERLINK("http://www.worldcat.org/oclc/37801485","WorldCat Record")</f>
        <v/>
      </c>
      <c r="AU130" t="inlineStr">
        <is>
          <t>30902:eng</t>
        </is>
      </c>
      <c r="AV130" t="inlineStr">
        <is>
          <t>37801485</t>
        </is>
      </c>
      <c r="AW130" t="inlineStr">
        <is>
          <t>991002867469702656</t>
        </is>
      </c>
      <c r="AX130" t="inlineStr">
        <is>
          <t>991002867469702656</t>
        </is>
      </c>
      <c r="AY130" t="inlineStr">
        <is>
          <t>2255277580002656</t>
        </is>
      </c>
      <c r="AZ130" t="inlineStr">
        <is>
          <t>BOOK</t>
        </is>
      </c>
      <c r="BB130" t="inlineStr">
        <is>
          <t>9780761914082</t>
        </is>
      </c>
      <c r="BC130" t="inlineStr">
        <is>
          <t>32285003665634</t>
        </is>
      </c>
      <c r="BD130" t="inlineStr">
        <is>
          <t>893899343</t>
        </is>
      </c>
    </row>
    <row r="131">
      <c r="A131" t="inlineStr">
        <is>
          <t>No</t>
        </is>
      </c>
      <c r="B131" t="inlineStr">
        <is>
          <t>HN29 .G69 1987b</t>
        </is>
      </c>
      <c r="C131" t="inlineStr">
        <is>
          <t>0                      HN 0029000G  69          1987b</t>
        </is>
      </c>
      <c r="D131" t="inlineStr">
        <is>
          <t>The silent minority : nonrespondents on sample surveys / John Goyder.</t>
        </is>
      </c>
      <c r="F131" t="inlineStr">
        <is>
          <t>No</t>
        </is>
      </c>
      <c r="G131" t="inlineStr">
        <is>
          <t>1</t>
        </is>
      </c>
      <c r="H131" t="inlineStr">
        <is>
          <t>No</t>
        </is>
      </c>
      <c r="I131" t="inlineStr">
        <is>
          <t>No</t>
        </is>
      </c>
      <c r="J131" t="inlineStr">
        <is>
          <t>0</t>
        </is>
      </c>
      <c r="K131" t="inlineStr">
        <is>
          <t>Goyder, John.</t>
        </is>
      </c>
      <c r="L131" t="inlineStr">
        <is>
          <t>Boulder, Colo. : Westview Press, 1987.</t>
        </is>
      </c>
      <c r="M131" t="inlineStr">
        <is>
          <t>1987</t>
        </is>
      </c>
      <c r="O131" t="inlineStr">
        <is>
          <t>eng</t>
        </is>
      </c>
      <c r="P131" t="inlineStr">
        <is>
          <t>cou</t>
        </is>
      </c>
      <c r="R131" t="inlineStr">
        <is>
          <t xml:space="preserve">HN </t>
        </is>
      </c>
      <c r="S131" t="n">
        <v>2</v>
      </c>
      <c r="T131" t="n">
        <v>2</v>
      </c>
      <c r="U131" t="inlineStr">
        <is>
          <t>1994-05-06</t>
        </is>
      </c>
      <c r="V131" t="inlineStr">
        <is>
          <t>1994-05-06</t>
        </is>
      </c>
      <c r="W131" t="inlineStr">
        <is>
          <t>1992-09-24</t>
        </is>
      </c>
      <c r="X131" t="inlineStr">
        <is>
          <t>1992-09-24</t>
        </is>
      </c>
      <c r="Y131" t="n">
        <v>318</v>
      </c>
      <c r="Z131" t="n">
        <v>284</v>
      </c>
      <c r="AA131" t="n">
        <v>356</v>
      </c>
      <c r="AB131" t="n">
        <v>2</v>
      </c>
      <c r="AC131" t="n">
        <v>3</v>
      </c>
      <c r="AD131" t="n">
        <v>14</v>
      </c>
      <c r="AE131" t="n">
        <v>16</v>
      </c>
      <c r="AF131" t="n">
        <v>7</v>
      </c>
      <c r="AG131" t="n">
        <v>7</v>
      </c>
      <c r="AH131" t="n">
        <v>4</v>
      </c>
      <c r="AI131" t="n">
        <v>5</v>
      </c>
      <c r="AJ131" t="n">
        <v>8</v>
      </c>
      <c r="AK131" t="n">
        <v>9</v>
      </c>
      <c r="AL131" t="n">
        <v>1</v>
      </c>
      <c r="AM131" t="n">
        <v>2</v>
      </c>
      <c r="AN131" t="n">
        <v>0</v>
      </c>
      <c r="AO131" t="n">
        <v>0</v>
      </c>
      <c r="AP131" t="inlineStr">
        <is>
          <t>No</t>
        </is>
      </c>
      <c r="AQ131" t="inlineStr">
        <is>
          <t>Yes</t>
        </is>
      </c>
      <c r="AR131">
        <f>HYPERLINK("http://catalog.hathitrust.org/Record/000930640","HathiTrust Record")</f>
        <v/>
      </c>
      <c r="AS131">
        <f>HYPERLINK("https://creighton-primo.hosted.exlibrisgroup.com/primo-explore/search?tab=default_tab&amp;search_scope=EVERYTHING&amp;vid=01CRU&amp;lang=en_US&amp;offset=0&amp;query=any,contains,991001303819702656","Catalog Record")</f>
        <v/>
      </c>
      <c r="AT131">
        <f>HYPERLINK("http://www.worldcat.org/oclc/18082325","WorldCat Record")</f>
        <v/>
      </c>
      <c r="AU131" t="inlineStr">
        <is>
          <t>16866663:eng</t>
        </is>
      </c>
      <c r="AV131" t="inlineStr">
        <is>
          <t>18082325</t>
        </is>
      </c>
      <c r="AW131" t="inlineStr">
        <is>
          <t>991001303819702656</t>
        </is>
      </c>
      <c r="AX131" t="inlineStr">
        <is>
          <t>991001303819702656</t>
        </is>
      </c>
      <c r="AY131" t="inlineStr">
        <is>
          <t>2257919530002656</t>
        </is>
      </c>
      <c r="AZ131" t="inlineStr">
        <is>
          <t>BOOK</t>
        </is>
      </c>
      <c r="BB131" t="inlineStr">
        <is>
          <t>9780813305929</t>
        </is>
      </c>
      <c r="BC131" t="inlineStr">
        <is>
          <t>32285001269595</t>
        </is>
      </c>
      <c r="BD131" t="inlineStr">
        <is>
          <t>893903377</t>
        </is>
      </c>
    </row>
    <row r="132">
      <c r="A132" t="inlineStr">
        <is>
          <t>No</t>
        </is>
      </c>
      <c r="B132" t="inlineStr">
        <is>
          <t>HN29 .H294 1983</t>
        </is>
      </c>
      <c r="C132" t="inlineStr">
        <is>
          <t>0                      HN 0029000H  294         1983</t>
        </is>
      </c>
      <c r="D132" t="inlineStr">
        <is>
          <t>Handbook of survey research / edited by Peter H. Rossi, James D. Wright, Andy B. Anderson.</t>
        </is>
      </c>
      <c r="F132" t="inlineStr">
        <is>
          <t>No</t>
        </is>
      </c>
      <c r="G132" t="inlineStr">
        <is>
          <t>1</t>
        </is>
      </c>
      <c r="H132" t="inlineStr">
        <is>
          <t>No</t>
        </is>
      </c>
      <c r="I132" t="inlineStr">
        <is>
          <t>No</t>
        </is>
      </c>
      <c r="J132" t="inlineStr">
        <is>
          <t>0</t>
        </is>
      </c>
      <c r="L132" t="inlineStr">
        <is>
          <t>New York : Academic Press, c1983.</t>
        </is>
      </c>
      <c r="M132" t="inlineStr">
        <is>
          <t>1983</t>
        </is>
      </c>
      <c r="O132" t="inlineStr">
        <is>
          <t>eng</t>
        </is>
      </c>
      <c r="P132" t="inlineStr">
        <is>
          <t>nyu</t>
        </is>
      </c>
      <c r="Q132" t="inlineStr">
        <is>
          <t>Quantitative studies in social relations</t>
        </is>
      </c>
      <c r="R132" t="inlineStr">
        <is>
          <t xml:space="preserve">HN </t>
        </is>
      </c>
      <c r="S132" t="n">
        <v>18</v>
      </c>
      <c r="T132" t="n">
        <v>18</v>
      </c>
      <c r="U132" t="inlineStr">
        <is>
          <t>2007-04-12</t>
        </is>
      </c>
      <c r="V132" t="inlineStr">
        <is>
          <t>2007-04-12</t>
        </is>
      </c>
      <c r="W132" t="inlineStr">
        <is>
          <t>1992-04-14</t>
        </is>
      </c>
      <c r="X132" t="inlineStr">
        <is>
          <t>1992-04-14</t>
        </is>
      </c>
      <c r="Y132" t="n">
        <v>717</v>
      </c>
      <c r="Z132" t="n">
        <v>498</v>
      </c>
      <c r="AA132" t="n">
        <v>620</v>
      </c>
      <c r="AB132" t="n">
        <v>6</v>
      </c>
      <c r="AC132" t="n">
        <v>6</v>
      </c>
      <c r="AD132" t="n">
        <v>27</v>
      </c>
      <c r="AE132" t="n">
        <v>34</v>
      </c>
      <c r="AF132" t="n">
        <v>9</v>
      </c>
      <c r="AG132" t="n">
        <v>14</v>
      </c>
      <c r="AH132" t="n">
        <v>4</v>
      </c>
      <c r="AI132" t="n">
        <v>5</v>
      </c>
      <c r="AJ132" t="n">
        <v>14</v>
      </c>
      <c r="AK132" t="n">
        <v>16</v>
      </c>
      <c r="AL132" t="n">
        <v>5</v>
      </c>
      <c r="AM132" t="n">
        <v>5</v>
      </c>
      <c r="AN132" t="n">
        <v>0</v>
      </c>
      <c r="AO132" t="n">
        <v>0</v>
      </c>
      <c r="AP132" t="inlineStr">
        <is>
          <t>No</t>
        </is>
      </c>
      <c r="AQ132" t="inlineStr">
        <is>
          <t>Yes</t>
        </is>
      </c>
      <c r="AR132">
        <f>HYPERLINK("http://catalog.hathitrust.org/Record/000113624","HathiTrust Record")</f>
        <v/>
      </c>
      <c r="AS132">
        <f>HYPERLINK("https://creighton-primo.hosted.exlibrisgroup.com/primo-explore/search?tab=default_tab&amp;search_scope=EVERYTHING&amp;vid=01CRU&amp;lang=en_US&amp;offset=0&amp;query=any,contains,991000179209702656","Catalog Record")</f>
        <v/>
      </c>
      <c r="AT132">
        <f>HYPERLINK("http://www.worldcat.org/oclc/9371050","WorldCat Record")</f>
        <v/>
      </c>
      <c r="AU132" t="inlineStr">
        <is>
          <t>349953438:eng</t>
        </is>
      </c>
      <c r="AV132" t="inlineStr">
        <is>
          <t>9371050</t>
        </is>
      </c>
      <c r="AW132" t="inlineStr">
        <is>
          <t>991000179209702656</t>
        </is>
      </c>
      <c r="AX132" t="inlineStr">
        <is>
          <t>991000179209702656</t>
        </is>
      </c>
      <c r="AY132" t="inlineStr">
        <is>
          <t>2267014420002656</t>
        </is>
      </c>
      <c r="AZ132" t="inlineStr">
        <is>
          <t>BOOK</t>
        </is>
      </c>
      <c r="BB132" t="inlineStr">
        <is>
          <t>9780125982269</t>
        </is>
      </c>
      <c r="BC132" t="inlineStr">
        <is>
          <t>32285001060234</t>
        </is>
      </c>
      <c r="BD132" t="inlineStr">
        <is>
          <t>893784037</t>
        </is>
      </c>
    </row>
    <row r="133">
      <c r="A133" t="inlineStr">
        <is>
          <t>No</t>
        </is>
      </c>
      <c r="B133" t="inlineStr">
        <is>
          <t>HN29 .M3685 2003</t>
        </is>
      </c>
      <c r="C133" t="inlineStr">
        <is>
          <t>0                      HN 0029000M  3685        2003</t>
        </is>
      </c>
      <c r="D133" t="inlineStr">
        <is>
          <t>Critical systemic praxis for social and environmental justice : participatory policy design and governance for a global age / Janet McIntyre-Mills.</t>
        </is>
      </c>
      <c r="F133" t="inlineStr">
        <is>
          <t>No</t>
        </is>
      </c>
      <c r="G133" t="inlineStr">
        <is>
          <t>1</t>
        </is>
      </c>
      <c r="H133" t="inlineStr">
        <is>
          <t>No</t>
        </is>
      </c>
      <c r="I133" t="inlineStr">
        <is>
          <t>No</t>
        </is>
      </c>
      <c r="J133" t="inlineStr">
        <is>
          <t>0</t>
        </is>
      </c>
      <c r="K133" t="inlineStr">
        <is>
          <t>McIntyre-Mills, Janet J. (Janet Judy), 1959-</t>
        </is>
      </c>
      <c r="L133" t="inlineStr">
        <is>
          <t>New York : Kluwer Academic/Plenum Publishers, 2003.</t>
        </is>
      </c>
      <c r="M133" t="inlineStr">
        <is>
          <t>2003</t>
        </is>
      </c>
      <c r="O133" t="inlineStr">
        <is>
          <t>eng</t>
        </is>
      </c>
      <c r="P133" t="inlineStr">
        <is>
          <t>nyu</t>
        </is>
      </c>
      <c r="Q133" t="inlineStr">
        <is>
          <t>Contemporary systems thinking</t>
        </is>
      </c>
      <c r="R133" t="inlineStr">
        <is>
          <t xml:space="preserve">HN </t>
        </is>
      </c>
      <c r="S133" t="n">
        <v>3</v>
      </c>
      <c r="T133" t="n">
        <v>3</v>
      </c>
      <c r="U133" t="inlineStr">
        <is>
          <t>2006-04-04</t>
        </is>
      </c>
      <c r="V133" t="inlineStr">
        <is>
          <t>2006-04-04</t>
        </is>
      </c>
      <c r="W133" t="inlineStr">
        <is>
          <t>2004-07-22</t>
        </is>
      </c>
      <c r="X133" t="inlineStr">
        <is>
          <t>2004-07-22</t>
        </is>
      </c>
      <c r="Y133" t="n">
        <v>128</v>
      </c>
      <c r="Z133" t="n">
        <v>107</v>
      </c>
      <c r="AA133" t="n">
        <v>148</v>
      </c>
      <c r="AB133" t="n">
        <v>3</v>
      </c>
      <c r="AC133" t="n">
        <v>3</v>
      </c>
      <c r="AD133" t="n">
        <v>4</v>
      </c>
      <c r="AE133" t="n">
        <v>8</v>
      </c>
      <c r="AF133" t="n">
        <v>0</v>
      </c>
      <c r="AG133" t="n">
        <v>2</v>
      </c>
      <c r="AH133" t="n">
        <v>1</v>
      </c>
      <c r="AI133" t="n">
        <v>3</v>
      </c>
      <c r="AJ133" t="n">
        <v>2</v>
      </c>
      <c r="AK133" t="n">
        <v>4</v>
      </c>
      <c r="AL133" t="n">
        <v>2</v>
      </c>
      <c r="AM133" t="n">
        <v>2</v>
      </c>
      <c r="AN133" t="n">
        <v>0</v>
      </c>
      <c r="AO133" t="n">
        <v>1</v>
      </c>
      <c r="AP133" t="inlineStr">
        <is>
          <t>No</t>
        </is>
      </c>
      <c r="AQ133" t="inlineStr">
        <is>
          <t>No</t>
        </is>
      </c>
      <c r="AS133">
        <f>HYPERLINK("https://creighton-primo.hosted.exlibrisgroup.com/primo-explore/search?tab=default_tab&amp;search_scope=EVERYTHING&amp;vid=01CRU&amp;lang=en_US&amp;offset=0&amp;query=any,contains,991004312809702656","Catalog Record")</f>
        <v/>
      </c>
      <c r="AT133">
        <f>HYPERLINK("http://www.worldcat.org/oclc/53075907","WorldCat Record")</f>
        <v/>
      </c>
      <c r="AU133" t="inlineStr">
        <is>
          <t>969605891:eng</t>
        </is>
      </c>
      <c r="AV133" t="inlineStr">
        <is>
          <t>53075907</t>
        </is>
      </c>
      <c r="AW133" t="inlineStr">
        <is>
          <t>991004312809702656</t>
        </is>
      </c>
      <c r="AX133" t="inlineStr">
        <is>
          <t>991004312809702656</t>
        </is>
      </c>
      <c r="AY133" t="inlineStr">
        <is>
          <t>2269230200002656</t>
        </is>
      </c>
      <c r="AZ133" t="inlineStr">
        <is>
          <t>BOOK</t>
        </is>
      </c>
      <c r="BB133" t="inlineStr">
        <is>
          <t>9780306480744</t>
        </is>
      </c>
      <c r="BC133" t="inlineStr">
        <is>
          <t>32285004924964</t>
        </is>
      </c>
      <c r="BD133" t="inlineStr">
        <is>
          <t>893519483</t>
        </is>
      </c>
    </row>
    <row r="134">
      <c r="A134" t="inlineStr">
        <is>
          <t>No</t>
        </is>
      </c>
      <c r="B134" t="inlineStr">
        <is>
          <t>HN29 .M369 1987</t>
        </is>
      </c>
      <c r="C134" t="inlineStr">
        <is>
          <t>0                      HN 0029000M  369         1987</t>
        </is>
      </c>
      <c r="D134" t="inlineStr">
        <is>
          <t>Need analysis : tools for the human services and education / Jack McKillip.</t>
        </is>
      </c>
      <c r="F134" t="inlineStr">
        <is>
          <t>No</t>
        </is>
      </c>
      <c r="G134" t="inlineStr">
        <is>
          <t>1</t>
        </is>
      </c>
      <c r="H134" t="inlineStr">
        <is>
          <t>No</t>
        </is>
      </c>
      <c r="I134" t="inlineStr">
        <is>
          <t>No</t>
        </is>
      </c>
      <c r="J134" t="inlineStr">
        <is>
          <t>0</t>
        </is>
      </c>
      <c r="K134" t="inlineStr">
        <is>
          <t>McKillip, Jack.</t>
        </is>
      </c>
      <c r="L134" t="inlineStr">
        <is>
          <t>Beverly Hills, Calif. : Sage Publications, c1987.</t>
        </is>
      </c>
      <c r="M134" t="inlineStr">
        <is>
          <t>1986</t>
        </is>
      </c>
      <c r="O134" t="inlineStr">
        <is>
          <t>eng</t>
        </is>
      </c>
      <c r="P134" t="inlineStr">
        <is>
          <t>cau</t>
        </is>
      </c>
      <c r="Q134" t="inlineStr">
        <is>
          <t>Applied social research methods series ; v. 10</t>
        </is>
      </c>
      <c r="R134" t="inlineStr">
        <is>
          <t xml:space="preserve">HN </t>
        </is>
      </c>
      <c r="S134" t="n">
        <v>6</v>
      </c>
      <c r="T134" t="n">
        <v>6</v>
      </c>
      <c r="U134" t="inlineStr">
        <is>
          <t>2001-05-03</t>
        </is>
      </c>
      <c r="V134" t="inlineStr">
        <is>
          <t>2001-05-03</t>
        </is>
      </c>
      <c r="W134" t="inlineStr">
        <is>
          <t>1992-09-24</t>
        </is>
      </c>
      <c r="X134" t="inlineStr">
        <is>
          <t>1992-09-24</t>
        </is>
      </c>
      <c r="Y134" t="n">
        <v>654</v>
      </c>
      <c r="Z134" t="n">
        <v>482</v>
      </c>
      <c r="AA134" t="n">
        <v>530</v>
      </c>
      <c r="AB134" t="n">
        <v>6</v>
      </c>
      <c r="AC134" t="n">
        <v>6</v>
      </c>
      <c r="AD134" t="n">
        <v>28</v>
      </c>
      <c r="AE134" t="n">
        <v>28</v>
      </c>
      <c r="AF134" t="n">
        <v>12</v>
      </c>
      <c r="AG134" t="n">
        <v>12</v>
      </c>
      <c r="AH134" t="n">
        <v>4</v>
      </c>
      <c r="AI134" t="n">
        <v>4</v>
      </c>
      <c r="AJ134" t="n">
        <v>14</v>
      </c>
      <c r="AK134" t="n">
        <v>14</v>
      </c>
      <c r="AL134" t="n">
        <v>5</v>
      </c>
      <c r="AM134" t="n">
        <v>5</v>
      </c>
      <c r="AN134" t="n">
        <v>0</v>
      </c>
      <c r="AO134" t="n">
        <v>0</v>
      </c>
      <c r="AP134" t="inlineStr">
        <is>
          <t>No</t>
        </is>
      </c>
      <c r="AQ134" t="inlineStr">
        <is>
          <t>Yes</t>
        </is>
      </c>
      <c r="AR134">
        <f>HYPERLINK("http://catalog.hathitrust.org/Record/000853995","HathiTrust Record")</f>
        <v/>
      </c>
      <c r="AS134">
        <f>HYPERLINK("https://creighton-primo.hosted.exlibrisgroup.com/primo-explore/search?tab=default_tab&amp;search_scope=EVERYTHING&amp;vid=01CRU&amp;lang=en_US&amp;offset=0&amp;query=any,contains,991000872449702656","Catalog Record")</f>
        <v/>
      </c>
      <c r="AT134">
        <f>HYPERLINK("http://www.worldcat.org/oclc/13793859","WorldCat Record")</f>
        <v/>
      </c>
      <c r="AU134" t="inlineStr">
        <is>
          <t>281659710:eng</t>
        </is>
      </c>
      <c r="AV134" t="inlineStr">
        <is>
          <t>13793859</t>
        </is>
      </c>
      <c r="AW134" t="inlineStr">
        <is>
          <t>991000872449702656</t>
        </is>
      </c>
      <c r="AX134" t="inlineStr">
        <is>
          <t>991000872449702656</t>
        </is>
      </c>
      <c r="AY134" t="inlineStr">
        <is>
          <t>2272114660002656</t>
        </is>
      </c>
      <c r="AZ134" t="inlineStr">
        <is>
          <t>BOOK</t>
        </is>
      </c>
      <c r="BB134" t="inlineStr">
        <is>
          <t>9780803926486</t>
        </is>
      </c>
      <c r="BC134" t="inlineStr">
        <is>
          <t>32285001269603</t>
        </is>
      </c>
      <c r="BD134" t="inlineStr">
        <is>
          <t>893608351</t>
        </is>
      </c>
    </row>
    <row r="135">
      <c r="A135" t="inlineStr">
        <is>
          <t>No</t>
        </is>
      </c>
      <c r="B135" t="inlineStr">
        <is>
          <t>HN29 .N39 1996</t>
        </is>
      </c>
      <c r="C135" t="inlineStr">
        <is>
          <t>0                      HN 0029000N  39          1996</t>
        </is>
      </c>
      <c r="D135" t="inlineStr">
        <is>
          <t>Needs assessment : a creative and practical guide for social scientists / edited by Rebecca Reviere ... [et al.].</t>
        </is>
      </c>
      <c r="F135" t="inlineStr">
        <is>
          <t>No</t>
        </is>
      </c>
      <c r="G135" t="inlineStr">
        <is>
          <t>1</t>
        </is>
      </c>
      <c r="H135" t="inlineStr">
        <is>
          <t>No</t>
        </is>
      </c>
      <c r="I135" t="inlineStr">
        <is>
          <t>No</t>
        </is>
      </c>
      <c r="J135" t="inlineStr">
        <is>
          <t>0</t>
        </is>
      </c>
      <c r="L135" t="inlineStr">
        <is>
          <t>Washington, D.C. : Taylor &amp; Francis, c1996.</t>
        </is>
      </c>
      <c r="M135" t="inlineStr">
        <is>
          <t>1996</t>
        </is>
      </c>
      <c r="O135" t="inlineStr">
        <is>
          <t>eng</t>
        </is>
      </c>
      <c r="P135" t="inlineStr">
        <is>
          <t>dcu</t>
        </is>
      </c>
      <c r="R135" t="inlineStr">
        <is>
          <t xml:space="preserve">HN </t>
        </is>
      </c>
      <c r="S135" t="n">
        <v>3</v>
      </c>
      <c r="T135" t="n">
        <v>3</v>
      </c>
      <c r="U135" t="inlineStr">
        <is>
          <t>2003-01-20</t>
        </is>
      </c>
      <c r="V135" t="inlineStr">
        <is>
          <t>2003-01-20</t>
        </is>
      </c>
      <c r="W135" t="inlineStr">
        <is>
          <t>2001-03-27</t>
        </is>
      </c>
      <c r="X135" t="inlineStr">
        <is>
          <t>2001-03-27</t>
        </is>
      </c>
      <c r="Y135" t="n">
        <v>257</v>
      </c>
      <c r="Z135" t="n">
        <v>185</v>
      </c>
      <c r="AA135" t="n">
        <v>206</v>
      </c>
      <c r="AB135" t="n">
        <v>3</v>
      </c>
      <c r="AC135" t="n">
        <v>3</v>
      </c>
      <c r="AD135" t="n">
        <v>7</v>
      </c>
      <c r="AE135" t="n">
        <v>7</v>
      </c>
      <c r="AF135" t="n">
        <v>1</v>
      </c>
      <c r="AG135" t="n">
        <v>1</v>
      </c>
      <c r="AH135" t="n">
        <v>3</v>
      </c>
      <c r="AI135" t="n">
        <v>3</v>
      </c>
      <c r="AJ135" t="n">
        <v>3</v>
      </c>
      <c r="AK135" t="n">
        <v>3</v>
      </c>
      <c r="AL135" t="n">
        <v>2</v>
      </c>
      <c r="AM135" t="n">
        <v>2</v>
      </c>
      <c r="AN135" t="n">
        <v>0</v>
      </c>
      <c r="AO135" t="n">
        <v>0</v>
      </c>
      <c r="AP135" t="inlineStr">
        <is>
          <t>No</t>
        </is>
      </c>
      <c r="AQ135" t="inlineStr">
        <is>
          <t>No</t>
        </is>
      </c>
      <c r="AS135">
        <f>HYPERLINK("https://creighton-primo.hosted.exlibrisgroup.com/primo-explore/search?tab=default_tab&amp;search_scope=EVERYTHING&amp;vid=01CRU&amp;lang=en_US&amp;offset=0&amp;query=any,contains,991003474269702656","Catalog Record")</f>
        <v/>
      </c>
      <c r="AT135">
        <f>HYPERLINK("http://www.worldcat.org/oclc/34731088","WorldCat Record")</f>
        <v/>
      </c>
      <c r="AU135" t="inlineStr">
        <is>
          <t>836965583:eng</t>
        </is>
      </c>
      <c r="AV135" t="inlineStr">
        <is>
          <t>34731088</t>
        </is>
      </c>
      <c r="AW135" t="inlineStr">
        <is>
          <t>991003474269702656</t>
        </is>
      </c>
      <c r="AX135" t="inlineStr">
        <is>
          <t>991003474269702656</t>
        </is>
      </c>
      <c r="AY135" t="inlineStr">
        <is>
          <t>2268455800002656</t>
        </is>
      </c>
      <c r="AZ135" t="inlineStr">
        <is>
          <t>BOOK</t>
        </is>
      </c>
      <c r="BB135" t="inlineStr">
        <is>
          <t>9781560323754</t>
        </is>
      </c>
      <c r="BC135" t="inlineStr">
        <is>
          <t>32285004307525</t>
        </is>
      </c>
      <c r="BD135" t="inlineStr">
        <is>
          <t>893422599</t>
        </is>
      </c>
    </row>
    <row r="136">
      <c r="A136" t="inlineStr">
        <is>
          <t>No</t>
        </is>
      </c>
      <c r="B136" t="inlineStr">
        <is>
          <t>HN29 .N46 1998</t>
        </is>
      </c>
      <c r="C136" t="inlineStr">
        <is>
          <t>0                      HN 0029000N  46          1998</t>
        </is>
      </c>
      <c r="D136" t="inlineStr">
        <is>
          <t>Conducting survey research in the social science / Isadore Newman, Keith McNeil.</t>
        </is>
      </c>
      <c r="F136" t="inlineStr">
        <is>
          <t>No</t>
        </is>
      </c>
      <c r="G136" t="inlineStr">
        <is>
          <t>1</t>
        </is>
      </c>
      <c r="H136" t="inlineStr">
        <is>
          <t>No</t>
        </is>
      </c>
      <c r="I136" t="inlineStr">
        <is>
          <t>No</t>
        </is>
      </c>
      <c r="J136" t="inlineStr">
        <is>
          <t>0</t>
        </is>
      </c>
      <c r="K136" t="inlineStr">
        <is>
          <t>Newman, Isadore.</t>
        </is>
      </c>
      <c r="L136" t="inlineStr">
        <is>
          <t>Lanham, Md. : University Press of America, c1998.</t>
        </is>
      </c>
      <c r="M136" t="inlineStr">
        <is>
          <t>1998</t>
        </is>
      </c>
      <c r="O136" t="inlineStr">
        <is>
          <t>eng</t>
        </is>
      </c>
      <c r="P136" t="inlineStr">
        <is>
          <t>mdu</t>
        </is>
      </c>
      <c r="R136" t="inlineStr">
        <is>
          <t xml:space="preserve">HN </t>
        </is>
      </c>
      <c r="S136" t="n">
        <v>2</v>
      </c>
      <c r="T136" t="n">
        <v>2</v>
      </c>
      <c r="U136" t="inlineStr">
        <is>
          <t>2000-03-28</t>
        </is>
      </c>
      <c r="V136" t="inlineStr">
        <is>
          <t>2000-03-28</t>
        </is>
      </c>
      <c r="W136" t="inlineStr">
        <is>
          <t>1999-01-05</t>
        </is>
      </c>
      <c r="X136" t="inlineStr">
        <is>
          <t>1999-01-05</t>
        </is>
      </c>
      <c r="Y136" t="n">
        <v>236</v>
      </c>
      <c r="Z136" t="n">
        <v>203</v>
      </c>
      <c r="AA136" t="n">
        <v>208</v>
      </c>
      <c r="AB136" t="n">
        <v>3</v>
      </c>
      <c r="AC136" t="n">
        <v>3</v>
      </c>
      <c r="AD136" t="n">
        <v>7</v>
      </c>
      <c r="AE136" t="n">
        <v>7</v>
      </c>
      <c r="AF136" t="n">
        <v>3</v>
      </c>
      <c r="AG136" t="n">
        <v>3</v>
      </c>
      <c r="AH136" t="n">
        <v>2</v>
      </c>
      <c r="AI136" t="n">
        <v>2</v>
      </c>
      <c r="AJ136" t="n">
        <v>2</v>
      </c>
      <c r="AK136" t="n">
        <v>2</v>
      </c>
      <c r="AL136" t="n">
        <v>2</v>
      </c>
      <c r="AM136" t="n">
        <v>2</v>
      </c>
      <c r="AN136" t="n">
        <v>0</v>
      </c>
      <c r="AO136" t="n">
        <v>0</v>
      </c>
      <c r="AP136" t="inlineStr">
        <is>
          <t>No</t>
        </is>
      </c>
      <c r="AQ136" t="inlineStr">
        <is>
          <t>No</t>
        </is>
      </c>
      <c r="AS136">
        <f>HYPERLINK("https://creighton-primo.hosted.exlibrisgroup.com/primo-explore/search?tab=default_tab&amp;search_scope=EVERYTHING&amp;vid=01CRU&amp;lang=en_US&amp;offset=0&amp;query=any,contains,991005429099702656","Catalog Record")</f>
        <v/>
      </c>
      <c r="AT136">
        <f>HYPERLINK("http://www.worldcat.org/oclc/39458947","WorldCat Record")</f>
        <v/>
      </c>
      <c r="AU136" t="inlineStr">
        <is>
          <t>41587274:eng</t>
        </is>
      </c>
      <c r="AV136" t="inlineStr">
        <is>
          <t>39458947</t>
        </is>
      </c>
      <c r="AW136" t="inlineStr">
        <is>
          <t>991005429099702656</t>
        </is>
      </c>
      <c r="AX136" t="inlineStr">
        <is>
          <t>991005429099702656</t>
        </is>
      </c>
      <c r="AY136" t="inlineStr">
        <is>
          <t>2262932270002656</t>
        </is>
      </c>
      <c r="AZ136" t="inlineStr">
        <is>
          <t>BOOK</t>
        </is>
      </c>
      <c r="BB136" t="inlineStr">
        <is>
          <t>9780761812272</t>
        </is>
      </c>
      <c r="BC136" t="inlineStr">
        <is>
          <t>32285003509212</t>
        </is>
      </c>
      <c r="BD136" t="inlineStr">
        <is>
          <t>893339081</t>
        </is>
      </c>
    </row>
    <row r="137">
      <c r="A137" t="inlineStr">
        <is>
          <t>No</t>
        </is>
      </c>
      <c r="B137" t="inlineStr">
        <is>
          <t>HN29 .Q47 1992</t>
        </is>
      </c>
      <c r="C137" t="inlineStr">
        <is>
          <t>0                      HN 0029000Q  47          1992</t>
        </is>
      </c>
      <c r="D137" t="inlineStr">
        <is>
          <t>Questions about questions : inquiries into the coqnitive bases of surveys / Judith M. Tanur, editor.</t>
        </is>
      </c>
      <c r="F137" t="inlineStr">
        <is>
          <t>No</t>
        </is>
      </c>
      <c r="G137" t="inlineStr">
        <is>
          <t>1</t>
        </is>
      </c>
      <c r="H137" t="inlineStr">
        <is>
          <t>No</t>
        </is>
      </c>
      <c r="I137" t="inlineStr">
        <is>
          <t>No</t>
        </is>
      </c>
      <c r="J137" t="inlineStr">
        <is>
          <t>0</t>
        </is>
      </c>
      <c r="L137" t="inlineStr">
        <is>
          <t>New York : Russell Sage Foundation, c1992.</t>
        </is>
      </c>
      <c r="M137" t="inlineStr">
        <is>
          <t>1992</t>
        </is>
      </c>
      <c r="O137" t="inlineStr">
        <is>
          <t>eng</t>
        </is>
      </c>
      <c r="P137" t="inlineStr">
        <is>
          <t>nyu</t>
        </is>
      </c>
      <c r="R137" t="inlineStr">
        <is>
          <t xml:space="preserve">HN </t>
        </is>
      </c>
      <c r="S137" t="n">
        <v>4</v>
      </c>
      <c r="T137" t="n">
        <v>4</v>
      </c>
      <c r="U137" t="inlineStr">
        <is>
          <t>2004-02-24</t>
        </is>
      </c>
      <c r="V137" t="inlineStr">
        <is>
          <t>2004-02-24</t>
        </is>
      </c>
      <c r="W137" t="inlineStr">
        <is>
          <t>1994-11-07</t>
        </is>
      </c>
      <c r="X137" t="inlineStr">
        <is>
          <t>1994-11-07</t>
        </is>
      </c>
      <c r="Y137" t="n">
        <v>416</v>
      </c>
      <c r="Z137" t="n">
        <v>316</v>
      </c>
      <c r="AA137" t="n">
        <v>426</v>
      </c>
      <c r="AB137" t="n">
        <v>4</v>
      </c>
      <c r="AC137" t="n">
        <v>4</v>
      </c>
      <c r="AD137" t="n">
        <v>17</v>
      </c>
      <c r="AE137" t="n">
        <v>23</v>
      </c>
      <c r="AF137" t="n">
        <v>4</v>
      </c>
      <c r="AG137" t="n">
        <v>10</v>
      </c>
      <c r="AH137" t="n">
        <v>4</v>
      </c>
      <c r="AI137" t="n">
        <v>5</v>
      </c>
      <c r="AJ137" t="n">
        <v>11</v>
      </c>
      <c r="AK137" t="n">
        <v>13</v>
      </c>
      <c r="AL137" t="n">
        <v>3</v>
      </c>
      <c r="AM137" t="n">
        <v>3</v>
      </c>
      <c r="AN137" t="n">
        <v>0</v>
      </c>
      <c r="AO137" t="n">
        <v>0</v>
      </c>
      <c r="AP137" t="inlineStr">
        <is>
          <t>No</t>
        </is>
      </c>
      <c r="AQ137" t="inlineStr">
        <is>
          <t>No</t>
        </is>
      </c>
      <c r="AS137">
        <f>HYPERLINK("https://creighton-primo.hosted.exlibrisgroup.com/primo-explore/search?tab=default_tab&amp;search_scope=EVERYTHING&amp;vid=01CRU&amp;lang=en_US&amp;offset=0&amp;query=any,contains,991001883479702656","Catalog Record")</f>
        <v/>
      </c>
      <c r="AT137">
        <f>HYPERLINK("http://www.worldcat.org/oclc/23765743","WorldCat Record")</f>
        <v/>
      </c>
      <c r="AU137" t="inlineStr">
        <is>
          <t>865284807:eng</t>
        </is>
      </c>
      <c r="AV137" t="inlineStr">
        <is>
          <t>23765743</t>
        </is>
      </c>
      <c r="AW137" t="inlineStr">
        <is>
          <t>991001883479702656</t>
        </is>
      </c>
      <c r="AX137" t="inlineStr">
        <is>
          <t>991001883479702656</t>
        </is>
      </c>
      <c r="AY137" t="inlineStr">
        <is>
          <t>2269106560002656</t>
        </is>
      </c>
      <c r="AZ137" t="inlineStr">
        <is>
          <t>BOOK</t>
        </is>
      </c>
      <c r="BB137" t="inlineStr">
        <is>
          <t>9780871548429</t>
        </is>
      </c>
      <c r="BC137" t="inlineStr">
        <is>
          <t>32285001956563</t>
        </is>
      </c>
      <c r="BD137" t="inlineStr">
        <is>
          <t>893334685</t>
        </is>
      </c>
    </row>
    <row r="138">
      <c r="A138" t="inlineStr">
        <is>
          <t>No</t>
        </is>
      </c>
      <c r="B138" t="inlineStr">
        <is>
          <t>HN29 .S334 2008</t>
        </is>
      </c>
      <c r="C138" t="inlineStr">
        <is>
          <t>0                      HN 0029000S  334         2008</t>
        </is>
      </c>
      <c r="D138" t="inlineStr">
        <is>
          <t>Method and meaning in polls and surveys / Howard Schuman.</t>
        </is>
      </c>
      <c r="F138" t="inlineStr">
        <is>
          <t>No</t>
        </is>
      </c>
      <c r="G138" t="inlineStr">
        <is>
          <t>1</t>
        </is>
      </c>
      <c r="H138" t="inlineStr">
        <is>
          <t>No</t>
        </is>
      </c>
      <c r="I138" t="inlineStr">
        <is>
          <t>No</t>
        </is>
      </c>
      <c r="J138" t="inlineStr">
        <is>
          <t>0</t>
        </is>
      </c>
      <c r="K138" t="inlineStr">
        <is>
          <t>Schuman, Howard.</t>
        </is>
      </c>
      <c r="L138" t="inlineStr">
        <is>
          <t>Cambridge, Mass. : Harvard University Press, 2008.</t>
        </is>
      </c>
      <c r="M138" t="inlineStr">
        <is>
          <t>2008</t>
        </is>
      </c>
      <c r="O138" t="inlineStr">
        <is>
          <t>eng</t>
        </is>
      </c>
      <c r="P138" t="inlineStr">
        <is>
          <t>mau</t>
        </is>
      </c>
      <c r="R138" t="inlineStr">
        <is>
          <t xml:space="preserve">HN </t>
        </is>
      </c>
      <c r="S138" t="n">
        <v>1</v>
      </c>
      <c r="T138" t="n">
        <v>1</v>
      </c>
      <c r="U138" t="inlineStr">
        <is>
          <t>2009-05-05</t>
        </is>
      </c>
      <c r="V138" t="inlineStr">
        <is>
          <t>2009-05-05</t>
        </is>
      </c>
      <c r="W138" t="inlineStr">
        <is>
          <t>2009-05-05</t>
        </is>
      </c>
      <c r="X138" t="inlineStr">
        <is>
          <t>2009-05-05</t>
        </is>
      </c>
      <c r="Y138" t="n">
        <v>717</v>
      </c>
      <c r="Z138" t="n">
        <v>601</v>
      </c>
      <c r="AA138" t="n">
        <v>617</v>
      </c>
      <c r="AB138" t="n">
        <v>6</v>
      </c>
      <c r="AC138" t="n">
        <v>6</v>
      </c>
      <c r="AD138" t="n">
        <v>36</v>
      </c>
      <c r="AE138" t="n">
        <v>36</v>
      </c>
      <c r="AF138" t="n">
        <v>16</v>
      </c>
      <c r="AG138" t="n">
        <v>16</v>
      </c>
      <c r="AH138" t="n">
        <v>8</v>
      </c>
      <c r="AI138" t="n">
        <v>8</v>
      </c>
      <c r="AJ138" t="n">
        <v>13</v>
      </c>
      <c r="AK138" t="n">
        <v>13</v>
      </c>
      <c r="AL138" t="n">
        <v>5</v>
      </c>
      <c r="AM138" t="n">
        <v>5</v>
      </c>
      <c r="AN138" t="n">
        <v>0</v>
      </c>
      <c r="AO138" t="n">
        <v>0</v>
      </c>
      <c r="AP138" t="inlineStr">
        <is>
          <t>No</t>
        </is>
      </c>
      <c r="AQ138" t="inlineStr">
        <is>
          <t>No</t>
        </is>
      </c>
      <c r="AS138">
        <f>HYPERLINK("https://creighton-primo.hosted.exlibrisgroup.com/primo-explore/search?tab=default_tab&amp;search_scope=EVERYTHING&amp;vid=01CRU&amp;lang=en_US&amp;offset=0&amp;query=any,contains,991005313859702656","Catalog Record")</f>
        <v/>
      </c>
      <c r="AT138">
        <f>HYPERLINK("http://www.worldcat.org/oclc/179801124","WorldCat Record")</f>
        <v/>
      </c>
      <c r="AU138" t="inlineStr">
        <is>
          <t>115651335:eng</t>
        </is>
      </c>
      <c r="AV138" t="inlineStr">
        <is>
          <t>179801124</t>
        </is>
      </c>
      <c r="AW138" t="inlineStr">
        <is>
          <t>991005313859702656</t>
        </is>
      </c>
      <c r="AX138" t="inlineStr">
        <is>
          <t>991005313859702656</t>
        </is>
      </c>
      <c r="AY138" t="inlineStr">
        <is>
          <t>2256992980002656</t>
        </is>
      </c>
      <c r="AZ138" t="inlineStr">
        <is>
          <t>BOOK</t>
        </is>
      </c>
      <c r="BB138" t="inlineStr">
        <is>
          <t>9780674028272</t>
        </is>
      </c>
      <c r="BC138" t="inlineStr">
        <is>
          <t>32285005531040</t>
        </is>
      </c>
      <c r="BD138" t="inlineStr">
        <is>
          <t>893443754</t>
        </is>
      </c>
    </row>
    <row r="139">
      <c r="A139" t="inlineStr">
        <is>
          <t>No</t>
        </is>
      </c>
      <c r="B139" t="inlineStr">
        <is>
          <t>HN29 .S688 1976</t>
        </is>
      </c>
      <c r="C139" t="inlineStr">
        <is>
          <t>0                      HN 0029000S  688         1976</t>
        </is>
      </c>
      <c r="D139" t="inlineStr">
        <is>
          <t>Applied sampling / Seymour Sudman.</t>
        </is>
      </c>
      <c r="F139" t="inlineStr">
        <is>
          <t>No</t>
        </is>
      </c>
      <c r="G139" t="inlineStr">
        <is>
          <t>1</t>
        </is>
      </c>
      <c r="H139" t="inlineStr">
        <is>
          <t>No</t>
        </is>
      </c>
      <c r="I139" t="inlineStr">
        <is>
          <t>No</t>
        </is>
      </c>
      <c r="J139" t="inlineStr">
        <is>
          <t>0</t>
        </is>
      </c>
      <c r="K139" t="inlineStr">
        <is>
          <t>Sudman, Seymour.</t>
        </is>
      </c>
      <c r="L139" t="inlineStr">
        <is>
          <t>New York : Academic Press, c1976.</t>
        </is>
      </c>
      <c r="M139" t="inlineStr">
        <is>
          <t>1976</t>
        </is>
      </c>
      <c r="O139" t="inlineStr">
        <is>
          <t>eng</t>
        </is>
      </c>
      <c r="P139" t="inlineStr">
        <is>
          <t>nyu</t>
        </is>
      </c>
      <c r="Q139" t="inlineStr">
        <is>
          <t>Quantitative studies in social relations</t>
        </is>
      </c>
      <c r="R139" t="inlineStr">
        <is>
          <t xml:space="preserve">HN </t>
        </is>
      </c>
      <c r="S139" t="n">
        <v>4</v>
      </c>
      <c r="T139" t="n">
        <v>4</v>
      </c>
      <c r="U139" t="inlineStr">
        <is>
          <t>1995-03-15</t>
        </is>
      </c>
      <c r="V139" t="inlineStr">
        <is>
          <t>1995-03-15</t>
        </is>
      </c>
      <c r="W139" t="inlineStr">
        <is>
          <t>1991-01-15</t>
        </is>
      </c>
      <c r="X139" t="inlineStr">
        <is>
          <t>1991-01-15</t>
        </is>
      </c>
      <c r="Y139" t="n">
        <v>750</v>
      </c>
      <c r="Z139" t="n">
        <v>534</v>
      </c>
      <c r="AA139" t="n">
        <v>541</v>
      </c>
      <c r="AB139" t="n">
        <v>4</v>
      </c>
      <c r="AC139" t="n">
        <v>4</v>
      </c>
      <c r="AD139" t="n">
        <v>21</v>
      </c>
      <c r="AE139" t="n">
        <v>21</v>
      </c>
      <c r="AF139" t="n">
        <v>3</v>
      </c>
      <c r="AG139" t="n">
        <v>3</v>
      </c>
      <c r="AH139" t="n">
        <v>7</v>
      </c>
      <c r="AI139" t="n">
        <v>7</v>
      </c>
      <c r="AJ139" t="n">
        <v>14</v>
      </c>
      <c r="AK139" t="n">
        <v>14</v>
      </c>
      <c r="AL139" t="n">
        <v>2</v>
      </c>
      <c r="AM139" t="n">
        <v>2</v>
      </c>
      <c r="AN139" t="n">
        <v>0</v>
      </c>
      <c r="AO139" t="n">
        <v>0</v>
      </c>
      <c r="AP139" t="inlineStr">
        <is>
          <t>No</t>
        </is>
      </c>
      <c r="AQ139" t="inlineStr">
        <is>
          <t>Yes</t>
        </is>
      </c>
      <c r="AR139">
        <f>HYPERLINK("http://catalog.hathitrust.org/Record/000693359","HathiTrust Record")</f>
        <v/>
      </c>
      <c r="AS139">
        <f>HYPERLINK("https://creighton-primo.hosted.exlibrisgroup.com/primo-explore/search?tab=default_tab&amp;search_scope=EVERYTHING&amp;vid=01CRU&amp;lang=en_US&amp;offset=0&amp;query=any,contains,991003914729702656","Catalog Record")</f>
        <v/>
      </c>
      <c r="AT139">
        <f>HYPERLINK("http://www.worldcat.org/oclc/1858371","WorldCat Record")</f>
        <v/>
      </c>
      <c r="AU139" t="inlineStr">
        <is>
          <t>409863:eng</t>
        </is>
      </c>
      <c r="AV139" t="inlineStr">
        <is>
          <t>1858371</t>
        </is>
      </c>
      <c r="AW139" t="inlineStr">
        <is>
          <t>991003914729702656</t>
        </is>
      </c>
      <c r="AX139" t="inlineStr">
        <is>
          <t>991003914729702656</t>
        </is>
      </c>
      <c r="AY139" t="inlineStr">
        <is>
          <t>2266803500002656</t>
        </is>
      </c>
      <c r="AZ139" t="inlineStr">
        <is>
          <t>BOOK</t>
        </is>
      </c>
      <c r="BB139" t="inlineStr">
        <is>
          <t>9780126757507</t>
        </is>
      </c>
      <c r="BC139" t="inlineStr">
        <is>
          <t>32285000428655</t>
        </is>
      </c>
      <c r="BD139" t="inlineStr">
        <is>
          <t>893693314</t>
        </is>
      </c>
    </row>
    <row r="140">
      <c r="A140" t="inlineStr">
        <is>
          <t>No</t>
        </is>
      </c>
      <c r="B140" t="inlineStr">
        <is>
          <t>HN29 .S724 2003</t>
        </is>
      </c>
      <c r="C140" t="inlineStr">
        <is>
          <t>0                      HN 0029000S  724         2003</t>
        </is>
      </c>
      <c r="D140" t="inlineStr">
        <is>
          <t>The survey kit.</t>
        </is>
      </c>
      <c r="E140" t="inlineStr">
        <is>
          <t>V. 1</t>
        </is>
      </c>
      <c r="F140" t="inlineStr">
        <is>
          <t>Yes</t>
        </is>
      </c>
      <c r="G140" t="inlineStr">
        <is>
          <t>1</t>
        </is>
      </c>
      <c r="H140" t="inlineStr">
        <is>
          <t>No</t>
        </is>
      </c>
      <c r="I140" t="inlineStr">
        <is>
          <t>No</t>
        </is>
      </c>
      <c r="J140" t="inlineStr">
        <is>
          <t>0</t>
        </is>
      </c>
      <c r="L140" t="inlineStr">
        <is>
          <t>Thousand Oaks, Calif. : Sage Publications, c2003.</t>
        </is>
      </c>
      <c r="M140" t="inlineStr">
        <is>
          <t>2003</t>
        </is>
      </c>
      <c r="N140" t="inlineStr">
        <is>
          <t>2nd ed.</t>
        </is>
      </c>
      <c r="O140" t="inlineStr">
        <is>
          <t>eng</t>
        </is>
      </c>
      <c r="P140" t="inlineStr">
        <is>
          <t>cau</t>
        </is>
      </c>
      <c r="R140" t="inlineStr">
        <is>
          <t xml:space="preserve">HN </t>
        </is>
      </c>
      <c r="S140" t="n">
        <v>1</v>
      </c>
      <c r="T140" t="n">
        <v>1</v>
      </c>
      <c r="U140" t="inlineStr">
        <is>
          <t>2007-04-30</t>
        </is>
      </c>
      <c r="V140" t="inlineStr">
        <is>
          <t>2007-04-30</t>
        </is>
      </c>
      <c r="W140" t="inlineStr">
        <is>
          <t>2007-04-30</t>
        </is>
      </c>
      <c r="X140" t="inlineStr">
        <is>
          <t>2007-04-30</t>
        </is>
      </c>
      <c r="Y140" t="n">
        <v>691</v>
      </c>
      <c r="Z140" t="n">
        <v>530</v>
      </c>
      <c r="AA140" t="n">
        <v>575</v>
      </c>
      <c r="AB140" t="n">
        <v>6</v>
      </c>
      <c r="AC140" t="n">
        <v>6</v>
      </c>
      <c r="AD140" t="n">
        <v>29</v>
      </c>
      <c r="AE140" t="n">
        <v>31</v>
      </c>
      <c r="AF140" t="n">
        <v>16</v>
      </c>
      <c r="AG140" t="n">
        <v>17</v>
      </c>
      <c r="AH140" t="n">
        <v>2</v>
      </c>
      <c r="AI140" t="n">
        <v>2</v>
      </c>
      <c r="AJ140" t="n">
        <v>12</v>
      </c>
      <c r="AK140" t="n">
        <v>13</v>
      </c>
      <c r="AL140" t="n">
        <v>5</v>
      </c>
      <c r="AM140" t="n">
        <v>5</v>
      </c>
      <c r="AN140" t="n">
        <v>0</v>
      </c>
      <c r="AO140" t="n">
        <v>0</v>
      </c>
      <c r="AP140" t="inlineStr">
        <is>
          <t>No</t>
        </is>
      </c>
      <c r="AQ140" t="inlineStr">
        <is>
          <t>Yes</t>
        </is>
      </c>
      <c r="AR140">
        <f>HYPERLINK("http://catalog.hathitrust.org/Record/004303835","HathiTrust Record")</f>
        <v/>
      </c>
      <c r="AS140">
        <f>HYPERLINK("https://creighton-primo.hosted.exlibrisgroup.com/primo-explore/search?tab=default_tab&amp;search_scope=EVERYTHING&amp;vid=01CRU&amp;lang=en_US&amp;offset=0&amp;query=any,contains,991005059159702656","Catalog Record")</f>
        <v/>
      </c>
      <c r="AT140">
        <f>HYPERLINK("http://www.worldcat.org/oclc/50323061","WorldCat Record")</f>
        <v/>
      </c>
      <c r="AU140" t="inlineStr">
        <is>
          <t>221745:eng</t>
        </is>
      </c>
      <c r="AV140" t="inlineStr">
        <is>
          <t>50323061</t>
        </is>
      </c>
      <c r="AW140" t="inlineStr">
        <is>
          <t>991005059159702656</t>
        </is>
      </c>
      <c r="AX140" t="inlineStr">
        <is>
          <t>991005059159702656</t>
        </is>
      </c>
      <c r="AY140" t="inlineStr">
        <is>
          <t>2256077410002656</t>
        </is>
      </c>
      <c r="AZ140" t="inlineStr">
        <is>
          <t>BOOK</t>
        </is>
      </c>
      <c r="BB140" t="inlineStr">
        <is>
          <t>9780761925101</t>
        </is>
      </c>
      <c r="BC140" t="inlineStr">
        <is>
          <t>32285005289920</t>
        </is>
      </c>
      <c r="BD140" t="inlineStr">
        <is>
          <t>893700965</t>
        </is>
      </c>
    </row>
    <row r="141">
      <c r="A141" t="inlineStr">
        <is>
          <t>No</t>
        </is>
      </c>
      <c r="B141" t="inlineStr">
        <is>
          <t>HN29 .S736 1988</t>
        </is>
      </c>
      <c r="C141" t="inlineStr">
        <is>
          <t>0                      HN 0029000S  736         1988</t>
        </is>
      </c>
      <c r="D141" t="inlineStr">
        <is>
          <t>Surveying social life : papers in honor of Herbert H. Hyman / Hubert J. O'Gorman, editor ; Christian Bay ... [et al.].</t>
        </is>
      </c>
      <c r="F141" t="inlineStr">
        <is>
          <t>No</t>
        </is>
      </c>
      <c r="G141" t="inlineStr">
        <is>
          <t>1</t>
        </is>
      </c>
      <c r="H141" t="inlineStr">
        <is>
          <t>No</t>
        </is>
      </c>
      <c r="I141" t="inlineStr">
        <is>
          <t>No</t>
        </is>
      </c>
      <c r="J141" t="inlineStr">
        <is>
          <t>0</t>
        </is>
      </c>
      <c r="L141" t="inlineStr">
        <is>
          <t>Middletown, Conn. : Wesleyan University Press, c1988.</t>
        </is>
      </c>
      <c r="M141" t="inlineStr">
        <is>
          <t>1988</t>
        </is>
      </c>
      <c r="N141" t="inlineStr">
        <is>
          <t>1st ed.</t>
        </is>
      </c>
      <c r="O141" t="inlineStr">
        <is>
          <t>eng</t>
        </is>
      </c>
      <c r="P141" t="inlineStr">
        <is>
          <t>ctu</t>
        </is>
      </c>
      <c r="R141" t="inlineStr">
        <is>
          <t xml:space="preserve">HN </t>
        </is>
      </c>
      <c r="S141" t="n">
        <v>0</v>
      </c>
      <c r="T141" t="n">
        <v>0</v>
      </c>
      <c r="U141" t="inlineStr">
        <is>
          <t>2007-10-02</t>
        </is>
      </c>
      <c r="V141" t="inlineStr">
        <is>
          <t>2007-10-02</t>
        </is>
      </c>
      <c r="W141" t="inlineStr">
        <is>
          <t>1992-09-24</t>
        </is>
      </c>
      <c r="X141" t="inlineStr">
        <is>
          <t>1992-09-24</t>
        </is>
      </c>
      <c r="Y141" t="n">
        <v>258</v>
      </c>
      <c r="Z141" t="n">
        <v>222</v>
      </c>
      <c r="AA141" t="n">
        <v>224</v>
      </c>
      <c r="AB141" t="n">
        <v>3</v>
      </c>
      <c r="AC141" t="n">
        <v>3</v>
      </c>
      <c r="AD141" t="n">
        <v>14</v>
      </c>
      <c r="AE141" t="n">
        <v>14</v>
      </c>
      <c r="AF141" t="n">
        <v>4</v>
      </c>
      <c r="AG141" t="n">
        <v>4</v>
      </c>
      <c r="AH141" t="n">
        <v>7</v>
      </c>
      <c r="AI141" t="n">
        <v>7</v>
      </c>
      <c r="AJ141" t="n">
        <v>7</v>
      </c>
      <c r="AK141" t="n">
        <v>7</v>
      </c>
      <c r="AL141" t="n">
        <v>2</v>
      </c>
      <c r="AM141" t="n">
        <v>2</v>
      </c>
      <c r="AN141" t="n">
        <v>0</v>
      </c>
      <c r="AO141" t="n">
        <v>0</v>
      </c>
      <c r="AP141" t="inlineStr">
        <is>
          <t>No</t>
        </is>
      </c>
      <c r="AQ141" t="inlineStr">
        <is>
          <t>No</t>
        </is>
      </c>
      <c r="AS141">
        <f>HYPERLINK("https://creighton-primo.hosted.exlibrisgroup.com/primo-explore/search?tab=default_tab&amp;search_scope=EVERYTHING&amp;vid=01CRU&amp;lang=en_US&amp;offset=0&amp;query=any,contains,991001148299702656","Catalog Record")</f>
        <v/>
      </c>
      <c r="AT141">
        <f>HYPERLINK("http://www.worldcat.org/oclc/16801630","WorldCat Record")</f>
        <v/>
      </c>
      <c r="AU141" t="inlineStr">
        <is>
          <t>55014905:eng</t>
        </is>
      </c>
      <c r="AV141" t="inlineStr">
        <is>
          <t>16801630</t>
        </is>
      </c>
      <c r="AW141" t="inlineStr">
        <is>
          <t>991001148299702656</t>
        </is>
      </c>
      <c r="AX141" t="inlineStr">
        <is>
          <t>991001148299702656</t>
        </is>
      </c>
      <c r="AY141" t="inlineStr">
        <is>
          <t>2269065670002656</t>
        </is>
      </c>
      <c r="AZ141" t="inlineStr">
        <is>
          <t>BOOK</t>
        </is>
      </c>
      <c r="BB141" t="inlineStr">
        <is>
          <t>9780819551382</t>
        </is>
      </c>
      <c r="BC141" t="inlineStr">
        <is>
          <t>32285001269637</t>
        </is>
      </c>
      <c r="BD141" t="inlineStr">
        <is>
          <t>893413999</t>
        </is>
      </c>
    </row>
    <row r="142">
      <c r="A142" t="inlineStr">
        <is>
          <t>No</t>
        </is>
      </c>
      <c r="B142" t="inlineStr">
        <is>
          <t>HN290.R47 P47</t>
        </is>
      </c>
      <c r="C142" t="inlineStr">
        <is>
          <t>0                      HN 0290000R  47                 P  47</t>
        </is>
      </c>
      <c r="D142" t="inlineStr">
        <is>
          <t>The myth of marginality : urban poverty and politics in Rio de Janeiro / Janice E. Perlman.</t>
        </is>
      </c>
      <c r="F142" t="inlineStr">
        <is>
          <t>No</t>
        </is>
      </c>
      <c r="G142" t="inlineStr">
        <is>
          <t>1</t>
        </is>
      </c>
      <c r="H142" t="inlineStr">
        <is>
          <t>No</t>
        </is>
      </c>
      <c r="I142" t="inlineStr">
        <is>
          <t>No</t>
        </is>
      </c>
      <c r="J142" t="inlineStr">
        <is>
          <t>0</t>
        </is>
      </c>
      <c r="K142" t="inlineStr">
        <is>
          <t>Perlman, Janice E.</t>
        </is>
      </c>
      <c r="L142" t="inlineStr">
        <is>
          <t>Berkeley : University of California Press, c1976.</t>
        </is>
      </c>
      <c r="M142" t="inlineStr">
        <is>
          <t>1976</t>
        </is>
      </c>
      <c r="O142" t="inlineStr">
        <is>
          <t>eng</t>
        </is>
      </c>
      <c r="P142" t="inlineStr">
        <is>
          <t>cau</t>
        </is>
      </c>
      <c r="R142" t="inlineStr">
        <is>
          <t xml:space="preserve">HN </t>
        </is>
      </c>
      <c r="S142" t="n">
        <v>4</v>
      </c>
      <c r="T142" t="n">
        <v>4</v>
      </c>
      <c r="U142" t="inlineStr">
        <is>
          <t>2005-10-12</t>
        </is>
      </c>
      <c r="V142" t="inlineStr">
        <is>
          <t>2005-10-12</t>
        </is>
      </c>
      <c r="W142" t="inlineStr">
        <is>
          <t>1993-03-23</t>
        </is>
      </c>
      <c r="X142" t="inlineStr">
        <is>
          <t>1993-03-23</t>
        </is>
      </c>
      <c r="Y142" t="n">
        <v>672</v>
      </c>
      <c r="Z142" t="n">
        <v>538</v>
      </c>
      <c r="AA142" t="n">
        <v>562</v>
      </c>
      <c r="AB142" t="n">
        <v>4</v>
      </c>
      <c r="AC142" t="n">
        <v>4</v>
      </c>
      <c r="AD142" t="n">
        <v>26</v>
      </c>
      <c r="AE142" t="n">
        <v>27</v>
      </c>
      <c r="AF142" t="n">
        <v>11</v>
      </c>
      <c r="AG142" t="n">
        <v>12</v>
      </c>
      <c r="AH142" t="n">
        <v>4</v>
      </c>
      <c r="AI142" t="n">
        <v>4</v>
      </c>
      <c r="AJ142" t="n">
        <v>17</v>
      </c>
      <c r="AK142" t="n">
        <v>17</v>
      </c>
      <c r="AL142" t="n">
        <v>3</v>
      </c>
      <c r="AM142" t="n">
        <v>3</v>
      </c>
      <c r="AN142" t="n">
        <v>0</v>
      </c>
      <c r="AO142" t="n">
        <v>0</v>
      </c>
      <c r="AP142" t="inlineStr">
        <is>
          <t>No</t>
        </is>
      </c>
      <c r="AQ142" t="inlineStr">
        <is>
          <t>Yes</t>
        </is>
      </c>
      <c r="AR142">
        <f>HYPERLINK("http://catalog.hathitrust.org/Record/000738817","HathiTrust Record")</f>
        <v/>
      </c>
      <c r="AS142">
        <f>HYPERLINK("https://creighton-primo.hosted.exlibrisgroup.com/primo-explore/search?tab=default_tab&amp;search_scope=EVERYTHING&amp;vid=01CRU&amp;lang=en_US&amp;offset=0&amp;query=any,contains,991004095729702656","Catalog Record")</f>
        <v/>
      </c>
      <c r="AT142">
        <f>HYPERLINK("http://www.worldcat.org/oclc/2358872","WorldCat Record")</f>
        <v/>
      </c>
      <c r="AU142" t="inlineStr">
        <is>
          <t>500867:eng</t>
        </is>
      </c>
      <c r="AV142" t="inlineStr">
        <is>
          <t>2358872</t>
        </is>
      </c>
      <c r="AW142" t="inlineStr">
        <is>
          <t>991004095729702656</t>
        </is>
      </c>
      <c r="AX142" t="inlineStr">
        <is>
          <t>991004095729702656</t>
        </is>
      </c>
      <c r="AY142" t="inlineStr">
        <is>
          <t>2261239740002656</t>
        </is>
      </c>
      <c r="AZ142" t="inlineStr">
        <is>
          <t>BOOK</t>
        </is>
      </c>
      <c r="BB142" t="inlineStr">
        <is>
          <t>9780520025967</t>
        </is>
      </c>
      <c r="BC142" t="inlineStr">
        <is>
          <t>32285001498970</t>
        </is>
      </c>
      <c r="BD142" t="inlineStr">
        <is>
          <t>893435879</t>
        </is>
      </c>
    </row>
    <row r="143">
      <c r="A143" t="inlineStr">
        <is>
          <t>No</t>
        </is>
      </c>
      <c r="B143" t="inlineStr">
        <is>
          <t>HN290.S32 L56 1992</t>
        </is>
      </c>
      <c r="C143" t="inlineStr">
        <is>
          <t>0                      HN 0290000S  32                 L  56          1992</t>
        </is>
      </c>
      <c r="D143" t="inlineStr">
        <is>
          <t>Dangerous encounters : meanings of violence in a Brazilian city / Daniel Touro Linger.</t>
        </is>
      </c>
      <c r="F143" t="inlineStr">
        <is>
          <t>No</t>
        </is>
      </c>
      <c r="G143" t="inlineStr">
        <is>
          <t>1</t>
        </is>
      </c>
      <c r="H143" t="inlineStr">
        <is>
          <t>No</t>
        </is>
      </c>
      <c r="I143" t="inlineStr">
        <is>
          <t>No</t>
        </is>
      </c>
      <c r="J143" t="inlineStr">
        <is>
          <t>0</t>
        </is>
      </c>
      <c r="K143" t="inlineStr">
        <is>
          <t>Linger, Daniel Touro.</t>
        </is>
      </c>
      <c r="L143" t="inlineStr">
        <is>
          <t>Stanford, Calif. : Stanford University Press, c1992.</t>
        </is>
      </c>
      <c r="M143" t="inlineStr">
        <is>
          <t>1992</t>
        </is>
      </c>
      <c r="O143" t="inlineStr">
        <is>
          <t>eng</t>
        </is>
      </c>
      <c r="P143" t="inlineStr">
        <is>
          <t>cau</t>
        </is>
      </c>
      <c r="R143" t="inlineStr">
        <is>
          <t xml:space="preserve">HN </t>
        </is>
      </c>
      <c r="S143" t="n">
        <v>2</v>
      </c>
      <c r="T143" t="n">
        <v>2</v>
      </c>
      <c r="U143" t="inlineStr">
        <is>
          <t>2010-04-19</t>
        </is>
      </c>
      <c r="V143" t="inlineStr">
        <is>
          <t>2010-04-19</t>
        </is>
      </c>
      <c r="W143" t="inlineStr">
        <is>
          <t>2002-10-03</t>
        </is>
      </c>
      <c r="X143" t="inlineStr">
        <is>
          <t>2002-10-03</t>
        </is>
      </c>
      <c r="Y143" t="n">
        <v>370</v>
      </c>
      <c r="Z143" t="n">
        <v>291</v>
      </c>
      <c r="AA143" t="n">
        <v>292</v>
      </c>
      <c r="AB143" t="n">
        <v>2</v>
      </c>
      <c r="AC143" t="n">
        <v>2</v>
      </c>
      <c r="AD143" t="n">
        <v>16</v>
      </c>
      <c r="AE143" t="n">
        <v>16</v>
      </c>
      <c r="AF143" t="n">
        <v>5</v>
      </c>
      <c r="AG143" t="n">
        <v>5</v>
      </c>
      <c r="AH143" t="n">
        <v>4</v>
      </c>
      <c r="AI143" t="n">
        <v>4</v>
      </c>
      <c r="AJ143" t="n">
        <v>11</v>
      </c>
      <c r="AK143" t="n">
        <v>11</v>
      </c>
      <c r="AL143" t="n">
        <v>1</v>
      </c>
      <c r="AM143" t="n">
        <v>1</v>
      </c>
      <c r="AN143" t="n">
        <v>0</v>
      </c>
      <c r="AO143" t="n">
        <v>0</v>
      </c>
      <c r="AP143" t="inlineStr">
        <is>
          <t>No</t>
        </is>
      </c>
      <c r="AQ143" t="inlineStr">
        <is>
          <t>No</t>
        </is>
      </c>
      <c r="AS143">
        <f>HYPERLINK("https://creighton-primo.hosted.exlibrisgroup.com/primo-explore/search?tab=default_tab&amp;search_scope=EVERYTHING&amp;vid=01CRU&amp;lang=en_US&amp;offset=0&amp;query=any,contains,991003906519702656","Catalog Record")</f>
        <v/>
      </c>
      <c r="AT143">
        <f>HYPERLINK("http://www.worldcat.org/oclc/24376581","WorldCat Record")</f>
        <v/>
      </c>
      <c r="AU143" t="inlineStr">
        <is>
          <t>889559386:eng</t>
        </is>
      </c>
      <c r="AV143" t="inlineStr">
        <is>
          <t>24376581</t>
        </is>
      </c>
      <c r="AW143" t="inlineStr">
        <is>
          <t>991003906519702656</t>
        </is>
      </c>
      <c r="AX143" t="inlineStr">
        <is>
          <t>991003906519702656</t>
        </is>
      </c>
      <c r="AY143" t="inlineStr">
        <is>
          <t>2262520500002656</t>
        </is>
      </c>
      <c r="AZ143" t="inlineStr">
        <is>
          <t>BOOK</t>
        </is>
      </c>
      <c r="BB143" t="inlineStr">
        <is>
          <t>9780804719261</t>
        </is>
      </c>
      <c r="BC143" t="inlineStr">
        <is>
          <t>32285004651872</t>
        </is>
      </c>
      <c r="BD143" t="inlineStr">
        <is>
          <t>893593048</t>
        </is>
      </c>
    </row>
    <row r="144">
      <c r="A144" t="inlineStr">
        <is>
          <t>No</t>
        </is>
      </c>
      <c r="B144" t="inlineStr">
        <is>
          <t>HN290.Z9 R3 2005</t>
        </is>
      </c>
      <c r="C144" t="inlineStr">
        <is>
          <t>0                      HN 0290000Z  9                  R  3           2005</t>
        </is>
      </c>
      <c r="D144" t="inlineStr">
        <is>
          <t>Collective action and radicalism in Brazil : women, urban housing, and rural movements / Michel Duquette ... [et al.].</t>
        </is>
      </c>
      <c r="F144" t="inlineStr">
        <is>
          <t>No</t>
        </is>
      </c>
      <c r="G144" t="inlineStr">
        <is>
          <t>1</t>
        </is>
      </c>
      <c r="H144" t="inlineStr">
        <is>
          <t>No</t>
        </is>
      </c>
      <c r="I144" t="inlineStr">
        <is>
          <t>No</t>
        </is>
      </c>
      <c r="J144" t="inlineStr">
        <is>
          <t>0</t>
        </is>
      </c>
      <c r="L144" t="inlineStr">
        <is>
          <t>Toronto ; Buffalo : University of Toronto Press, c2005.</t>
        </is>
      </c>
      <c r="M144" t="inlineStr">
        <is>
          <t>2005</t>
        </is>
      </c>
      <c r="O144" t="inlineStr">
        <is>
          <t>eng</t>
        </is>
      </c>
      <c r="P144" t="inlineStr">
        <is>
          <t>onc</t>
        </is>
      </c>
      <c r="Q144" t="inlineStr">
        <is>
          <t>Studies in comparative political economy and public policy ; 20</t>
        </is>
      </c>
      <c r="R144" t="inlineStr">
        <is>
          <t xml:space="preserve">HN </t>
        </is>
      </c>
      <c r="S144" t="n">
        <v>2</v>
      </c>
      <c r="T144" t="n">
        <v>2</v>
      </c>
      <c r="U144" t="inlineStr">
        <is>
          <t>2008-05-31</t>
        </is>
      </c>
      <c r="V144" t="inlineStr">
        <is>
          <t>2008-05-31</t>
        </is>
      </c>
      <c r="W144" t="inlineStr">
        <is>
          <t>2007-12-18</t>
        </is>
      </c>
      <c r="X144" t="inlineStr">
        <is>
          <t>2007-12-18</t>
        </is>
      </c>
      <c r="Y144" t="n">
        <v>279</v>
      </c>
      <c r="Z144" t="n">
        <v>217</v>
      </c>
      <c r="AA144" t="n">
        <v>400</v>
      </c>
      <c r="AB144" t="n">
        <v>1</v>
      </c>
      <c r="AC144" t="n">
        <v>4</v>
      </c>
      <c r="AD144" t="n">
        <v>12</v>
      </c>
      <c r="AE144" t="n">
        <v>22</v>
      </c>
      <c r="AF144" t="n">
        <v>4</v>
      </c>
      <c r="AG144" t="n">
        <v>9</v>
      </c>
      <c r="AH144" t="n">
        <v>4</v>
      </c>
      <c r="AI144" t="n">
        <v>7</v>
      </c>
      <c r="AJ144" t="n">
        <v>9</v>
      </c>
      <c r="AK144" t="n">
        <v>11</v>
      </c>
      <c r="AL144" t="n">
        <v>0</v>
      </c>
      <c r="AM144" t="n">
        <v>2</v>
      </c>
      <c r="AN144" t="n">
        <v>0</v>
      </c>
      <c r="AO144" t="n">
        <v>0</v>
      </c>
      <c r="AP144" t="inlineStr">
        <is>
          <t>No</t>
        </is>
      </c>
      <c r="AQ144" t="inlineStr">
        <is>
          <t>No</t>
        </is>
      </c>
      <c r="AS144">
        <f>HYPERLINK("https://creighton-primo.hosted.exlibrisgroup.com/primo-explore/search?tab=default_tab&amp;search_scope=EVERYTHING&amp;vid=01CRU&amp;lang=en_US&amp;offset=0&amp;query=any,contains,991005154989702656","Catalog Record")</f>
        <v/>
      </c>
      <c r="AT144">
        <f>HYPERLINK("http://www.worldcat.org/oclc/57574682","WorldCat Record")</f>
        <v/>
      </c>
      <c r="AU144" t="inlineStr">
        <is>
          <t>866927383:eng</t>
        </is>
      </c>
      <c r="AV144" t="inlineStr">
        <is>
          <t>57574682</t>
        </is>
      </c>
      <c r="AW144" t="inlineStr">
        <is>
          <t>991005154989702656</t>
        </is>
      </c>
      <c r="AX144" t="inlineStr">
        <is>
          <t>991005154989702656</t>
        </is>
      </c>
      <c r="AY144" t="inlineStr">
        <is>
          <t>2256513180002656</t>
        </is>
      </c>
      <c r="AZ144" t="inlineStr">
        <is>
          <t>BOOK</t>
        </is>
      </c>
      <c r="BB144" t="inlineStr">
        <is>
          <t>9780802039071</t>
        </is>
      </c>
      <c r="BC144" t="inlineStr">
        <is>
          <t>32285005373559</t>
        </is>
      </c>
      <c r="BD144" t="inlineStr">
        <is>
          <t>893619552</t>
        </is>
      </c>
    </row>
    <row r="145">
      <c r="A145" t="inlineStr">
        <is>
          <t>No</t>
        </is>
      </c>
      <c r="B145" t="inlineStr">
        <is>
          <t>HN293.5 .C3713 1992</t>
        </is>
      </c>
      <c r="C145" t="inlineStr">
        <is>
          <t>0                      HN 0293500C  3713        1992</t>
        </is>
      </c>
      <c r="D145" t="inlineStr">
        <is>
          <t>Combating poverty : innovative social reforms in Chile durng the 1980s / by Tarsicio Castañeda.</t>
        </is>
      </c>
      <c r="F145" t="inlineStr">
        <is>
          <t>No</t>
        </is>
      </c>
      <c r="G145" t="inlineStr">
        <is>
          <t>1</t>
        </is>
      </c>
      <c r="H145" t="inlineStr">
        <is>
          <t>No</t>
        </is>
      </c>
      <c r="I145" t="inlineStr">
        <is>
          <t>No</t>
        </is>
      </c>
      <c r="J145" t="inlineStr">
        <is>
          <t>0</t>
        </is>
      </c>
      <c r="K145" t="inlineStr">
        <is>
          <t>Castañeda, Tarsicio, 1950-</t>
        </is>
      </c>
      <c r="L145" t="inlineStr">
        <is>
          <t>San Francisco, Calif. : ICS Press ; Lanham, Md. : Distributed to the trade by National Book Network, c1992.</t>
        </is>
      </c>
      <c r="M145" t="inlineStr">
        <is>
          <t>1992</t>
        </is>
      </c>
      <c r="O145" t="inlineStr">
        <is>
          <t>eng</t>
        </is>
      </c>
      <c r="P145" t="inlineStr">
        <is>
          <t>cau</t>
        </is>
      </c>
      <c r="R145" t="inlineStr">
        <is>
          <t xml:space="preserve">HN </t>
        </is>
      </c>
      <c r="S145" t="n">
        <v>7</v>
      </c>
      <c r="T145" t="n">
        <v>7</v>
      </c>
      <c r="U145" t="inlineStr">
        <is>
          <t>2000-02-28</t>
        </is>
      </c>
      <c r="V145" t="inlineStr">
        <is>
          <t>2000-02-28</t>
        </is>
      </c>
      <c r="W145" t="inlineStr">
        <is>
          <t>1993-01-21</t>
        </is>
      </c>
      <c r="X145" t="inlineStr">
        <is>
          <t>1993-01-21</t>
        </is>
      </c>
      <c r="Y145" t="n">
        <v>230</v>
      </c>
      <c r="Z145" t="n">
        <v>174</v>
      </c>
      <c r="AA145" t="n">
        <v>181</v>
      </c>
      <c r="AB145" t="n">
        <v>1</v>
      </c>
      <c r="AC145" t="n">
        <v>1</v>
      </c>
      <c r="AD145" t="n">
        <v>8</v>
      </c>
      <c r="AE145" t="n">
        <v>8</v>
      </c>
      <c r="AF145" t="n">
        <v>2</v>
      </c>
      <c r="AG145" t="n">
        <v>2</v>
      </c>
      <c r="AH145" t="n">
        <v>3</v>
      </c>
      <c r="AI145" t="n">
        <v>3</v>
      </c>
      <c r="AJ145" t="n">
        <v>3</v>
      </c>
      <c r="AK145" t="n">
        <v>3</v>
      </c>
      <c r="AL145" t="n">
        <v>0</v>
      </c>
      <c r="AM145" t="n">
        <v>0</v>
      </c>
      <c r="AN145" t="n">
        <v>1</v>
      </c>
      <c r="AO145" t="n">
        <v>1</v>
      </c>
      <c r="AP145" t="inlineStr">
        <is>
          <t>No</t>
        </is>
      </c>
      <c r="AQ145" t="inlineStr">
        <is>
          <t>Yes</t>
        </is>
      </c>
      <c r="AR145">
        <f>HYPERLINK("http://catalog.hathitrust.org/Record/007110123","HathiTrust Record")</f>
        <v/>
      </c>
      <c r="AS145">
        <f>HYPERLINK("https://creighton-primo.hosted.exlibrisgroup.com/primo-explore/search?tab=default_tab&amp;search_scope=EVERYTHING&amp;vid=01CRU&amp;lang=en_US&amp;offset=0&amp;query=any,contains,991001969169702656","Catalog Record")</f>
        <v/>
      </c>
      <c r="AT145">
        <f>HYPERLINK("http://www.worldcat.org/oclc/24954493","WorldCat Record")</f>
        <v/>
      </c>
      <c r="AU145" t="inlineStr">
        <is>
          <t>26322810:eng</t>
        </is>
      </c>
      <c r="AV145" t="inlineStr">
        <is>
          <t>24954493</t>
        </is>
      </c>
      <c r="AW145" t="inlineStr">
        <is>
          <t>991001969169702656</t>
        </is>
      </c>
      <c r="AX145" t="inlineStr">
        <is>
          <t>991001969169702656</t>
        </is>
      </c>
      <c r="AY145" t="inlineStr">
        <is>
          <t>2271579630002656</t>
        </is>
      </c>
      <c r="AZ145" t="inlineStr">
        <is>
          <t>BOOK</t>
        </is>
      </c>
      <c r="BB145" t="inlineStr">
        <is>
          <t>9781558151543</t>
        </is>
      </c>
      <c r="BC145" t="inlineStr">
        <is>
          <t>32285001447241</t>
        </is>
      </c>
      <c r="BD145" t="inlineStr">
        <is>
          <t>893721212</t>
        </is>
      </c>
    </row>
    <row r="146">
      <c r="A146" t="inlineStr">
        <is>
          <t>No</t>
        </is>
      </c>
      <c r="B146" t="inlineStr">
        <is>
          <t>HN297 .D45 1989</t>
        </is>
      </c>
      <c r="C146" t="inlineStr">
        <is>
          <t>0                      HN 0297000D  45          1989</t>
        </is>
      </c>
      <c r="D146" t="inlineStr">
        <is>
          <t>Social policy from the grassroots : nongovernmental organizations in Chile / edited by Charles Downs ... [et al.]</t>
        </is>
      </c>
      <c r="F146" t="inlineStr">
        <is>
          <t>No</t>
        </is>
      </c>
      <c r="G146" t="inlineStr">
        <is>
          <t>1</t>
        </is>
      </c>
      <c r="H146" t="inlineStr">
        <is>
          <t>No</t>
        </is>
      </c>
      <c r="I146" t="inlineStr">
        <is>
          <t>No</t>
        </is>
      </c>
      <c r="J146" t="inlineStr">
        <is>
          <t>0</t>
        </is>
      </c>
      <c r="K146" t="inlineStr">
        <is>
          <t>Del macetero al potrero. English.</t>
        </is>
      </c>
      <c r="L146" t="inlineStr">
        <is>
          <t>Boulder : Westview Press, 1989.</t>
        </is>
      </c>
      <c r="M146" t="inlineStr">
        <is>
          <t>1989</t>
        </is>
      </c>
      <c r="O146" t="inlineStr">
        <is>
          <t>eng</t>
        </is>
      </c>
      <c r="P146" t="inlineStr">
        <is>
          <t>cou</t>
        </is>
      </c>
      <c r="Q146" t="inlineStr">
        <is>
          <t>Westview special studies in social, political, and economic development</t>
        </is>
      </c>
      <c r="R146" t="inlineStr">
        <is>
          <t xml:space="preserve">HN </t>
        </is>
      </c>
      <c r="S146" t="n">
        <v>5</v>
      </c>
      <c r="T146" t="n">
        <v>5</v>
      </c>
      <c r="U146" t="inlineStr">
        <is>
          <t>1996-02-13</t>
        </is>
      </c>
      <c r="V146" t="inlineStr">
        <is>
          <t>1996-02-13</t>
        </is>
      </c>
      <c r="W146" t="inlineStr">
        <is>
          <t>1992-11-19</t>
        </is>
      </c>
      <c r="X146" t="inlineStr">
        <is>
          <t>1992-11-19</t>
        </is>
      </c>
      <c r="Y146" t="n">
        <v>169</v>
      </c>
      <c r="Z146" t="n">
        <v>137</v>
      </c>
      <c r="AA146" t="n">
        <v>158</v>
      </c>
      <c r="AB146" t="n">
        <v>1</v>
      </c>
      <c r="AC146" t="n">
        <v>1</v>
      </c>
      <c r="AD146" t="n">
        <v>6</v>
      </c>
      <c r="AE146" t="n">
        <v>6</v>
      </c>
      <c r="AF146" t="n">
        <v>1</v>
      </c>
      <c r="AG146" t="n">
        <v>1</v>
      </c>
      <c r="AH146" t="n">
        <v>2</v>
      </c>
      <c r="AI146" t="n">
        <v>2</v>
      </c>
      <c r="AJ146" t="n">
        <v>5</v>
      </c>
      <c r="AK146" t="n">
        <v>5</v>
      </c>
      <c r="AL146" t="n">
        <v>0</v>
      </c>
      <c r="AM146" t="n">
        <v>0</v>
      </c>
      <c r="AN146" t="n">
        <v>0</v>
      </c>
      <c r="AO146" t="n">
        <v>0</v>
      </c>
      <c r="AP146" t="inlineStr">
        <is>
          <t>No</t>
        </is>
      </c>
      <c r="AQ146" t="inlineStr">
        <is>
          <t>No</t>
        </is>
      </c>
      <c r="AS146">
        <f>HYPERLINK("https://creighton-primo.hosted.exlibrisgroup.com/primo-explore/search?tab=default_tab&amp;search_scope=EVERYTHING&amp;vid=01CRU&amp;lang=en_US&amp;offset=0&amp;query=any,contains,991001493939702656","Catalog Record")</f>
        <v/>
      </c>
      <c r="AT146">
        <f>HYPERLINK("http://www.worldcat.org/oclc/19741004","WorldCat Record")</f>
        <v/>
      </c>
      <c r="AU146" t="inlineStr">
        <is>
          <t>55210303:eng</t>
        </is>
      </c>
      <c r="AV146" t="inlineStr">
        <is>
          <t>19741004</t>
        </is>
      </c>
      <c r="AW146" t="inlineStr">
        <is>
          <t>991001493939702656</t>
        </is>
      </c>
      <c r="AX146" t="inlineStr">
        <is>
          <t>991001493939702656</t>
        </is>
      </c>
      <c r="AY146" t="inlineStr">
        <is>
          <t>2265576140002656</t>
        </is>
      </c>
      <c r="AZ146" t="inlineStr">
        <is>
          <t>BOOK</t>
        </is>
      </c>
      <c r="BB146" t="inlineStr">
        <is>
          <t>9780813377766</t>
        </is>
      </c>
      <c r="BC146" t="inlineStr">
        <is>
          <t>32285001406486</t>
        </is>
      </c>
      <c r="BD146" t="inlineStr">
        <is>
          <t>893315805</t>
        </is>
      </c>
    </row>
    <row r="147">
      <c r="A147" t="inlineStr">
        <is>
          <t>No</t>
        </is>
      </c>
      <c r="B147" t="inlineStr">
        <is>
          <t>HN3 .G57 1988</t>
        </is>
      </c>
      <c r="C147" t="inlineStr">
        <is>
          <t>0                      HN 0003000G  57          1988</t>
        </is>
      </c>
      <c r="D147" t="inlineStr">
        <is>
          <t>Global crises and social movements : artisans, peasants, populists and the world economy / edited by Edmund Burke, III.</t>
        </is>
      </c>
      <c r="F147" t="inlineStr">
        <is>
          <t>No</t>
        </is>
      </c>
      <c r="G147" t="inlineStr">
        <is>
          <t>1</t>
        </is>
      </c>
      <c r="H147" t="inlineStr">
        <is>
          <t>No</t>
        </is>
      </c>
      <c r="I147" t="inlineStr">
        <is>
          <t>No</t>
        </is>
      </c>
      <c r="J147" t="inlineStr">
        <is>
          <t>0</t>
        </is>
      </c>
      <c r="L147" t="inlineStr">
        <is>
          <t>Boulder, Colo. : Westview Press, 1988.</t>
        </is>
      </c>
      <c r="M147" t="inlineStr">
        <is>
          <t>1988</t>
        </is>
      </c>
      <c r="O147" t="inlineStr">
        <is>
          <t>eng</t>
        </is>
      </c>
      <c r="P147" t="inlineStr">
        <is>
          <t>cou</t>
        </is>
      </c>
      <c r="R147" t="inlineStr">
        <is>
          <t xml:space="preserve">HN </t>
        </is>
      </c>
      <c r="S147" t="n">
        <v>1</v>
      </c>
      <c r="T147" t="n">
        <v>1</v>
      </c>
      <c r="U147" t="inlineStr">
        <is>
          <t>1994-04-15</t>
        </is>
      </c>
      <c r="V147" t="inlineStr">
        <is>
          <t>1994-04-15</t>
        </is>
      </c>
      <c r="W147" t="inlineStr">
        <is>
          <t>1992-09-21</t>
        </is>
      </c>
      <c r="X147" t="inlineStr">
        <is>
          <t>1992-09-21</t>
        </is>
      </c>
      <c r="Y147" t="n">
        <v>418</v>
      </c>
      <c r="Z147" t="n">
        <v>338</v>
      </c>
      <c r="AA147" t="n">
        <v>361</v>
      </c>
      <c r="AB147" t="n">
        <v>2</v>
      </c>
      <c r="AC147" t="n">
        <v>2</v>
      </c>
      <c r="AD147" t="n">
        <v>20</v>
      </c>
      <c r="AE147" t="n">
        <v>20</v>
      </c>
      <c r="AF147" t="n">
        <v>9</v>
      </c>
      <c r="AG147" t="n">
        <v>9</v>
      </c>
      <c r="AH147" t="n">
        <v>7</v>
      </c>
      <c r="AI147" t="n">
        <v>7</v>
      </c>
      <c r="AJ147" t="n">
        <v>9</v>
      </c>
      <c r="AK147" t="n">
        <v>9</v>
      </c>
      <c r="AL147" t="n">
        <v>1</v>
      </c>
      <c r="AM147" t="n">
        <v>1</v>
      </c>
      <c r="AN147" t="n">
        <v>0</v>
      </c>
      <c r="AO147" t="n">
        <v>0</v>
      </c>
      <c r="AP147" t="inlineStr">
        <is>
          <t>No</t>
        </is>
      </c>
      <c r="AQ147" t="inlineStr">
        <is>
          <t>Yes</t>
        </is>
      </c>
      <c r="AR147">
        <f>HYPERLINK("http://catalog.hathitrust.org/Record/000845605","HathiTrust Record")</f>
        <v/>
      </c>
      <c r="AS147">
        <f>HYPERLINK("https://creighton-primo.hosted.exlibrisgroup.com/primo-explore/search?tab=default_tab&amp;search_scope=EVERYTHING&amp;vid=01CRU&amp;lang=en_US&amp;offset=0&amp;query=any,contains,991001120299702656","Catalog Record")</f>
        <v/>
      </c>
      <c r="AT147">
        <f>HYPERLINK("http://www.worldcat.org/oclc/16579662","WorldCat Record")</f>
        <v/>
      </c>
      <c r="AU147" t="inlineStr">
        <is>
          <t>836672326:eng</t>
        </is>
      </c>
      <c r="AV147" t="inlineStr">
        <is>
          <t>16579662</t>
        </is>
      </c>
      <c r="AW147" t="inlineStr">
        <is>
          <t>991001120299702656</t>
        </is>
      </c>
      <c r="AX147" t="inlineStr">
        <is>
          <t>991001120299702656</t>
        </is>
      </c>
      <c r="AY147" t="inlineStr">
        <is>
          <t>2269757350002656</t>
        </is>
      </c>
      <c r="AZ147" t="inlineStr">
        <is>
          <t>BOOK</t>
        </is>
      </c>
      <c r="BB147" t="inlineStr">
        <is>
          <t>9780813306094</t>
        </is>
      </c>
      <c r="BC147" t="inlineStr">
        <is>
          <t>32285001269033</t>
        </is>
      </c>
      <c r="BD147" t="inlineStr">
        <is>
          <t>893261734</t>
        </is>
      </c>
    </row>
    <row r="148">
      <c r="A148" t="inlineStr">
        <is>
          <t>No</t>
        </is>
      </c>
      <c r="B148" t="inlineStr">
        <is>
          <t>HN307 .T6613 1972b</t>
        </is>
      </c>
      <c r="C148" t="inlineStr">
        <is>
          <t>0                      HN 0307000T  6613        1972b</t>
        </is>
      </c>
      <c r="D148" t="inlineStr">
        <is>
          <t>Revolutionary writings / [by] Camilo Torres. Introd. by Maurice Zeitlin.</t>
        </is>
      </c>
      <c r="F148" t="inlineStr">
        <is>
          <t>No</t>
        </is>
      </c>
      <c r="G148" t="inlineStr">
        <is>
          <t>1</t>
        </is>
      </c>
      <c r="H148" t="inlineStr">
        <is>
          <t>No</t>
        </is>
      </c>
      <c r="I148" t="inlineStr">
        <is>
          <t>No</t>
        </is>
      </c>
      <c r="J148" t="inlineStr">
        <is>
          <t>0</t>
        </is>
      </c>
      <c r="K148" t="inlineStr">
        <is>
          <t>Torres, Camilo, 1929-1966.</t>
        </is>
      </c>
      <c r="L148" t="inlineStr">
        <is>
          <t>New York : Harper &amp; Row, [1972]</t>
        </is>
      </c>
      <c r="M148" t="inlineStr">
        <is>
          <t>1972</t>
        </is>
      </c>
      <c r="O148" t="inlineStr">
        <is>
          <t>eng</t>
        </is>
      </c>
      <c r="P148" t="inlineStr">
        <is>
          <t>nyu</t>
        </is>
      </c>
      <c r="Q148" t="inlineStr">
        <is>
          <t>Harper colophon books ; CN 1002</t>
        </is>
      </c>
      <c r="R148" t="inlineStr">
        <is>
          <t xml:space="preserve">HN </t>
        </is>
      </c>
      <c r="S148" t="n">
        <v>1</v>
      </c>
      <c r="T148" t="n">
        <v>1</v>
      </c>
      <c r="U148" t="inlineStr">
        <is>
          <t>1995-03-23</t>
        </is>
      </c>
      <c r="V148" t="inlineStr">
        <is>
          <t>1995-03-23</t>
        </is>
      </c>
      <c r="W148" t="inlineStr">
        <is>
          <t>1992-11-02</t>
        </is>
      </c>
      <c r="X148" t="inlineStr">
        <is>
          <t>1992-11-02</t>
        </is>
      </c>
      <c r="Y148" t="n">
        <v>143</v>
      </c>
      <c r="Z148" t="n">
        <v>116</v>
      </c>
      <c r="AA148" t="n">
        <v>452</v>
      </c>
      <c r="AB148" t="n">
        <v>1</v>
      </c>
      <c r="AC148" t="n">
        <v>2</v>
      </c>
      <c r="AD148" t="n">
        <v>8</v>
      </c>
      <c r="AE148" t="n">
        <v>25</v>
      </c>
      <c r="AF148" t="n">
        <v>1</v>
      </c>
      <c r="AG148" t="n">
        <v>7</v>
      </c>
      <c r="AH148" t="n">
        <v>3</v>
      </c>
      <c r="AI148" t="n">
        <v>7</v>
      </c>
      <c r="AJ148" t="n">
        <v>6</v>
      </c>
      <c r="AK148" t="n">
        <v>18</v>
      </c>
      <c r="AL148" t="n">
        <v>0</v>
      </c>
      <c r="AM148" t="n">
        <v>1</v>
      </c>
      <c r="AN148" t="n">
        <v>0</v>
      </c>
      <c r="AO148" t="n">
        <v>0</v>
      </c>
      <c r="AP148" t="inlineStr">
        <is>
          <t>No</t>
        </is>
      </c>
      <c r="AQ148" t="inlineStr">
        <is>
          <t>Yes</t>
        </is>
      </c>
      <c r="AR148">
        <f>HYPERLINK("http://catalog.hathitrust.org/Record/004514403","HathiTrust Record")</f>
        <v/>
      </c>
      <c r="AS148">
        <f>HYPERLINK("https://creighton-primo.hosted.exlibrisgroup.com/primo-explore/search?tab=default_tab&amp;search_scope=EVERYTHING&amp;vid=01CRU&amp;lang=en_US&amp;offset=0&amp;query=any,contains,991002522959702656","Catalog Record")</f>
        <v/>
      </c>
      <c r="AT148">
        <f>HYPERLINK("http://www.worldcat.org/oclc/366280","WorldCat Record")</f>
        <v/>
      </c>
      <c r="AU148" t="inlineStr">
        <is>
          <t>4536124130:eng</t>
        </is>
      </c>
      <c r="AV148" t="inlineStr">
        <is>
          <t>366280</t>
        </is>
      </c>
      <c r="AW148" t="inlineStr">
        <is>
          <t>991002522959702656</t>
        </is>
      </c>
      <c r="AX148" t="inlineStr">
        <is>
          <t>991002522959702656</t>
        </is>
      </c>
      <c r="AY148" t="inlineStr">
        <is>
          <t>2264321680002656</t>
        </is>
      </c>
      <c r="AZ148" t="inlineStr">
        <is>
          <t>BOOK</t>
        </is>
      </c>
      <c r="BC148" t="inlineStr">
        <is>
          <t>32285001380160</t>
        </is>
      </c>
      <c r="BD148" t="inlineStr">
        <is>
          <t>893504489</t>
        </is>
      </c>
    </row>
    <row r="149">
      <c r="A149" t="inlineStr">
        <is>
          <t>No</t>
        </is>
      </c>
      <c r="B149" t="inlineStr">
        <is>
          <t>HN31 .C63 1967</t>
        </is>
      </c>
      <c r="C149" t="inlineStr">
        <is>
          <t>0                      HN 0031000C  63          1967</t>
        </is>
      </c>
      <c r="D149" t="inlineStr">
        <is>
          <t>Social reform &amp; the church.</t>
        </is>
      </c>
      <c r="F149" t="inlineStr">
        <is>
          <t>No</t>
        </is>
      </c>
      <c r="G149" t="inlineStr">
        <is>
          <t>1</t>
        </is>
      </c>
      <c r="H149" t="inlineStr">
        <is>
          <t>No</t>
        </is>
      </c>
      <c r="I149" t="inlineStr">
        <is>
          <t>No</t>
        </is>
      </c>
      <c r="J149" t="inlineStr">
        <is>
          <t>0</t>
        </is>
      </c>
      <c r="K149" t="inlineStr">
        <is>
          <t>Commons, John R. (John Rogers), 1862-1945.</t>
        </is>
      </c>
      <c r="L149" t="inlineStr">
        <is>
          <t>New York, A. M. Kelley Publishers, 1967.</t>
        </is>
      </c>
      <c r="M149" t="inlineStr">
        <is>
          <t>1967</t>
        </is>
      </c>
      <c r="O149" t="inlineStr">
        <is>
          <t>eng</t>
        </is>
      </c>
      <c r="P149" t="inlineStr">
        <is>
          <t>nyu</t>
        </is>
      </c>
      <c r="Q149" t="inlineStr">
        <is>
          <t>Reprints of economic classics</t>
        </is>
      </c>
      <c r="R149" t="inlineStr">
        <is>
          <t xml:space="preserve">HN </t>
        </is>
      </c>
      <c r="S149" t="n">
        <v>4</v>
      </c>
      <c r="T149" t="n">
        <v>4</v>
      </c>
      <c r="U149" t="inlineStr">
        <is>
          <t>1998-11-03</t>
        </is>
      </c>
      <c r="V149" t="inlineStr">
        <is>
          <t>1998-11-03</t>
        </is>
      </c>
      <c r="W149" t="inlineStr">
        <is>
          <t>1997-08-04</t>
        </is>
      </c>
      <c r="X149" t="inlineStr">
        <is>
          <t>1997-08-04</t>
        </is>
      </c>
      <c r="Y149" t="n">
        <v>268</v>
      </c>
      <c r="Z149" t="n">
        <v>222</v>
      </c>
      <c r="AA149" t="n">
        <v>458</v>
      </c>
      <c r="AB149" t="n">
        <v>2</v>
      </c>
      <c r="AC149" t="n">
        <v>3</v>
      </c>
      <c r="AD149" t="n">
        <v>12</v>
      </c>
      <c r="AE149" t="n">
        <v>22</v>
      </c>
      <c r="AF149" t="n">
        <v>3</v>
      </c>
      <c r="AG149" t="n">
        <v>7</v>
      </c>
      <c r="AH149" t="n">
        <v>5</v>
      </c>
      <c r="AI149" t="n">
        <v>6</v>
      </c>
      <c r="AJ149" t="n">
        <v>6</v>
      </c>
      <c r="AK149" t="n">
        <v>11</v>
      </c>
      <c r="AL149" t="n">
        <v>1</v>
      </c>
      <c r="AM149" t="n">
        <v>2</v>
      </c>
      <c r="AN149" t="n">
        <v>0</v>
      </c>
      <c r="AO149" t="n">
        <v>0</v>
      </c>
      <c r="AP149" t="inlineStr">
        <is>
          <t>No</t>
        </is>
      </c>
      <c r="AQ149" t="inlineStr">
        <is>
          <t>Yes</t>
        </is>
      </c>
      <c r="AR149">
        <f>HYPERLINK("http://catalog.hathitrust.org/Record/000974524","HathiTrust Record")</f>
        <v/>
      </c>
      <c r="AS149">
        <f>HYPERLINK("https://creighton-primo.hosted.exlibrisgroup.com/primo-explore/search?tab=default_tab&amp;search_scope=EVERYTHING&amp;vid=01CRU&amp;lang=en_US&amp;offset=0&amp;query=any,contains,991000960359702656","Catalog Record")</f>
        <v/>
      </c>
      <c r="AT149">
        <f>HYPERLINK("http://www.worldcat.org/oclc/169149","WorldCat Record")</f>
        <v/>
      </c>
      <c r="AU149" t="inlineStr">
        <is>
          <t>657130235:eng</t>
        </is>
      </c>
      <c r="AV149" t="inlineStr">
        <is>
          <t>169149</t>
        </is>
      </c>
      <c r="AW149" t="inlineStr">
        <is>
          <t>991000960359702656</t>
        </is>
      </c>
      <c r="AX149" t="inlineStr">
        <is>
          <t>991000960359702656</t>
        </is>
      </c>
      <c r="AY149" t="inlineStr">
        <is>
          <t>2261941410002656</t>
        </is>
      </c>
      <c r="AZ149" t="inlineStr">
        <is>
          <t>BOOK</t>
        </is>
      </c>
      <c r="BC149" t="inlineStr">
        <is>
          <t>32285003041042</t>
        </is>
      </c>
      <c r="BD149" t="inlineStr">
        <is>
          <t>893702600</t>
        </is>
      </c>
    </row>
    <row r="150">
      <c r="A150" t="inlineStr">
        <is>
          <t>No</t>
        </is>
      </c>
      <c r="B150" t="inlineStr">
        <is>
          <t>HN31 .F82</t>
        </is>
      </c>
      <c r="C150" t="inlineStr">
        <is>
          <t>0                      HN 0031000F  82</t>
        </is>
      </c>
      <c r="D150" t="inlineStr">
        <is>
          <t>The respectable murderers : social evil and Christian conscience.</t>
        </is>
      </c>
      <c r="F150" t="inlineStr">
        <is>
          <t>No</t>
        </is>
      </c>
      <c r="G150" t="inlineStr">
        <is>
          <t>1</t>
        </is>
      </c>
      <c r="H150" t="inlineStr">
        <is>
          <t>No</t>
        </is>
      </c>
      <c r="I150" t="inlineStr">
        <is>
          <t>No</t>
        </is>
      </c>
      <c r="J150" t="inlineStr">
        <is>
          <t>0</t>
        </is>
      </c>
      <c r="K150" t="inlineStr">
        <is>
          <t>Furfey, Paul Hanly, 1896-1992.</t>
        </is>
      </c>
      <c r="L150" t="inlineStr">
        <is>
          <t>[New York] : Herder and Herder, [1966]</t>
        </is>
      </c>
      <c r="M150" t="inlineStr">
        <is>
          <t>1966</t>
        </is>
      </c>
      <c r="O150" t="inlineStr">
        <is>
          <t>eng</t>
        </is>
      </c>
      <c r="P150" t="inlineStr">
        <is>
          <t>nyu</t>
        </is>
      </c>
      <c r="R150" t="inlineStr">
        <is>
          <t xml:space="preserve">HN </t>
        </is>
      </c>
      <c r="S150" t="n">
        <v>2</v>
      </c>
      <c r="T150" t="n">
        <v>2</v>
      </c>
      <c r="U150" t="inlineStr">
        <is>
          <t>1999-11-18</t>
        </is>
      </c>
      <c r="V150" t="inlineStr">
        <is>
          <t>1999-11-18</t>
        </is>
      </c>
      <c r="W150" t="inlineStr">
        <is>
          <t>1992-11-02</t>
        </is>
      </c>
      <c r="X150" t="inlineStr">
        <is>
          <t>1992-11-02</t>
        </is>
      </c>
      <c r="Y150" t="n">
        <v>330</v>
      </c>
      <c r="Z150" t="n">
        <v>289</v>
      </c>
      <c r="AA150" t="n">
        <v>296</v>
      </c>
      <c r="AB150" t="n">
        <v>5</v>
      </c>
      <c r="AC150" t="n">
        <v>5</v>
      </c>
      <c r="AD150" t="n">
        <v>28</v>
      </c>
      <c r="AE150" t="n">
        <v>28</v>
      </c>
      <c r="AF150" t="n">
        <v>7</v>
      </c>
      <c r="AG150" t="n">
        <v>7</v>
      </c>
      <c r="AH150" t="n">
        <v>8</v>
      </c>
      <c r="AI150" t="n">
        <v>8</v>
      </c>
      <c r="AJ150" t="n">
        <v>19</v>
      </c>
      <c r="AK150" t="n">
        <v>19</v>
      </c>
      <c r="AL150" t="n">
        <v>3</v>
      </c>
      <c r="AM150" t="n">
        <v>3</v>
      </c>
      <c r="AN150" t="n">
        <v>0</v>
      </c>
      <c r="AO150" t="n">
        <v>0</v>
      </c>
      <c r="AP150" t="inlineStr">
        <is>
          <t>No</t>
        </is>
      </c>
      <c r="AQ150" t="inlineStr">
        <is>
          <t>Yes</t>
        </is>
      </c>
      <c r="AR150">
        <f>HYPERLINK("http://catalog.hathitrust.org/Record/000974530","HathiTrust Record")</f>
        <v/>
      </c>
      <c r="AS150">
        <f>HYPERLINK("https://creighton-primo.hosted.exlibrisgroup.com/primo-explore/search?tab=default_tab&amp;search_scope=EVERYTHING&amp;vid=01CRU&amp;lang=en_US&amp;offset=0&amp;query=any,contains,991003366289702656","Catalog Record")</f>
        <v/>
      </c>
      <c r="AT150">
        <f>HYPERLINK("http://www.worldcat.org/oclc/902126","WorldCat Record")</f>
        <v/>
      </c>
      <c r="AU150" t="inlineStr">
        <is>
          <t>422790072:eng</t>
        </is>
      </c>
      <c r="AV150" t="inlineStr">
        <is>
          <t>902126</t>
        </is>
      </c>
      <c r="AW150" t="inlineStr">
        <is>
          <t>991003366289702656</t>
        </is>
      </c>
      <c r="AX150" t="inlineStr">
        <is>
          <t>991003366289702656</t>
        </is>
      </c>
      <c r="AY150" t="inlineStr">
        <is>
          <t>2262482770002656</t>
        </is>
      </c>
      <c r="AZ150" t="inlineStr">
        <is>
          <t>BOOK</t>
        </is>
      </c>
      <c r="BC150" t="inlineStr">
        <is>
          <t>32285001380244</t>
        </is>
      </c>
      <c r="BD150" t="inlineStr">
        <is>
          <t>893805730</t>
        </is>
      </c>
    </row>
    <row r="151">
      <c r="A151" t="inlineStr">
        <is>
          <t>No</t>
        </is>
      </c>
      <c r="B151" t="inlineStr">
        <is>
          <t>HN31 .H43</t>
        </is>
      </c>
      <c r="C151" t="inlineStr">
        <is>
          <t>0                      HN 0031000H  43</t>
        </is>
      </c>
      <c r="D151" t="inlineStr">
        <is>
          <t>A religious foundation of human relations : beyond games / by George Henderson.</t>
        </is>
      </c>
      <c r="F151" t="inlineStr">
        <is>
          <t>No</t>
        </is>
      </c>
      <c r="G151" t="inlineStr">
        <is>
          <t>1</t>
        </is>
      </c>
      <c r="H151" t="inlineStr">
        <is>
          <t>No</t>
        </is>
      </c>
      <c r="I151" t="inlineStr">
        <is>
          <t>No</t>
        </is>
      </c>
      <c r="J151" t="inlineStr">
        <is>
          <t>0</t>
        </is>
      </c>
      <c r="K151" t="inlineStr">
        <is>
          <t>Henderson, George, 1932-</t>
        </is>
      </c>
      <c r="L151" t="inlineStr">
        <is>
          <t>Norman : University of Oklahoma Press, c1977.</t>
        </is>
      </c>
      <c r="M151" t="inlineStr">
        <is>
          <t>1977</t>
        </is>
      </c>
      <c r="O151" t="inlineStr">
        <is>
          <t>eng</t>
        </is>
      </c>
      <c r="P151" t="inlineStr">
        <is>
          <t>oku</t>
        </is>
      </c>
      <c r="R151" t="inlineStr">
        <is>
          <t xml:space="preserve">HN </t>
        </is>
      </c>
      <c r="S151" t="n">
        <v>2</v>
      </c>
      <c r="T151" t="n">
        <v>2</v>
      </c>
      <c r="U151" t="inlineStr">
        <is>
          <t>1998-11-03</t>
        </is>
      </c>
      <c r="V151" t="inlineStr">
        <is>
          <t>1998-11-03</t>
        </is>
      </c>
      <c r="W151" t="inlineStr">
        <is>
          <t>1997-08-04</t>
        </is>
      </c>
      <c r="X151" t="inlineStr">
        <is>
          <t>1997-08-04</t>
        </is>
      </c>
      <c r="Y151" t="n">
        <v>375</v>
      </c>
      <c r="Z151" t="n">
        <v>347</v>
      </c>
      <c r="AA151" t="n">
        <v>446</v>
      </c>
      <c r="AB151" t="n">
        <v>3</v>
      </c>
      <c r="AC151" t="n">
        <v>3</v>
      </c>
      <c r="AD151" t="n">
        <v>20</v>
      </c>
      <c r="AE151" t="n">
        <v>22</v>
      </c>
      <c r="AF151" t="n">
        <v>5</v>
      </c>
      <c r="AG151" t="n">
        <v>6</v>
      </c>
      <c r="AH151" t="n">
        <v>5</v>
      </c>
      <c r="AI151" t="n">
        <v>5</v>
      </c>
      <c r="AJ151" t="n">
        <v>10</v>
      </c>
      <c r="AK151" t="n">
        <v>11</v>
      </c>
      <c r="AL151" t="n">
        <v>2</v>
      </c>
      <c r="AM151" t="n">
        <v>2</v>
      </c>
      <c r="AN151" t="n">
        <v>0</v>
      </c>
      <c r="AO151" t="n">
        <v>0</v>
      </c>
      <c r="AP151" t="inlineStr">
        <is>
          <t>No</t>
        </is>
      </c>
      <c r="AQ151" t="inlineStr">
        <is>
          <t>No</t>
        </is>
      </c>
      <c r="AS151">
        <f>HYPERLINK("https://creighton-primo.hosted.exlibrisgroup.com/primo-explore/search?tab=default_tab&amp;search_scope=EVERYTHING&amp;vid=01CRU&amp;lang=en_US&amp;offset=0&amp;query=any,contains,991004299939702656","Catalog Record")</f>
        <v/>
      </c>
      <c r="AT151">
        <f>HYPERLINK("http://www.worldcat.org/oclc/2967764","WorldCat Record")</f>
        <v/>
      </c>
      <c r="AU151" t="inlineStr">
        <is>
          <t>799758771:eng</t>
        </is>
      </c>
      <c r="AV151" t="inlineStr">
        <is>
          <t>2967764</t>
        </is>
      </c>
      <c r="AW151" t="inlineStr">
        <is>
          <t>991004299939702656</t>
        </is>
      </c>
      <c r="AX151" t="inlineStr">
        <is>
          <t>991004299939702656</t>
        </is>
      </c>
      <c r="AY151" t="inlineStr">
        <is>
          <t>2269455070002656</t>
        </is>
      </c>
      <c r="AZ151" t="inlineStr">
        <is>
          <t>BOOK</t>
        </is>
      </c>
      <c r="BB151" t="inlineStr">
        <is>
          <t>9780806113982</t>
        </is>
      </c>
      <c r="BC151" t="inlineStr">
        <is>
          <t>32285003041067</t>
        </is>
      </c>
      <c r="BD151" t="inlineStr">
        <is>
          <t>893888533</t>
        </is>
      </c>
    </row>
    <row r="152">
      <c r="A152" t="inlineStr">
        <is>
          <t>No</t>
        </is>
      </c>
      <c r="B152" t="inlineStr">
        <is>
          <t>HN31 .O3</t>
        </is>
      </c>
      <c r="C152" t="inlineStr">
        <is>
          <t>0                      HN 0031000O  3</t>
        </is>
      </c>
      <c r="D152" t="inlineStr">
        <is>
          <t>The sociology of religion / [by] Thomas F. O'Dea.</t>
        </is>
      </c>
      <c r="F152" t="inlineStr">
        <is>
          <t>No</t>
        </is>
      </c>
      <c r="G152" t="inlineStr">
        <is>
          <t>1</t>
        </is>
      </c>
      <c r="H152" t="inlineStr">
        <is>
          <t>No</t>
        </is>
      </c>
      <c r="I152" t="inlineStr">
        <is>
          <t>No</t>
        </is>
      </c>
      <c r="J152" t="inlineStr">
        <is>
          <t>0</t>
        </is>
      </c>
      <c r="K152" t="inlineStr">
        <is>
          <t>O'Dea, Thomas F.</t>
        </is>
      </c>
      <c r="L152" t="inlineStr">
        <is>
          <t>Englewood Cliffs, N.J. : Prentice-Hall, [1966]</t>
        </is>
      </c>
      <c r="M152" t="inlineStr">
        <is>
          <t>1966</t>
        </is>
      </c>
      <c r="O152" t="inlineStr">
        <is>
          <t>eng</t>
        </is>
      </c>
      <c r="P152" t="inlineStr">
        <is>
          <t>nju</t>
        </is>
      </c>
      <c r="Q152" t="inlineStr">
        <is>
          <t>Foundations of modern sociology series</t>
        </is>
      </c>
      <c r="R152" t="inlineStr">
        <is>
          <t xml:space="preserve">HN </t>
        </is>
      </c>
      <c r="S152" t="n">
        <v>2</v>
      </c>
      <c r="T152" t="n">
        <v>2</v>
      </c>
      <c r="U152" t="inlineStr">
        <is>
          <t>2008-04-26</t>
        </is>
      </c>
      <c r="V152" t="inlineStr">
        <is>
          <t>2008-04-26</t>
        </is>
      </c>
      <c r="W152" t="inlineStr">
        <is>
          <t>1995-04-26</t>
        </is>
      </c>
      <c r="X152" t="inlineStr">
        <is>
          <t>1995-04-26</t>
        </is>
      </c>
      <c r="Y152" t="n">
        <v>1295</v>
      </c>
      <c r="Z152" t="n">
        <v>1020</v>
      </c>
      <c r="AA152" t="n">
        <v>1173</v>
      </c>
      <c r="AB152" t="n">
        <v>9</v>
      </c>
      <c r="AC152" t="n">
        <v>9</v>
      </c>
      <c r="AD152" t="n">
        <v>38</v>
      </c>
      <c r="AE152" t="n">
        <v>47</v>
      </c>
      <c r="AF152" t="n">
        <v>14</v>
      </c>
      <c r="AG152" t="n">
        <v>20</v>
      </c>
      <c r="AH152" t="n">
        <v>6</v>
      </c>
      <c r="AI152" t="n">
        <v>7</v>
      </c>
      <c r="AJ152" t="n">
        <v>19</v>
      </c>
      <c r="AK152" t="n">
        <v>26</v>
      </c>
      <c r="AL152" t="n">
        <v>7</v>
      </c>
      <c r="AM152" t="n">
        <v>7</v>
      </c>
      <c r="AN152" t="n">
        <v>0</v>
      </c>
      <c r="AO152" t="n">
        <v>0</v>
      </c>
      <c r="AP152" t="inlineStr">
        <is>
          <t>No</t>
        </is>
      </c>
      <c r="AQ152" t="inlineStr">
        <is>
          <t>Yes</t>
        </is>
      </c>
      <c r="AR152">
        <f>HYPERLINK("http://catalog.hathitrust.org/Record/001397088","HathiTrust Record")</f>
        <v/>
      </c>
      <c r="AS152">
        <f>HYPERLINK("https://creighton-primo.hosted.exlibrisgroup.com/primo-explore/search?tab=default_tab&amp;search_scope=EVERYTHING&amp;vid=01CRU&amp;lang=en_US&amp;offset=0&amp;query=any,contains,991002326439702656","Catalog Record")</f>
        <v/>
      </c>
      <c r="AT152">
        <f>HYPERLINK("http://www.worldcat.org/oclc/320993","WorldCat Record")</f>
        <v/>
      </c>
      <c r="AU152" t="inlineStr">
        <is>
          <t>412294:eng</t>
        </is>
      </c>
      <c r="AV152" t="inlineStr">
        <is>
          <t>320993</t>
        </is>
      </c>
      <c r="AW152" t="inlineStr">
        <is>
          <t>991002326439702656</t>
        </is>
      </c>
      <c r="AX152" t="inlineStr">
        <is>
          <t>991002326439702656</t>
        </is>
      </c>
      <c r="AY152" t="inlineStr">
        <is>
          <t>2255904790002656</t>
        </is>
      </c>
      <c r="AZ152" t="inlineStr">
        <is>
          <t>BOOK</t>
        </is>
      </c>
      <c r="BC152" t="inlineStr">
        <is>
          <t>32285002029451</t>
        </is>
      </c>
      <c r="BD152" t="inlineStr">
        <is>
          <t>893786008</t>
        </is>
      </c>
    </row>
    <row r="153">
      <c r="A153" t="inlineStr">
        <is>
          <t>No</t>
        </is>
      </c>
      <c r="B153" t="inlineStr">
        <is>
          <t>HN31 .P419 1984</t>
        </is>
      </c>
      <c r="C153" t="inlineStr">
        <is>
          <t>0                      HN 0031000P  419         1984</t>
        </is>
      </c>
      <c r="D153" t="inlineStr">
        <is>
          <t>Activism that makes sense : congregations and community organization / Gregory F. Pierce.</t>
        </is>
      </c>
      <c r="F153" t="inlineStr">
        <is>
          <t>No</t>
        </is>
      </c>
      <c r="G153" t="inlineStr">
        <is>
          <t>1</t>
        </is>
      </c>
      <c r="H153" t="inlineStr">
        <is>
          <t>No</t>
        </is>
      </c>
      <c r="I153" t="inlineStr">
        <is>
          <t>No</t>
        </is>
      </c>
      <c r="J153" t="inlineStr">
        <is>
          <t>0</t>
        </is>
      </c>
      <c r="K153" t="inlineStr">
        <is>
          <t>Pierce, Gregory F.</t>
        </is>
      </c>
      <c r="L153" t="inlineStr">
        <is>
          <t>New York : Paulist Press, c1984.</t>
        </is>
      </c>
      <c r="M153" t="inlineStr">
        <is>
          <t>1984</t>
        </is>
      </c>
      <c r="O153" t="inlineStr">
        <is>
          <t>eng</t>
        </is>
      </c>
      <c r="P153" t="inlineStr">
        <is>
          <t>nyu</t>
        </is>
      </c>
      <c r="R153" t="inlineStr">
        <is>
          <t xml:space="preserve">HN </t>
        </is>
      </c>
      <c r="S153" t="n">
        <v>6</v>
      </c>
      <c r="T153" t="n">
        <v>6</v>
      </c>
      <c r="U153" t="inlineStr">
        <is>
          <t>2009-07-06</t>
        </is>
      </c>
      <c r="V153" t="inlineStr">
        <is>
          <t>2009-07-06</t>
        </is>
      </c>
      <c r="W153" t="inlineStr">
        <is>
          <t>1991-08-08</t>
        </is>
      </c>
      <c r="X153" t="inlineStr">
        <is>
          <t>1991-08-08</t>
        </is>
      </c>
      <c r="Y153" t="n">
        <v>207</v>
      </c>
      <c r="Z153" t="n">
        <v>182</v>
      </c>
      <c r="AA153" t="n">
        <v>227</v>
      </c>
      <c r="AB153" t="n">
        <v>2</v>
      </c>
      <c r="AC153" t="n">
        <v>2</v>
      </c>
      <c r="AD153" t="n">
        <v>16</v>
      </c>
      <c r="AE153" t="n">
        <v>19</v>
      </c>
      <c r="AF153" t="n">
        <v>5</v>
      </c>
      <c r="AG153" t="n">
        <v>6</v>
      </c>
      <c r="AH153" t="n">
        <v>4</v>
      </c>
      <c r="AI153" t="n">
        <v>5</v>
      </c>
      <c r="AJ153" t="n">
        <v>10</v>
      </c>
      <c r="AK153" t="n">
        <v>12</v>
      </c>
      <c r="AL153" t="n">
        <v>1</v>
      </c>
      <c r="AM153" t="n">
        <v>1</v>
      </c>
      <c r="AN153" t="n">
        <v>0</v>
      </c>
      <c r="AO153" t="n">
        <v>0</v>
      </c>
      <c r="AP153" t="inlineStr">
        <is>
          <t>No</t>
        </is>
      </c>
      <c r="AQ153" t="inlineStr">
        <is>
          <t>No</t>
        </is>
      </c>
      <c r="AS153">
        <f>HYPERLINK("https://creighton-primo.hosted.exlibrisgroup.com/primo-explore/search?tab=default_tab&amp;search_scope=EVERYTHING&amp;vid=01CRU&amp;lang=en_US&amp;offset=0&amp;query=any,contains,991000504179702656","Catalog Record")</f>
        <v/>
      </c>
      <c r="AT153">
        <f>HYPERLINK("http://www.worldcat.org/oclc/11198399","WorldCat Record")</f>
        <v/>
      </c>
      <c r="AU153" t="inlineStr">
        <is>
          <t>4249599:eng</t>
        </is>
      </c>
      <c r="AV153" t="inlineStr">
        <is>
          <t>11198399</t>
        </is>
      </c>
      <c r="AW153" t="inlineStr">
        <is>
          <t>991000504179702656</t>
        </is>
      </c>
      <c r="AX153" t="inlineStr">
        <is>
          <t>991000504179702656</t>
        </is>
      </c>
      <c r="AY153" t="inlineStr">
        <is>
          <t>2259767530002656</t>
        </is>
      </c>
      <c r="AZ153" t="inlineStr">
        <is>
          <t>BOOK</t>
        </is>
      </c>
      <c r="BB153" t="inlineStr">
        <is>
          <t>9780809126002</t>
        </is>
      </c>
      <c r="BC153" t="inlineStr">
        <is>
          <t>32285000681311</t>
        </is>
      </c>
      <c r="BD153" t="inlineStr">
        <is>
          <t>893796720</t>
        </is>
      </c>
    </row>
    <row r="154">
      <c r="A154" t="inlineStr">
        <is>
          <t>No</t>
        </is>
      </c>
      <c r="B154" t="inlineStr">
        <is>
          <t>HN31 .R45 2001</t>
        </is>
      </c>
      <c r="C154" t="inlineStr">
        <is>
          <t>0                      HN 0031000R  45          2001</t>
        </is>
      </c>
      <c r="D154" t="inlineStr">
        <is>
          <t>Religion and social policy / edited by Paula D. Nesbitt.</t>
        </is>
      </c>
      <c r="F154" t="inlineStr">
        <is>
          <t>No</t>
        </is>
      </c>
      <c r="G154" t="inlineStr">
        <is>
          <t>1</t>
        </is>
      </c>
      <c r="H154" t="inlineStr">
        <is>
          <t>No</t>
        </is>
      </c>
      <c r="I154" t="inlineStr">
        <is>
          <t>No</t>
        </is>
      </c>
      <c r="J154" t="inlineStr">
        <is>
          <t>0</t>
        </is>
      </c>
      <c r="L154" t="inlineStr">
        <is>
          <t>Walnut Creek, CA : AltaMira Press, c2001.</t>
        </is>
      </c>
      <c r="M154" t="inlineStr">
        <is>
          <t>2001</t>
        </is>
      </c>
      <c r="O154" t="inlineStr">
        <is>
          <t>eng</t>
        </is>
      </c>
      <c r="P154" t="inlineStr">
        <is>
          <t>cau</t>
        </is>
      </c>
      <c r="R154" t="inlineStr">
        <is>
          <t xml:space="preserve">HN </t>
        </is>
      </c>
      <c r="S154" t="n">
        <v>7</v>
      </c>
      <c r="T154" t="n">
        <v>7</v>
      </c>
      <c r="U154" t="inlineStr">
        <is>
          <t>2008-03-12</t>
        </is>
      </c>
      <c r="V154" t="inlineStr">
        <is>
          <t>2008-03-12</t>
        </is>
      </c>
      <c r="W154" t="inlineStr">
        <is>
          <t>2002-03-05</t>
        </is>
      </c>
      <c r="X154" t="inlineStr">
        <is>
          <t>2002-03-05</t>
        </is>
      </c>
      <c r="Y154" t="n">
        <v>232</v>
      </c>
      <c r="Z154" t="n">
        <v>195</v>
      </c>
      <c r="AA154" t="n">
        <v>197</v>
      </c>
      <c r="AB154" t="n">
        <v>2</v>
      </c>
      <c r="AC154" t="n">
        <v>2</v>
      </c>
      <c r="AD154" t="n">
        <v>11</v>
      </c>
      <c r="AE154" t="n">
        <v>11</v>
      </c>
      <c r="AF154" t="n">
        <v>5</v>
      </c>
      <c r="AG154" t="n">
        <v>5</v>
      </c>
      <c r="AH154" t="n">
        <v>4</v>
      </c>
      <c r="AI154" t="n">
        <v>4</v>
      </c>
      <c r="AJ154" t="n">
        <v>5</v>
      </c>
      <c r="AK154" t="n">
        <v>5</v>
      </c>
      <c r="AL154" t="n">
        <v>1</v>
      </c>
      <c r="AM154" t="n">
        <v>1</v>
      </c>
      <c r="AN154" t="n">
        <v>0</v>
      </c>
      <c r="AO154" t="n">
        <v>0</v>
      </c>
      <c r="AP154" t="inlineStr">
        <is>
          <t>No</t>
        </is>
      </c>
      <c r="AQ154" t="inlineStr">
        <is>
          <t>Yes</t>
        </is>
      </c>
      <c r="AR154">
        <f>HYPERLINK("http://catalog.hathitrust.org/Record/004206718","HathiTrust Record")</f>
        <v/>
      </c>
      <c r="AS154">
        <f>HYPERLINK("https://creighton-primo.hosted.exlibrisgroup.com/primo-explore/search?tab=default_tab&amp;search_scope=EVERYTHING&amp;vid=01CRU&amp;lang=en_US&amp;offset=0&amp;query=any,contains,991003726939702656","Catalog Record")</f>
        <v/>
      </c>
      <c r="AT154">
        <f>HYPERLINK("http://www.worldcat.org/oclc/46472129","WorldCat Record")</f>
        <v/>
      </c>
      <c r="AU154" t="inlineStr">
        <is>
          <t>35592563:eng</t>
        </is>
      </c>
      <c r="AV154" t="inlineStr">
        <is>
          <t>46472129</t>
        </is>
      </c>
      <c r="AW154" t="inlineStr">
        <is>
          <t>991003726939702656</t>
        </is>
      </c>
      <c r="AX154" t="inlineStr">
        <is>
          <t>991003726939702656</t>
        </is>
      </c>
      <c r="AY154" t="inlineStr">
        <is>
          <t>2262649180002656</t>
        </is>
      </c>
      <c r="AZ154" t="inlineStr">
        <is>
          <t>BOOK</t>
        </is>
      </c>
      <c r="BB154" t="inlineStr">
        <is>
          <t>9780759100886</t>
        </is>
      </c>
      <c r="BC154" t="inlineStr">
        <is>
          <t>32285004459318</t>
        </is>
      </c>
      <c r="BD154" t="inlineStr">
        <is>
          <t>893722075</t>
        </is>
      </c>
    </row>
    <row r="155">
      <c r="A155" t="inlineStr">
        <is>
          <t>No</t>
        </is>
      </c>
      <c r="B155" t="inlineStr">
        <is>
          <t>HN31 .S74 1984</t>
        </is>
      </c>
      <c r="C155" t="inlineStr">
        <is>
          <t>0                      HN 0031000S  74          1984</t>
        </is>
      </c>
      <c r="D155" t="inlineStr">
        <is>
          <t>Social justice ministry : foundations and concerns / Paul Steidl-Meier.</t>
        </is>
      </c>
      <c r="F155" t="inlineStr">
        <is>
          <t>No</t>
        </is>
      </c>
      <c r="G155" t="inlineStr">
        <is>
          <t>1</t>
        </is>
      </c>
      <c r="H155" t="inlineStr">
        <is>
          <t>No</t>
        </is>
      </c>
      <c r="I155" t="inlineStr">
        <is>
          <t>No</t>
        </is>
      </c>
      <c r="J155" t="inlineStr">
        <is>
          <t>0</t>
        </is>
      </c>
      <c r="K155" t="inlineStr">
        <is>
          <t>Steidlmeier, Paul, 1942-</t>
        </is>
      </c>
      <c r="L155" t="inlineStr">
        <is>
          <t>New York : LeJacq, c1984.</t>
        </is>
      </c>
      <c r="M155" t="inlineStr">
        <is>
          <t>1984</t>
        </is>
      </c>
      <c r="O155" t="inlineStr">
        <is>
          <t>eng</t>
        </is>
      </c>
      <c r="P155" t="inlineStr">
        <is>
          <t>nyu</t>
        </is>
      </c>
      <c r="R155" t="inlineStr">
        <is>
          <t xml:space="preserve">HN </t>
        </is>
      </c>
      <c r="S155" t="n">
        <v>7</v>
      </c>
      <c r="T155" t="n">
        <v>7</v>
      </c>
      <c r="U155" t="inlineStr">
        <is>
          <t>1995-11-20</t>
        </is>
      </c>
      <c r="V155" t="inlineStr">
        <is>
          <t>1995-11-20</t>
        </is>
      </c>
      <c r="W155" t="inlineStr">
        <is>
          <t>1992-07-16</t>
        </is>
      </c>
      <c r="X155" t="inlineStr">
        <is>
          <t>1992-07-16</t>
        </is>
      </c>
      <c r="Y155" t="n">
        <v>145</v>
      </c>
      <c r="Z155" t="n">
        <v>121</v>
      </c>
      <c r="AA155" t="n">
        <v>123</v>
      </c>
      <c r="AB155" t="n">
        <v>1</v>
      </c>
      <c r="AC155" t="n">
        <v>1</v>
      </c>
      <c r="AD155" t="n">
        <v>22</v>
      </c>
      <c r="AE155" t="n">
        <v>22</v>
      </c>
      <c r="AF155" t="n">
        <v>7</v>
      </c>
      <c r="AG155" t="n">
        <v>7</v>
      </c>
      <c r="AH155" t="n">
        <v>6</v>
      </c>
      <c r="AI155" t="n">
        <v>6</v>
      </c>
      <c r="AJ155" t="n">
        <v>17</v>
      </c>
      <c r="AK155" t="n">
        <v>17</v>
      </c>
      <c r="AL155" t="n">
        <v>0</v>
      </c>
      <c r="AM155" t="n">
        <v>0</v>
      </c>
      <c r="AN155" t="n">
        <v>0</v>
      </c>
      <c r="AO155" t="n">
        <v>0</v>
      </c>
      <c r="AP155" t="inlineStr">
        <is>
          <t>No</t>
        </is>
      </c>
      <c r="AQ155" t="inlineStr">
        <is>
          <t>Yes</t>
        </is>
      </c>
      <c r="AR155">
        <f>HYPERLINK("http://catalog.hathitrust.org/Record/000378750","HathiTrust Record")</f>
        <v/>
      </c>
      <c r="AS155">
        <f>HYPERLINK("https://creighton-primo.hosted.exlibrisgroup.com/primo-explore/search?tab=default_tab&amp;search_scope=EVERYTHING&amp;vid=01CRU&amp;lang=en_US&amp;offset=0&amp;query=any,contains,991000361279702656","Catalog Record")</f>
        <v/>
      </c>
      <c r="AT155">
        <f>HYPERLINK("http://www.worldcat.org/oclc/12104371","WorldCat Record")</f>
        <v/>
      </c>
      <c r="AU155" t="inlineStr">
        <is>
          <t>3099820:eng</t>
        </is>
      </c>
      <c r="AV155" t="inlineStr">
        <is>
          <t>12104371</t>
        </is>
      </c>
      <c r="AW155" t="inlineStr">
        <is>
          <t>991000361279702656</t>
        </is>
      </c>
      <c r="AX155" t="inlineStr">
        <is>
          <t>991000361279702656</t>
        </is>
      </c>
      <c r="AY155" t="inlineStr">
        <is>
          <t>2255657520002656</t>
        </is>
      </c>
      <c r="AZ155" t="inlineStr">
        <is>
          <t>BOOK</t>
        </is>
      </c>
      <c r="BB155" t="inlineStr">
        <is>
          <t>9780937716182</t>
        </is>
      </c>
      <c r="BC155" t="inlineStr">
        <is>
          <t>32285001154136</t>
        </is>
      </c>
      <c r="BD155" t="inlineStr">
        <is>
          <t>893320984</t>
        </is>
      </c>
    </row>
    <row r="156">
      <c r="A156" t="inlineStr">
        <is>
          <t>No</t>
        </is>
      </c>
      <c r="B156" t="inlineStr">
        <is>
          <t>HN310.V5 O68 1980</t>
        </is>
      </c>
      <c r="C156" t="inlineStr">
        <is>
          <t>0                      HN 0310000V  5                  O  68          1980</t>
        </is>
      </c>
      <c r="D156" t="inlineStr">
        <is>
          <t>Violence, conflict, and politics in Colombia / Paul Oquist.</t>
        </is>
      </c>
      <c r="F156" t="inlineStr">
        <is>
          <t>No</t>
        </is>
      </c>
      <c r="G156" t="inlineStr">
        <is>
          <t>1</t>
        </is>
      </c>
      <c r="H156" t="inlineStr">
        <is>
          <t>No</t>
        </is>
      </c>
      <c r="I156" t="inlineStr">
        <is>
          <t>No</t>
        </is>
      </c>
      <c r="J156" t="inlineStr">
        <is>
          <t>0</t>
        </is>
      </c>
      <c r="K156" t="inlineStr">
        <is>
          <t>Oquist, Paul H.</t>
        </is>
      </c>
      <c r="L156" t="inlineStr">
        <is>
          <t>New York : Academic Press, 1980.</t>
        </is>
      </c>
      <c r="M156" t="inlineStr">
        <is>
          <t>1980</t>
        </is>
      </c>
      <c r="O156" t="inlineStr">
        <is>
          <t>eng</t>
        </is>
      </c>
      <c r="P156" t="inlineStr">
        <is>
          <t>nyu</t>
        </is>
      </c>
      <c r="Q156" t="inlineStr">
        <is>
          <t>Studies in social discontinuity</t>
        </is>
      </c>
      <c r="R156" t="inlineStr">
        <is>
          <t xml:space="preserve">HN </t>
        </is>
      </c>
      <c r="S156" t="n">
        <v>20</v>
      </c>
      <c r="T156" t="n">
        <v>20</v>
      </c>
      <c r="U156" t="inlineStr">
        <is>
          <t>2005-04-12</t>
        </is>
      </c>
      <c r="V156" t="inlineStr">
        <is>
          <t>2005-04-12</t>
        </is>
      </c>
      <c r="W156" t="inlineStr">
        <is>
          <t>1990-02-26</t>
        </is>
      </c>
      <c r="X156" t="inlineStr">
        <is>
          <t>1990-02-26</t>
        </is>
      </c>
      <c r="Y156" t="n">
        <v>480</v>
      </c>
      <c r="Z156" t="n">
        <v>380</v>
      </c>
      <c r="AA156" t="n">
        <v>390</v>
      </c>
      <c r="AB156" t="n">
        <v>2</v>
      </c>
      <c r="AC156" t="n">
        <v>2</v>
      </c>
      <c r="AD156" t="n">
        <v>15</v>
      </c>
      <c r="AE156" t="n">
        <v>15</v>
      </c>
      <c r="AF156" t="n">
        <v>3</v>
      </c>
      <c r="AG156" t="n">
        <v>3</v>
      </c>
      <c r="AH156" t="n">
        <v>5</v>
      </c>
      <c r="AI156" t="n">
        <v>5</v>
      </c>
      <c r="AJ156" t="n">
        <v>12</v>
      </c>
      <c r="AK156" t="n">
        <v>12</v>
      </c>
      <c r="AL156" t="n">
        <v>1</v>
      </c>
      <c r="AM156" t="n">
        <v>1</v>
      </c>
      <c r="AN156" t="n">
        <v>0</v>
      </c>
      <c r="AO156" t="n">
        <v>0</v>
      </c>
      <c r="AP156" t="inlineStr">
        <is>
          <t>No</t>
        </is>
      </c>
      <c r="AQ156" t="inlineStr">
        <is>
          <t>Yes</t>
        </is>
      </c>
      <c r="AR156">
        <f>HYPERLINK("http://catalog.hathitrust.org/Record/000129298","HathiTrust Record")</f>
        <v/>
      </c>
      <c r="AS156">
        <f>HYPERLINK("https://creighton-primo.hosted.exlibrisgroup.com/primo-explore/search?tab=default_tab&amp;search_scope=EVERYTHING&amp;vid=01CRU&amp;lang=en_US&amp;offset=0&amp;query=any,contains,991005040589702656","Catalog Record")</f>
        <v/>
      </c>
      <c r="AT156">
        <f>HYPERLINK("http://www.worldcat.org/oclc/6790273","WorldCat Record")</f>
        <v/>
      </c>
      <c r="AU156" t="inlineStr">
        <is>
          <t>118006401:eng</t>
        </is>
      </c>
      <c r="AV156" t="inlineStr">
        <is>
          <t>6790273</t>
        </is>
      </c>
      <c r="AW156" t="inlineStr">
        <is>
          <t>991005040589702656</t>
        </is>
      </c>
      <c r="AX156" t="inlineStr">
        <is>
          <t>991005040589702656</t>
        </is>
      </c>
      <c r="AY156" t="inlineStr">
        <is>
          <t>2271880530002656</t>
        </is>
      </c>
      <c r="AZ156" t="inlineStr">
        <is>
          <t>BOOK</t>
        </is>
      </c>
      <c r="BB156" t="inlineStr">
        <is>
          <t>9780125277501</t>
        </is>
      </c>
      <c r="BC156" t="inlineStr">
        <is>
          <t>32285000059492</t>
        </is>
      </c>
      <c r="BD156" t="inlineStr">
        <is>
          <t>893713352</t>
        </is>
      </c>
    </row>
    <row r="157">
      <c r="A157" t="inlineStr">
        <is>
          <t>No</t>
        </is>
      </c>
      <c r="B157" t="inlineStr">
        <is>
          <t>HN310.Z9 V53213 1994</t>
        </is>
      </c>
      <c r="C157" t="inlineStr">
        <is>
          <t>0                      HN 0310000Z  9                  V  53213       1994</t>
        </is>
      </c>
      <c r="D157" t="inlineStr">
        <is>
          <t>Death beat : a Colombian journalist's life inside the cocaine wars / María Jimena Duzán ; translated and edited by Peter Eisner.</t>
        </is>
      </c>
      <c r="F157" t="inlineStr">
        <is>
          <t>No</t>
        </is>
      </c>
      <c r="G157" t="inlineStr">
        <is>
          <t>1</t>
        </is>
      </c>
      <c r="H157" t="inlineStr">
        <is>
          <t>No</t>
        </is>
      </c>
      <c r="I157" t="inlineStr">
        <is>
          <t>No</t>
        </is>
      </c>
      <c r="J157" t="inlineStr">
        <is>
          <t>0</t>
        </is>
      </c>
      <c r="K157" t="inlineStr">
        <is>
          <t>Duzán, María Jimena.</t>
        </is>
      </c>
      <c r="L157" t="inlineStr">
        <is>
          <t>New York : Harper Collins, c1994.</t>
        </is>
      </c>
      <c r="M157" t="inlineStr">
        <is>
          <t>1994</t>
        </is>
      </c>
      <c r="N157" t="inlineStr">
        <is>
          <t>1st ed.</t>
        </is>
      </c>
      <c r="O157" t="inlineStr">
        <is>
          <t>eng</t>
        </is>
      </c>
      <c r="P157" t="inlineStr">
        <is>
          <t>nyu</t>
        </is>
      </c>
      <c r="R157" t="inlineStr">
        <is>
          <t xml:space="preserve">HN </t>
        </is>
      </c>
      <c r="S157" t="n">
        <v>20</v>
      </c>
      <c r="T157" t="n">
        <v>20</v>
      </c>
      <c r="U157" t="inlineStr">
        <is>
          <t>2003-04-14</t>
        </is>
      </c>
      <c r="V157" t="inlineStr">
        <is>
          <t>2003-04-14</t>
        </is>
      </c>
      <c r="W157" t="inlineStr">
        <is>
          <t>1994-07-22</t>
        </is>
      </c>
      <c r="X157" t="inlineStr">
        <is>
          <t>1994-07-22</t>
        </is>
      </c>
      <c r="Y157" t="n">
        <v>471</v>
      </c>
      <c r="Z157" t="n">
        <v>444</v>
      </c>
      <c r="AA157" t="n">
        <v>452</v>
      </c>
      <c r="AB157" t="n">
        <v>3</v>
      </c>
      <c r="AC157" t="n">
        <v>3</v>
      </c>
      <c r="AD157" t="n">
        <v>11</v>
      </c>
      <c r="AE157" t="n">
        <v>11</v>
      </c>
      <c r="AF157" t="n">
        <v>3</v>
      </c>
      <c r="AG157" t="n">
        <v>3</v>
      </c>
      <c r="AH157" t="n">
        <v>2</v>
      </c>
      <c r="AI157" t="n">
        <v>2</v>
      </c>
      <c r="AJ157" t="n">
        <v>6</v>
      </c>
      <c r="AK157" t="n">
        <v>6</v>
      </c>
      <c r="AL157" t="n">
        <v>1</v>
      </c>
      <c r="AM157" t="n">
        <v>1</v>
      </c>
      <c r="AN157" t="n">
        <v>1</v>
      </c>
      <c r="AO157" t="n">
        <v>1</v>
      </c>
      <c r="AP157" t="inlineStr">
        <is>
          <t>No</t>
        </is>
      </c>
      <c r="AQ157" t="inlineStr">
        <is>
          <t>No</t>
        </is>
      </c>
      <c r="AS157">
        <f>HYPERLINK("https://creighton-primo.hosted.exlibrisgroup.com/primo-explore/search?tab=default_tab&amp;search_scope=EVERYTHING&amp;vid=01CRU&amp;lang=en_US&amp;offset=0&amp;query=any,contains,991002236439702656","Catalog Record")</f>
        <v/>
      </c>
      <c r="AT157">
        <f>HYPERLINK("http://www.worldcat.org/oclc/28847710","WorldCat Record")</f>
        <v/>
      </c>
      <c r="AU157" t="inlineStr">
        <is>
          <t>30418667:eng</t>
        </is>
      </c>
      <c r="AV157" t="inlineStr">
        <is>
          <t>28847710</t>
        </is>
      </c>
      <c r="AW157" t="inlineStr">
        <is>
          <t>991002236439702656</t>
        </is>
      </c>
      <c r="AX157" t="inlineStr">
        <is>
          <t>991002236439702656</t>
        </is>
      </c>
      <c r="AY157" t="inlineStr">
        <is>
          <t>2262895300002656</t>
        </is>
      </c>
      <c r="AZ157" t="inlineStr">
        <is>
          <t>BOOK</t>
        </is>
      </c>
      <c r="BB157" t="inlineStr">
        <is>
          <t>9780060170578</t>
        </is>
      </c>
      <c r="BC157" t="inlineStr">
        <is>
          <t>32285001933281</t>
        </is>
      </c>
      <c r="BD157" t="inlineStr">
        <is>
          <t>893792206</t>
        </is>
      </c>
    </row>
    <row r="158">
      <c r="A158" t="inlineStr">
        <is>
          <t>No</t>
        </is>
      </c>
      <c r="B158" t="inlineStr">
        <is>
          <t>HN310.Z9 V588 2001</t>
        </is>
      </c>
      <c r="C158" t="inlineStr">
        <is>
          <t>0                      HN 0310000Z  9                  V  588         2001</t>
        </is>
      </c>
      <c r="D158" t="inlineStr">
        <is>
          <t>Violence in Colombia, 1990-2000 : waging war and negotiating peace / edited by Charles Bergquist, Ricardo Peñaranda, and Gonzalo Sánchez G.</t>
        </is>
      </c>
      <c r="F158" t="inlineStr">
        <is>
          <t>No</t>
        </is>
      </c>
      <c r="G158" t="inlineStr">
        <is>
          <t>1</t>
        </is>
      </c>
      <c r="H158" t="inlineStr">
        <is>
          <t>No</t>
        </is>
      </c>
      <c r="I158" t="inlineStr">
        <is>
          <t>No</t>
        </is>
      </c>
      <c r="J158" t="inlineStr">
        <is>
          <t>0</t>
        </is>
      </c>
      <c r="L158" t="inlineStr">
        <is>
          <t>Wilmington, Del. : SR Books, c2001.</t>
        </is>
      </c>
      <c r="M158" t="inlineStr">
        <is>
          <t>2001</t>
        </is>
      </c>
      <c r="O158" t="inlineStr">
        <is>
          <t>eng</t>
        </is>
      </c>
      <c r="P158" t="inlineStr">
        <is>
          <t>deu</t>
        </is>
      </c>
      <c r="Q158" t="inlineStr">
        <is>
          <t>Latin American silhouettes</t>
        </is>
      </c>
      <c r="R158" t="inlineStr">
        <is>
          <t xml:space="preserve">HN </t>
        </is>
      </c>
      <c r="S158" t="n">
        <v>3</v>
      </c>
      <c r="T158" t="n">
        <v>3</v>
      </c>
      <c r="U158" t="inlineStr">
        <is>
          <t>2007-04-24</t>
        </is>
      </c>
      <c r="V158" t="inlineStr">
        <is>
          <t>2007-04-24</t>
        </is>
      </c>
      <c r="W158" t="inlineStr">
        <is>
          <t>2001-08-22</t>
        </is>
      </c>
      <c r="X158" t="inlineStr">
        <is>
          <t>2001-08-22</t>
        </is>
      </c>
      <c r="Y158" t="n">
        <v>493</v>
      </c>
      <c r="Z158" t="n">
        <v>423</v>
      </c>
      <c r="AA158" t="n">
        <v>439</v>
      </c>
      <c r="AB158" t="n">
        <v>4</v>
      </c>
      <c r="AC158" t="n">
        <v>4</v>
      </c>
      <c r="AD158" t="n">
        <v>32</v>
      </c>
      <c r="AE158" t="n">
        <v>32</v>
      </c>
      <c r="AF158" t="n">
        <v>14</v>
      </c>
      <c r="AG158" t="n">
        <v>14</v>
      </c>
      <c r="AH158" t="n">
        <v>7</v>
      </c>
      <c r="AI158" t="n">
        <v>7</v>
      </c>
      <c r="AJ158" t="n">
        <v>16</v>
      </c>
      <c r="AK158" t="n">
        <v>16</v>
      </c>
      <c r="AL158" t="n">
        <v>3</v>
      </c>
      <c r="AM158" t="n">
        <v>3</v>
      </c>
      <c r="AN158" t="n">
        <v>0</v>
      </c>
      <c r="AO158" t="n">
        <v>0</v>
      </c>
      <c r="AP158" t="inlineStr">
        <is>
          <t>No</t>
        </is>
      </c>
      <c r="AQ158" t="inlineStr">
        <is>
          <t>Yes</t>
        </is>
      </c>
      <c r="AR158">
        <f>HYPERLINK("http://catalog.hathitrust.org/Record/004155948","HathiTrust Record")</f>
        <v/>
      </c>
      <c r="AS158">
        <f>HYPERLINK("https://creighton-primo.hosted.exlibrisgroup.com/primo-explore/search?tab=default_tab&amp;search_scope=EVERYTHING&amp;vid=01CRU&amp;lang=en_US&amp;offset=0&amp;query=any,contains,991003582829702656","Catalog Record")</f>
        <v/>
      </c>
      <c r="AT158">
        <f>HYPERLINK("http://www.worldcat.org/oclc/44775205","WorldCat Record")</f>
        <v/>
      </c>
      <c r="AU158" t="inlineStr">
        <is>
          <t>795309058:eng</t>
        </is>
      </c>
      <c r="AV158" t="inlineStr">
        <is>
          <t>44775205</t>
        </is>
      </c>
      <c r="AW158" t="inlineStr">
        <is>
          <t>991003582829702656</t>
        </is>
      </c>
      <c r="AX158" t="inlineStr">
        <is>
          <t>991003582829702656</t>
        </is>
      </c>
      <c r="AY158" t="inlineStr">
        <is>
          <t>2268480770002656</t>
        </is>
      </c>
      <c r="AZ158" t="inlineStr">
        <is>
          <t>BOOK</t>
        </is>
      </c>
      <c r="BB158" t="inlineStr">
        <is>
          <t>9780842028691</t>
        </is>
      </c>
      <c r="BC158" t="inlineStr">
        <is>
          <t>32285004379672</t>
        </is>
      </c>
      <c r="BD158" t="inlineStr">
        <is>
          <t>893893875</t>
        </is>
      </c>
    </row>
    <row r="159">
      <c r="A159" t="inlineStr">
        <is>
          <t>No</t>
        </is>
      </c>
      <c r="B159" t="inlineStr">
        <is>
          <t>HN32.P62 G56 1988</t>
        </is>
      </c>
      <c r="C159" t="inlineStr">
        <is>
          <t>0                      HN 0032000P  62                 G  56          1988</t>
        </is>
      </c>
      <c r="D159" t="inlineStr">
        <is>
          <t>Awakening to mission : the Philippine Catholic Church, 1965-1981 / Pasquale T. Giordano.</t>
        </is>
      </c>
      <c r="F159" t="inlineStr">
        <is>
          <t>No</t>
        </is>
      </c>
      <c r="G159" t="inlineStr">
        <is>
          <t>1</t>
        </is>
      </c>
      <c r="H159" t="inlineStr">
        <is>
          <t>No</t>
        </is>
      </c>
      <c r="I159" t="inlineStr">
        <is>
          <t>No</t>
        </is>
      </c>
      <c r="J159" t="inlineStr">
        <is>
          <t>0</t>
        </is>
      </c>
      <c r="K159" t="inlineStr">
        <is>
          <t>Giordano, Pasquale T.</t>
        </is>
      </c>
      <c r="L159" t="inlineStr">
        <is>
          <t>Quezon City, Philippines : New Day, 1988.</t>
        </is>
      </c>
      <c r="M159" t="inlineStr">
        <is>
          <t>1988</t>
        </is>
      </c>
      <c r="O159" t="inlineStr">
        <is>
          <t>eng</t>
        </is>
      </c>
      <c r="P159" t="inlineStr">
        <is>
          <t xml:space="preserve">ph </t>
        </is>
      </c>
      <c r="R159" t="inlineStr">
        <is>
          <t xml:space="preserve">HN </t>
        </is>
      </c>
      <c r="S159" t="n">
        <v>6</v>
      </c>
      <c r="T159" t="n">
        <v>6</v>
      </c>
      <c r="U159" t="inlineStr">
        <is>
          <t>1995-04-11</t>
        </is>
      </c>
      <c r="V159" t="inlineStr">
        <is>
          <t>1995-04-11</t>
        </is>
      </c>
      <c r="W159" t="inlineStr">
        <is>
          <t>1992-09-24</t>
        </is>
      </c>
      <c r="X159" t="inlineStr">
        <is>
          <t>1992-09-24</t>
        </is>
      </c>
      <c r="Y159" t="n">
        <v>100</v>
      </c>
      <c r="Z159" t="n">
        <v>66</v>
      </c>
      <c r="AA159" t="n">
        <v>68</v>
      </c>
      <c r="AB159" t="n">
        <v>1</v>
      </c>
      <c r="AC159" t="n">
        <v>1</v>
      </c>
      <c r="AD159" t="n">
        <v>8</v>
      </c>
      <c r="AE159" t="n">
        <v>8</v>
      </c>
      <c r="AF159" t="n">
        <v>0</v>
      </c>
      <c r="AG159" t="n">
        <v>0</v>
      </c>
      <c r="AH159" t="n">
        <v>2</v>
      </c>
      <c r="AI159" t="n">
        <v>2</v>
      </c>
      <c r="AJ159" t="n">
        <v>8</v>
      </c>
      <c r="AK159" t="n">
        <v>8</v>
      </c>
      <c r="AL159" t="n">
        <v>0</v>
      </c>
      <c r="AM159" t="n">
        <v>0</v>
      </c>
      <c r="AN159" t="n">
        <v>0</v>
      </c>
      <c r="AO159" t="n">
        <v>0</v>
      </c>
      <c r="AP159" t="inlineStr">
        <is>
          <t>No</t>
        </is>
      </c>
      <c r="AQ159" t="inlineStr">
        <is>
          <t>Yes</t>
        </is>
      </c>
      <c r="AR159">
        <f>HYPERLINK("http://catalog.hathitrust.org/Record/000949492","HathiTrust Record")</f>
        <v/>
      </c>
      <c r="AS159">
        <f>HYPERLINK("https://creighton-primo.hosted.exlibrisgroup.com/primo-explore/search?tab=default_tab&amp;search_scope=EVERYTHING&amp;vid=01CRU&amp;lang=en_US&amp;offset=0&amp;query=any,contains,991001426929702656","Catalog Record")</f>
        <v/>
      </c>
      <c r="AT159">
        <f>HYPERLINK("http://www.worldcat.org/oclc/19050293","WorldCat Record")</f>
        <v/>
      </c>
      <c r="AU159" t="inlineStr">
        <is>
          <t>18232335:eng</t>
        </is>
      </c>
      <c r="AV159" t="inlineStr">
        <is>
          <t>19050293</t>
        </is>
      </c>
      <c r="AW159" t="inlineStr">
        <is>
          <t>991001426929702656</t>
        </is>
      </c>
      <c r="AX159" t="inlineStr">
        <is>
          <t>991001426929702656</t>
        </is>
      </c>
      <c r="AY159" t="inlineStr">
        <is>
          <t>2260670430002656</t>
        </is>
      </c>
      <c r="AZ159" t="inlineStr">
        <is>
          <t>BOOK</t>
        </is>
      </c>
      <c r="BB159" t="inlineStr">
        <is>
          <t>9789711002664</t>
        </is>
      </c>
      <c r="BC159" t="inlineStr">
        <is>
          <t>32285001269694</t>
        </is>
      </c>
      <c r="BD159" t="inlineStr">
        <is>
          <t>893866223</t>
        </is>
      </c>
    </row>
    <row r="160">
      <c r="A160" t="inlineStr">
        <is>
          <t>No</t>
        </is>
      </c>
      <c r="B160" t="inlineStr">
        <is>
          <t>HN320.Z9 C67 2003</t>
        </is>
      </c>
      <c r="C160" t="inlineStr">
        <is>
          <t>0                      HN 0320000Z  9                  C  67          2003</t>
        </is>
      </c>
      <c r="D160" t="inlineStr">
        <is>
          <t>Rural progress, rural decay : neoliberal adjustment policies and local initiatives / edited by Liisa L. North and John D. Cameron.</t>
        </is>
      </c>
      <c r="F160" t="inlineStr">
        <is>
          <t>No</t>
        </is>
      </c>
      <c r="G160" t="inlineStr">
        <is>
          <t>1</t>
        </is>
      </c>
      <c r="H160" t="inlineStr">
        <is>
          <t>No</t>
        </is>
      </c>
      <c r="I160" t="inlineStr">
        <is>
          <t>No</t>
        </is>
      </c>
      <c r="J160" t="inlineStr">
        <is>
          <t>0</t>
        </is>
      </c>
      <c r="L160" t="inlineStr">
        <is>
          <t>Bloomfield, CT : Kumarian Press, 2003.</t>
        </is>
      </c>
      <c r="M160" t="inlineStr">
        <is>
          <t>2003</t>
        </is>
      </c>
      <c r="O160" t="inlineStr">
        <is>
          <t>eng</t>
        </is>
      </c>
      <c r="P160" t="inlineStr">
        <is>
          <t>ctu</t>
        </is>
      </c>
      <c r="R160" t="inlineStr">
        <is>
          <t xml:space="preserve">HN </t>
        </is>
      </c>
      <c r="S160" t="n">
        <v>1</v>
      </c>
      <c r="T160" t="n">
        <v>1</v>
      </c>
      <c r="U160" t="inlineStr">
        <is>
          <t>2004-11-30</t>
        </is>
      </c>
      <c r="V160" t="inlineStr">
        <is>
          <t>2004-11-30</t>
        </is>
      </c>
      <c r="W160" t="inlineStr">
        <is>
          <t>2004-11-30</t>
        </is>
      </c>
      <c r="X160" t="inlineStr">
        <is>
          <t>2004-11-30</t>
        </is>
      </c>
      <c r="Y160" t="n">
        <v>229</v>
      </c>
      <c r="Z160" t="n">
        <v>173</v>
      </c>
      <c r="AA160" t="n">
        <v>211</v>
      </c>
      <c r="AB160" t="n">
        <v>4</v>
      </c>
      <c r="AC160" t="n">
        <v>4</v>
      </c>
      <c r="AD160" t="n">
        <v>13</v>
      </c>
      <c r="AE160" t="n">
        <v>15</v>
      </c>
      <c r="AF160" t="n">
        <v>2</v>
      </c>
      <c r="AG160" t="n">
        <v>4</v>
      </c>
      <c r="AH160" t="n">
        <v>5</v>
      </c>
      <c r="AI160" t="n">
        <v>6</v>
      </c>
      <c r="AJ160" t="n">
        <v>6</v>
      </c>
      <c r="AK160" t="n">
        <v>6</v>
      </c>
      <c r="AL160" t="n">
        <v>3</v>
      </c>
      <c r="AM160" t="n">
        <v>3</v>
      </c>
      <c r="AN160" t="n">
        <v>0</v>
      </c>
      <c r="AO160" t="n">
        <v>0</v>
      </c>
      <c r="AP160" t="inlineStr">
        <is>
          <t>No</t>
        </is>
      </c>
      <c r="AQ160" t="inlineStr">
        <is>
          <t>Yes</t>
        </is>
      </c>
      <c r="AR160">
        <f>HYPERLINK("http://catalog.hathitrust.org/Record/004335207","HathiTrust Record")</f>
        <v/>
      </c>
      <c r="AS160">
        <f>HYPERLINK("https://creighton-primo.hosted.exlibrisgroup.com/primo-explore/search?tab=default_tab&amp;search_scope=EVERYTHING&amp;vid=01CRU&amp;lang=en_US&amp;offset=0&amp;query=any,contains,991004370909702656","Catalog Record")</f>
        <v/>
      </c>
      <c r="AT160">
        <f>HYPERLINK("http://www.worldcat.org/oclc/51726912","WorldCat Record")</f>
        <v/>
      </c>
      <c r="AU160" t="inlineStr">
        <is>
          <t>793929096:eng</t>
        </is>
      </c>
      <c r="AV160" t="inlineStr">
        <is>
          <t>51726912</t>
        </is>
      </c>
      <c r="AW160" t="inlineStr">
        <is>
          <t>991004370909702656</t>
        </is>
      </c>
      <c r="AX160" t="inlineStr">
        <is>
          <t>991004370909702656</t>
        </is>
      </c>
      <c r="AY160" t="inlineStr">
        <is>
          <t>2269537460002656</t>
        </is>
      </c>
      <c r="AZ160" t="inlineStr">
        <is>
          <t>BOOK</t>
        </is>
      </c>
      <c r="BB160" t="inlineStr">
        <is>
          <t>9781565491700</t>
        </is>
      </c>
      <c r="BC160" t="inlineStr">
        <is>
          <t>32285005013874</t>
        </is>
      </c>
      <c r="BD160" t="inlineStr">
        <is>
          <t>893506774</t>
        </is>
      </c>
    </row>
    <row r="161">
      <c r="A161" t="inlineStr">
        <is>
          <t>No</t>
        </is>
      </c>
      <c r="B161" t="inlineStr">
        <is>
          <t>HN320.Z9 E4313</t>
        </is>
      </c>
      <c r="C161" t="inlineStr">
        <is>
          <t>0                      HN 0320000Z  9                  E  4313</t>
        </is>
      </c>
      <c r="D161" t="inlineStr">
        <is>
          <t>Political power in Ecuador / by Osvaldo Hurtado ; translated by Nick D. Mills, Jr.</t>
        </is>
      </c>
      <c r="F161" t="inlineStr">
        <is>
          <t>No</t>
        </is>
      </c>
      <c r="G161" t="inlineStr">
        <is>
          <t>1</t>
        </is>
      </c>
      <c r="H161" t="inlineStr">
        <is>
          <t>No</t>
        </is>
      </c>
      <c r="I161" t="inlineStr">
        <is>
          <t>No</t>
        </is>
      </c>
      <c r="J161" t="inlineStr">
        <is>
          <t>0</t>
        </is>
      </c>
      <c r="K161" t="inlineStr">
        <is>
          <t>Hurtado, Osvaldo.</t>
        </is>
      </c>
      <c r="L161" t="inlineStr">
        <is>
          <t>Albuquerque : University of New Mexico Press, c1980.</t>
        </is>
      </c>
      <c r="M161" t="inlineStr">
        <is>
          <t>1980</t>
        </is>
      </c>
      <c r="N161" t="inlineStr">
        <is>
          <t>1st English ed.</t>
        </is>
      </c>
      <c r="O161" t="inlineStr">
        <is>
          <t>eng</t>
        </is>
      </c>
      <c r="P161" t="inlineStr">
        <is>
          <t>nmu</t>
        </is>
      </c>
      <c r="R161" t="inlineStr">
        <is>
          <t xml:space="preserve">HN </t>
        </is>
      </c>
      <c r="S161" t="n">
        <v>7</v>
      </c>
      <c r="T161" t="n">
        <v>7</v>
      </c>
      <c r="U161" t="inlineStr">
        <is>
          <t>2010-11-19</t>
        </is>
      </c>
      <c r="V161" t="inlineStr">
        <is>
          <t>2010-11-19</t>
        </is>
      </c>
      <c r="W161" t="inlineStr">
        <is>
          <t>1990-02-13</t>
        </is>
      </c>
      <c r="X161" t="inlineStr">
        <is>
          <t>1990-02-13</t>
        </is>
      </c>
      <c r="Y161" t="n">
        <v>451</v>
      </c>
      <c r="Z161" t="n">
        <v>382</v>
      </c>
      <c r="AA161" t="n">
        <v>455</v>
      </c>
      <c r="AB161" t="n">
        <v>2</v>
      </c>
      <c r="AC161" t="n">
        <v>2</v>
      </c>
      <c r="AD161" t="n">
        <v>15</v>
      </c>
      <c r="AE161" t="n">
        <v>16</v>
      </c>
      <c r="AF161" t="n">
        <v>6</v>
      </c>
      <c r="AG161" t="n">
        <v>6</v>
      </c>
      <c r="AH161" t="n">
        <v>4</v>
      </c>
      <c r="AI161" t="n">
        <v>5</v>
      </c>
      <c r="AJ161" t="n">
        <v>10</v>
      </c>
      <c r="AK161" t="n">
        <v>10</v>
      </c>
      <c r="AL161" t="n">
        <v>1</v>
      </c>
      <c r="AM161" t="n">
        <v>1</v>
      </c>
      <c r="AN161" t="n">
        <v>0</v>
      </c>
      <c r="AO161" t="n">
        <v>0</v>
      </c>
      <c r="AP161" t="inlineStr">
        <is>
          <t>No</t>
        </is>
      </c>
      <c r="AQ161" t="inlineStr">
        <is>
          <t>No</t>
        </is>
      </c>
      <c r="AS161">
        <f>HYPERLINK("https://creighton-primo.hosted.exlibrisgroup.com/primo-explore/search?tab=default_tab&amp;search_scope=EVERYTHING&amp;vid=01CRU&amp;lang=en_US&amp;offset=0&amp;query=any,contains,991004989189702656","Catalog Record")</f>
        <v/>
      </c>
      <c r="AT161">
        <f>HYPERLINK("http://www.worldcat.org/oclc/6485463","WorldCat Record")</f>
        <v/>
      </c>
      <c r="AU161" t="inlineStr">
        <is>
          <t>5425000:eng</t>
        </is>
      </c>
      <c r="AV161" t="inlineStr">
        <is>
          <t>6485463</t>
        </is>
      </c>
      <c r="AW161" t="inlineStr">
        <is>
          <t>991004989189702656</t>
        </is>
      </c>
      <c r="AX161" t="inlineStr">
        <is>
          <t>991004989189702656</t>
        </is>
      </c>
      <c r="AY161" t="inlineStr">
        <is>
          <t>2271966780002656</t>
        </is>
      </c>
      <c r="AZ161" t="inlineStr">
        <is>
          <t>BOOK</t>
        </is>
      </c>
      <c r="BB161" t="inlineStr">
        <is>
          <t>9780826305336</t>
        </is>
      </c>
      <c r="BC161" t="inlineStr">
        <is>
          <t>32285000050889</t>
        </is>
      </c>
      <c r="BD161" t="inlineStr">
        <is>
          <t>893507463</t>
        </is>
      </c>
    </row>
    <row r="162">
      <c r="A162" t="inlineStr">
        <is>
          <t>No</t>
        </is>
      </c>
      <c r="B162" t="inlineStr">
        <is>
          <t>HN343.5 .P42 1985</t>
        </is>
      </c>
      <c r="C162" t="inlineStr">
        <is>
          <t>0                      HN 0343500P  42          1985</t>
        </is>
      </c>
      <c r="D162" t="inlineStr">
        <is>
          <t>Peruvian contexts of change / edited by William W. Stein.</t>
        </is>
      </c>
      <c r="F162" t="inlineStr">
        <is>
          <t>No</t>
        </is>
      </c>
      <c r="G162" t="inlineStr">
        <is>
          <t>1</t>
        </is>
      </c>
      <c r="H162" t="inlineStr">
        <is>
          <t>No</t>
        </is>
      </c>
      <c r="I162" t="inlineStr">
        <is>
          <t>No</t>
        </is>
      </c>
      <c r="J162" t="inlineStr">
        <is>
          <t>0</t>
        </is>
      </c>
      <c r="L162" t="inlineStr">
        <is>
          <t>New Brunswick [N.J.] U.S.A. : Transaction Books, c1985.</t>
        </is>
      </c>
      <c r="M162" t="inlineStr">
        <is>
          <t>1985</t>
        </is>
      </c>
      <c r="O162" t="inlineStr">
        <is>
          <t>eng</t>
        </is>
      </c>
      <c r="P162" t="inlineStr">
        <is>
          <t>nju</t>
        </is>
      </c>
      <c r="R162" t="inlineStr">
        <is>
          <t xml:space="preserve">HN </t>
        </is>
      </c>
      <c r="S162" t="n">
        <v>5</v>
      </c>
      <c r="T162" t="n">
        <v>5</v>
      </c>
      <c r="U162" t="inlineStr">
        <is>
          <t>2008-10-09</t>
        </is>
      </c>
      <c r="V162" t="inlineStr">
        <is>
          <t>2008-10-09</t>
        </is>
      </c>
      <c r="W162" t="inlineStr">
        <is>
          <t>1992-04-13</t>
        </is>
      </c>
      <c r="X162" t="inlineStr">
        <is>
          <t>1992-04-13</t>
        </is>
      </c>
      <c r="Y162" t="n">
        <v>297</v>
      </c>
      <c r="Z162" t="n">
        <v>231</v>
      </c>
      <c r="AA162" t="n">
        <v>236</v>
      </c>
      <c r="AB162" t="n">
        <v>2</v>
      </c>
      <c r="AC162" t="n">
        <v>2</v>
      </c>
      <c r="AD162" t="n">
        <v>7</v>
      </c>
      <c r="AE162" t="n">
        <v>7</v>
      </c>
      <c r="AF162" t="n">
        <v>2</v>
      </c>
      <c r="AG162" t="n">
        <v>2</v>
      </c>
      <c r="AH162" t="n">
        <v>4</v>
      </c>
      <c r="AI162" t="n">
        <v>4</v>
      </c>
      <c r="AJ162" t="n">
        <v>3</v>
      </c>
      <c r="AK162" t="n">
        <v>3</v>
      </c>
      <c r="AL162" t="n">
        <v>1</v>
      </c>
      <c r="AM162" t="n">
        <v>1</v>
      </c>
      <c r="AN162" t="n">
        <v>0</v>
      </c>
      <c r="AO162" t="n">
        <v>0</v>
      </c>
      <c r="AP162" t="inlineStr">
        <is>
          <t>No</t>
        </is>
      </c>
      <c r="AQ162" t="inlineStr">
        <is>
          <t>Yes</t>
        </is>
      </c>
      <c r="AR162">
        <f>HYPERLINK("http://catalog.hathitrust.org/Record/000645381","HathiTrust Record")</f>
        <v/>
      </c>
      <c r="AS162">
        <f>HYPERLINK("https://creighton-primo.hosted.exlibrisgroup.com/primo-explore/search?tab=default_tab&amp;search_scope=EVERYTHING&amp;vid=01CRU&amp;lang=en_US&amp;offset=0&amp;query=any,contains,991000367219702656","Catalog Record")</f>
        <v/>
      </c>
      <c r="AT162">
        <f>HYPERLINK("http://www.worldcat.org/oclc/10404228","WorldCat Record")</f>
        <v/>
      </c>
      <c r="AU162" t="inlineStr">
        <is>
          <t>2893755:eng</t>
        </is>
      </c>
      <c r="AV162" t="inlineStr">
        <is>
          <t>10404228</t>
        </is>
      </c>
      <c r="AW162" t="inlineStr">
        <is>
          <t>991000367219702656</t>
        </is>
      </c>
      <c r="AX162" t="inlineStr">
        <is>
          <t>991000367219702656</t>
        </is>
      </c>
      <c r="AY162" t="inlineStr">
        <is>
          <t>2270254620002656</t>
        </is>
      </c>
      <c r="AZ162" t="inlineStr">
        <is>
          <t>BOOK</t>
        </is>
      </c>
      <c r="BB162" t="inlineStr">
        <is>
          <t>9780887380136</t>
        </is>
      </c>
      <c r="BC162" t="inlineStr">
        <is>
          <t>32285001058972</t>
        </is>
      </c>
      <c r="BD162" t="inlineStr">
        <is>
          <t>893351500</t>
        </is>
      </c>
    </row>
    <row r="163">
      <c r="A163" t="inlineStr">
        <is>
          <t>No</t>
        </is>
      </c>
      <c r="B163" t="inlineStr">
        <is>
          <t>HN343.5 .P44</t>
        </is>
      </c>
      <c r="C163" t="inlineStr">
        <is>
          <t>0                      HN 0343500P  44</t>
        </is>
      </c>
      <c r="D163" t="inlineStr">
        <is>
          <t>Peruvian nationalism : a corporatist revolution / edited by David Chaplin.</t>
        </is>
      </c>
      <c r="F163" t="inlineStr">
        <is>
          <t>No</t>
        </is>
      </c>
      <c r="G163" t="inlineStr">
        <is>
          <t>1</t>
        </is>
      </c>
      <c r="H163" t="inlineStr">
        <is>
          <t>No</t>
        </is>
      </c>
      <c r="I163" t="inlineStr">
        <is>
          <t>No</t>
        </is>
      </c>
      <c r="J163" t="inlineStr">
        <is>
          <t>0</t>
        </is>
      </c>
      <c r="L163" t="inlineStr">
        <is>
          <t>New Brunswick, N.J. : Transaction Books, c1976.</t>
        </is>
      </c>
      <c r="M163" t="inlineStr">
        <is>
          <t>1976</t>
        </is>
      </c>
      <c r="O163" t="inlineStr">
        <is>
          <t>eng</t>
        </is>
      </c>
      <c r="P163" t="inlineStr">
        <is>
          <t>nju</t>
        </is>
      </c>
      <c r="R163" t="inlineStr">
        <is>
          <t xml:space="preserve">HN </t>
        </is>
      </c>
      <c r="S163" t="n">
        <v>6</v>
      </c>
      <c r="T163" t="n">
        <v>6</v>
      </c>
      <c r="U163" t="inlineStr">
        <is>
          <t>1999-11-12</t>
        </is>
      </c>
      <c r="V163" t="inlineStr">
        <is>
          <t>1999-11-12</t>
        </is>
      </c>
      <c r="W163" t="inlineStr">
        <is>
          <t>1992-04-13</t>
        </is>
      </c>
      <c r="X163" t="inlineStr">
        <is>
          <t>1992-04-13</t>
        </is>
      </c>
      <c r="Y163" t="n">
        <v>509</v>
      </c>
      <c r="Z163" t="n">
        <v>437</v>
      </c>
      <c r="AA163" t="n">
        <v>442</v>
      </c>
      <c r="AB163" t="n">
        <v>4</v>
      </c>
      <c r="AC163" t="n">
        <v>4</v>
      </c>
      <c r="AD163" t="n">
        <v>22</v>
      </c>
      <c r="AE163" t="n">
        <v>22</v>
      </c>
      <c r="AF163" t="n">
        <v>7</v>
      </c>
      <c r="AG163" t="n">
        <v>7</v>
      </c>
      <c r="AH163" t="n">
        <v>6</v>
      </c>
      <c r="AI163" t="n">
        <v>6</v>
      </c>
      <c r="AJ163" t="n">
        <v>13</v>
      </c>
      <c r="AK163" t="n">
        <v>13</v>
      </c>
      <c r="AL163" t="n">
        <v>3</v>
      </c>
      <c r="AM163" t="n">
        <v>3</v>
      </c>
      <c r="AN163" t="n">
        <v>0</v>
      </c>
      <c r="AO163" t="n">
        <v>0</v>
      </c>
      <c r="AP163" t="inlineStr">
        <is>
          <t>No</t>
        </is>
      </c>
      <c r="AQ163" t="inlineStr">
        <is>
          <t>No</t>
        </is>
      </c>
      <c r="AS163">
        <f>HYPERLINK("https://creighton-primo.hosted.exlibrisgroup.com/primo-explore/search?tab=default_tab&amp;search_scope=EVERYTHING&amp;vid=01CRU&amp;lang=en_US&amp;offset=0&amp;query=any,contains,991004052509702656","Catalog Record")</f>
        <v/>
      </c>
      <c r="AT163">
        <f>HYPERLINK("http://www.worldcat.org/oclc/2214976","WorldCat Record")</f>
        <v/>
      </c>
      <c r="AU163" t="inlineStr">
        <is>
          <t>821887548:eng</t>
        </is>
      </c>
      <c r="AV163" t="inlineStr">
        <is>
          <t>2214976</t>
        </is>
      </c>
      <c r="AW163" t="inlineStr">
        <is>
          <t>991004052509702656</t>
        </is>
      </c>
      <c r="AX163" t="inlineStr">
        <is>
          <t>991004052509702656</t>
        </is>
      </c>
      <c r="AY163" t="inlineStr">
        <is>
          <t>2255196590002656</t>
        </is>
      </c>
      <c r="AZ163" t="inlineStr">
        <is>
          <t>BOOK</t>
        </is>
      </c>
      <c r="BB163" t="inlineStr">
        <is>
          <t>9780878550777</t>
        </is>
      </c>
      <c r="BC163" t="inlineStr">
        <is>
          <t>32285001058964</t>
        </is>
      </c>
      <c r="BD163" t="inlineStr">
        <is>
          <t>893806584</t>
        </is>
      </c>
    </row>
    <row r="164">
      <c r="A164" t="inlineStr">
        <is>
          <t>No</t>
        </is>
      </c>
      <c r="B164" t="inlineStr">
        <is>
          <t>HN366 .U8 1972</t>
        </is>
      </c>
      <c r="C164" t="inlineStr">
        <is>
          <t>0                      HN 0366000U  8           1972</t>
        </is>
      </c>
      <c r="D164" t="inlineStr">
        <is>
          <t>De una a otra Venezuela / Arturo Uslar Pietri.</t>
        </is>
      </c>
      <c r="F164" t="inlineStr">
        <is>
          <t>No</t>
        </is>
      </c>
      <c r="G164" t="inlineStr">
        <is>
          <t>1</t>
        </is>
      </c>
      <c r="H164" t="inlineStr">
        <is>
          <t>No</t>
        </is>
      </c>
      <c r="I164" t="inlineStr">
        <is>
          <t>No</t>
        </is>
      </c>
      <c r="J164" t="inlineStr">
        <is>
          <t>0</t>
        </is>
      </c>
      <c r="K164" t="inlineStr">
        <is>
          <t>Uslar Pietri, Arturo, 1906-2001.</t>
        </is>
      </c>
      <c r="L164" t="inlineStr">
        <is>
          <t>Caracas : Monte Avila Editores, 1972.</t>
        </is>
      </c>
      <c r="M164" t="inlineStr">
        <is>
          <t>1972</t>
        </is>
      </c>
      <c r="N164" t="inlineStr">
        <is>
          <t>3. ed.</t>
        </is>
      </c>
      <c r="O164" t="inlineStr">
        <is>
          <t>spa</t>
        </is>
      </c>
      <c r="P164" t="inlineStr">
        <is>
          <t xml:space="preserve">ve </t>
        </is>
      </c>
      <c r="Q164" t="inlineStr">
        <is>
          <t>Colección Manuales y Monografías</t>
        </is>
      </c>
      <c r="R164" t="inlineStr">
        <is>
          <t xml:space="preserve">HN </t>
        </is>
      </c>
      <c r="S164" t="n">
        <v>1</v>
      </c>
      <c r="T164" t="n">
        <v>1</v>
      </c>
      <c r="U164" t="inlineStr">
        <is>
          <t>2004-08-02</t>
        </is>
      </c>
      <c r="V164" t="inlineStr">
        <is>
          <t>2004-08-02</t>
        </is>
      </c>
      <c r="W164" t="inlineStr">
        <is>
          <t>2004-08-02</t>
        </is>
      </c>
      <c r="X164" t="inlineStr">
        <is>
          <t>2004-08-02</t>
        </is>
      </c>
      <c r="Y164" t="n">
        <v>9</v>
      </c>
      <c r="Z164" t="n">
        <v>7</v>
      </c>
      <c r="AA164" t="n">
        <v>82</v>
      </c>
      <c r="AB164" t="n">
        <v>1</v>
      </c>
      <c r="AC164" t="n">
        <v>1</v>
      </c>
      <c r="AD164" t="n">
        <v>0</v>
      </c>
      <c r="AE164" t="n">
        <v>3</v>
      </c>
      <c r="AF164" t="n">
        <v>0</v>
      </c>
      <c r="AG164" t="n">
        <v>1</v>
      </c>
      <c r="AH164" t="n">
        <v>0</v>
      </c>
      <c r="AI164" t="n">
        <v>2</v>
      </c>
      <c r="AJ164" t="n">
        <v>0</v>
      </c>
      <c r="AK164" t="n">
        <v>2</v>
      </c>
      <c r="AL164" t="n">
        <v>0</v>
      </c>
      <c r="AM164" t="n">
        <v>0</v>
      </c>
      <c r="AN164" t="n">
        <v>0</v>
      </c>
      <c r="AO164" t="n">
        <v>0</v>
      </c>
      <c r="AP164" t="inlineStr">
        <is>
          <t>No</t>
        </is>
      </c>
      <c r="AQ164" t="inlineStr">
        <is>
          <t>Yes</t>
        </is>
      </c>
      <c r="AR164">
        <f>HYPERLINK("http://catalog.hathitrust.org/Record/101048187","HathiTrust Record")</f>
        <v/>
      </c>
      <c r="AS164">
        <f>HYPERLINK("https://creighton-primo.hosted.exlibrisgroup.com/primo-explore/search?tab=default_tab&amp;search_scope=EVERYTHING&amp;vid=01CRU&amp;lang=en_US&amp;offset=0&amp;query=any,contains,991004333889702656","Catalog Record")</f>
        <v/>
      </c>
      <c r="AT164">
        <f>HYPERLINK("http://www.worldcat.org/oclc/9863269","WorldCat Record")</f>
        <v/>
      </c>
      <c r="AU164" t="inlineStr">
        <is>
          <t>348570564:spa</t>
        </is>
      </c>
      <c r="AV164" t="inlineStr">
        <is>
          <t>9863269</t>
        </is>
      </c>
      <c r="AW164" t="inlineStr">
        <is>
          <t>991004333889702656</t>
        </is>
      </c>
      <c r="AX164" t="inlineStr">
        <is>
          <t>991004333889702656</t>
        </is>
      </c>
      <c r="AY164" t="inlineStr">
        <is>
          <t>2257064850002656</t>
        </is>
      </c>
      <c r="AZ164" t="inlineStr">
        <is>
          <t>BOOK</t>
        </is>
      </c>
      <c r="BC164" t="inlineStr">
        <is>
          <t>32285004925466</t>
        </is>
      </c>
      <c r="BD164" t="inlineStr">
        <is>
          <t>893247453</t>
        </is>
      </c>
    </row>
    <row r="165">
      <c r="A165" t="inlineStr">
        <is>
          <t>No</t>
        </is>
      </c>
      <c r="B165" t="inlineStr">
        <is>
          <t>HN37.A6 E45 1940</t>
        </is>
      </c>
      <c r="C165" t="inlineStr">
        <is>
          <t>0                      HN 0037000A  6                  E  45          1940</t>
        </is>
      </c>
      <c r="D165" t="inlineStr">
        <is>
          <t>The idea of a Christian society [by] T.S. Eliot.</t>
        </is>
      </c>
      <c r="F165" t="inlineStr">
        <is>
          <t>No</t>
        </is>
      </c>
      <c r="G165" t="inlineStr">
        <is>
          <t>1</t>
        </is>
      </c>
      <c r="H165" t="inlineStr">
        <is>
          <t>No</t>
        </is>
      </c>
      <c r="I165" t="inlineStr">
        <is>
          <t>No</t>
        </is>
      </c>
      <c r="J165" t="inlineStr">
        <is>
          <t>0</t>
        </is>
      </c>
      <c r="K165" t="inlineStr">
        <is>
          <t>Eliot, T. S. (Thomas Stearns), 1888-1965.</t>
        </is>
      </c>
      <c r="L165" t="inlineStr">
        <is>
          <t>New York, Harcourt, Brace and Company [c1940]</t>
        </is>
      </c>
      <c r="M165" t="inlineStr">
        <is>
          <t>1940</t>
        </is>
      </c>
      <c r="O165" t="inlineStr">
        <is>
          <t>eng</t>
        </is>
      </c>
      <c r="P165" t="inlineStr">
        <is>
          <t>nyu</t>
        </is>
      </c>
      <c r="R165" t="inlineStr">
        <is>
          <t xml:space="preserve">HN </t>
        </is>
      </c>
      <c r="S165" t="n">
        <v>1</v>
      </c>
      <c r="T165" t="n">
        <v>1</v>
      </c>
      <c r="U165" t="inlineStr">
        <is>
          <t>2009-07-06</t>
        </is>
      </c>
      <c r="V165" t="inlineStr">
        <is>
          <t>2009-07-06</t>
        </is>
      </c>
      <c r="W165" t="inlineStr">
        <is>
          <t>1997-08-04</t>
        </is>
      </c>
      <c r="X165" t="inlineStr">
        <is>
          <t>1997-08-04</t>
        </is>
      </c>
      <c r="Y165" t="n">
        <v>950</v>
      </c>
      <c r="Z165" t="n">
        <v>892</v>
      </c>
      <c r="AA165" t="n">
        <v>1041</v>
      </c>
      <c r="AB165" t="n">
        <v>8</v>
      </c>
      <c r="AC165" t="n">
        <v>10</v>
      </c>
      <c r="AD165" t="n">
        <v>40</v>
      </c>
      <c r="AE165" t="n">
        <v>50</v>
      </c>
      <c r="AF165" t="n">
        <v>14</v>
      </c>
      <c r="AG165" t="n">
        <v>19</v>
      </c>
      <c r="AH165" t="n">
        <v>9</v>
      </c>
      <c r="AI165" t="n">
        <v>9</v>
      </c>
      <c r="AJ165" t="n">
        <v>19</v>
      </c>
      <c r="AK165" t="n">
        <v>24</v>
      </c>
      <c r="AL165" t="n">
        <v>6</v>
      </c>
      <c r="AM165" t="n">
        <v>8</v>
      </c>
      <c r="AN165" t="n">
        <v>0</v>
      </c>
      <c r="AO165" t="n">
        <v>0</v>
      </c>
      <c r="AP165" t="inlineStr">
        <is>
          <t>No</t>
        </is>
      </c>
      <c r="AQ165" t="inlineStr">
        <is>
          <t>No</t>
        </is>
      </c>
      <c r="AS165">
        <f>HYPERLINK("https://creighton-primo.hosted.exlibrisgroup.com/primo-explore/search?tab=default_tab&amp;search_scope=EVERYTHING&amp;vid=01CRU&amp;lang=en_US&amp;offset=0&amp;query=any,contains,991003349259702656","Catalog Record")</f>
        <v/>
      </c>
      <c r="AT165">
        <f>HYPERLINK("http://www.worldcat.org/oclc/881482","WorldCat Record")</f>
        <v/>
      </c>
      <c r="AU165" t="inlineStr">
        <is>
          <t>1857973:eng</t>
        </is>
      </c>
      <c r="AV165" t="inlineStr">
        <is>
          <t>881482</t>
        </is>
      </c>
      <c r="AW165" t="inlineStr">
        <is>
          <t>991003349259702656</t>
        </is>
      </c>
      <c r="AX165" t="inlineStr">
        <is>
          <t>991003349259702656</t>
        </is>
      </c>
      <c r="AY165" t="inlineStr">
        <is>
          <t>2259711870002656</t>
        </is>
      </c>
      <c r="AZ165" t="inlineStr">
        <is>
          <t>BOOK</t>
        </is>
      </c>
      <c r="BC165" t="inlineStr">
        <is>
          <t>32285003041091</t>
        </is>
      </c>
      <c r="BD165" t="inlineStr">
        <is>
          <t>893336408</t>
        </is>
      </c>
    </row>
    <row r="166">
      <c r="A166" t="inlineStr">
        <is>
          <t>No</t>
        </is>
      </c>
      <c r="B166" t="inlineStr">
        <is>
          <t>HN37.C3 A3 1954</t>
        </is>
      </c>
      <c r="C166" t="inlineStr">
        <is>
          <t>0                      HN 0037000C  3                  A  3           1954</t>
        </is>
      </c>
      <c r="D166" t="inlineStr">
        <is>
          <t>The church speaks to the modern world : the social teachings of Leo XIII / edited, annotated and with an introd. by Etienne Gilson.</t>
        </is>
      </c>
      <c r="F166" t="inlineStr">
        <is>
          <t>No</t>
        </is>
      </c>
      <c r="G166" t="inlineStr">
        <is>
          <t>1</t>
        </is>
      </c>
      <c r="H166" t="inlineStr">
        <is>
          <t>No</t>
        </is>
      </c>
      <c r="I166" t="inlineStr">
        <is>
          <t>No</t>
        </is>
      </c>
      <c r="J166" t="inlineStr">
        <is>
          <t>0</t>
        </is>
      </c>
      <c r="K166" t="inlineStr">
        <is>
          <t>Catholic Church. Pope (1878-1903 : Leo XIII)</t>
        </is>
      </c>
      <c r="L166" t="inlineStr">
        <is>
          <t>Garden City, N.Y. : Image Books, [1954]</t>
        </is>
      </c>
      <c r="M166" t="inlineStr">
        <is>
          <t>1954</t>
        </is>
      </c>
      <c r="O166" t="inlineStr">
        <is>
          <t>eng</t>
        </is>
      </c>
      <c r="P166" t="inlineStr">
        <is>
          <t xml:space="preserve">xx </t>
        </is>
      </c>
      <c r="Q166" t="inlineStr">
        <is>
          <t>A Doubleday image book, D 7</t>
        </is>
      </c>
      <c r="R166" t="inlineStr">
        <is>
          <t xml:space="preserve">HN </t>
        </is>
      </c>
      <c r="S166" t="n">
        <v>3</v>
      </c>
      <c r="T166" t="n">
        <v>3</v>
      </c>
      <c r="U166" t="inlineStr">
        <is>
          <t>1999-09-13</t>
        </is>
      </c>
      <c r="V166" t="inlineStr">
        <is>
          <t>1999-09-13</t>
        </is>
      </c>
      <c r="W166" t="inlineStr">
        <is>
          <t>1993-12-22</t>
        </is>
      </c>
      <c r="X166" t="inlineStr">
        <is>
          <t>1993-12-22</t>
        </is>
      </c>
      <c r="Y166" t="n">
        <v>438</v>
      </c>
      <c r="Z166" t="n">
        <v>392</v>
      </c>
      <c r="AA166" t="n">
        <v>401</v>
      </c>
      <c r="AB166" t="n">
        <v>4</v>
      </c>
      <c r="AC166" t="n">
        <v>4</v>
      </c>
      <c r="AD166" t="n">
        <v>37</v>
      </c>
      <c r="AE166" t="n">
        <v>37</v>
      </c>
      <c r="AF166" t="n">
        <v>13</v>
      </c>
      <c r="AG166" t="n">
        <v>13</v>
      </c>
      <c r="AH166" t="n">
        <v>10</v>
      </c>
      <c r="AI166" t="n">
        <v>10</v>
      </c>
      <c r="AJ166" t="n">
        <v>23</v>
      </c>
      <c r="AK166" t="n">
        <v>23</v>
      </c>
      <c r="AL166" t="n">
        <v>1</v>
      </c>
      <c r="AM166" t="n">
        <v>1</v>
      </c>
      <c r="AN166" t="n">
        <v>1</v>
      </c>
      <c r="AO166" t="n">
        <v>1</v>
      </c>
      <c r="AP166" t="inlineStr">
        <is>
          <t>No</t>
        </is>
      </c>
      <c r="AQ166" t="inlineStr">
        <is>
          <t>Yes</t>
        </is>
      </c>
      <c r="AR166">
        <f>HYPERLINK("http://catalog.hathitrust.org/Record/005255983","HathiTrust Record")</f>
        <v/>
      </c>
      <c r="AS166">
        <f>HYPERLINK("https://creighton-primo.hosted.exlibrisgroup.com/primo-explore/search?tab=default_tab&amp;search_scope=EVERYTHING&amp;vid=01CRU&amp;lang=en_US&amp;offset=0&amp;query=any,contains,991003440389702656","Catalog Record")</f>
        <v/>
      </c>
      <c r="AT166">
        <f>HYPERLINK("http://www.worldcat.org/oclc/976640","WorldCat Record")</f>
        <v/>
      </c>
      <c r="AU166" t="inlineStr">
        <is>
          <t>1937813:eng</t>
        </is>
      </c>
      <c r="AV166" t="inlineStr">
        <is>
          <t>976640</t>
        </is>
      </c>
      <c r="AW166" t="inlineStr">
        <is>
          <t>991003440389702656</t>
        </is>
      </c>
      <c r="AX166" t="inlineStr">
        <is>
          <t>991003440389702656</t>
        </is>
      </c>
      <c r="AY166" t="inlineStr">
        <is>
          <t>2261616590002656</t>
        </is>
      </c>
      <c r="AZ166" t="inlineStr">
        <is>
          <t>BOOK</t>
        </is>
      </c>
      <c r="BC166" t="inlineStr">
        <is>
          <t>32285001827236</t>
        </is>
      </c>
      <c r="BD166" t="inlineStr">
        <is>
          <t>893336486</t>
        </is>
      </c>
    </row>
    <row r="167">
      <c r="A167" t="inlineStr">
        <is>
          <t>No</t>
        </is>
      </c>
      <c r="B167" t="inlineStr">
        <is>
          <t>HN37.C3 A3 1965</t>
        </is>
      </c>
      <c r="C167" t="inlineStr">
        <is>
          <t>0                      HN 0037000C  3                  A  3           1965</t>
        </is>
      </c>
      <c r="D167" t="inlineStr">
        <is>
          <t>The social thought of John XXIII : Mater et magistra / by Jean-Uves Calvez. Translated by George J. M. McKenzie.</t>
        </is>
      </c>
      <c r="F167" t="inlineStr">
        <is>
          <t>No</t>
        </is>
      </c>
      <c r="G167" t="inlineStr">
        <is>
          <t>1</t>
        </is>
      </c>
      <c r="H167" t="inlineStr">
        <is>
          <t>No</t>
        </is>
      </c>
      <c r="I167" t="inlineStr">
        <is>
          <t>No</t>
        </is>
      </c>
      <c r="J167" t="inlineStr">
        <is>
          <t>0</t>
        </is>
      </c>
      <c r="K167" t="inlineStr">
        <is>
          <t>Calvez, Jean-Yves, 1927-2010.</t>
        </is>
      </c>
      <c r="L167" t="inlineStr">
        <is>
          <t>Chicago : H. Regnery Co., [1965]</t>
        </is>
      </c>
      <c r="M167" t="inlineStr">
        <is>
          <t>1965</t>
        </is>
      </c>
      <c r="O167" t="inlineStr">
        <is>
          <t>eng</t>
        </is>
      </c>
      <c r="P167" t="inlineStr">
        <is>
          <t>ilu</t>
        </is>
      </c>
      <c r="R167" t="inlineStr">
        <is>
          <t xml:space="preserve">HN </t>
        </is>
      </c>
      <c r="S167" t="n">
        <v>4</v>
      </c>
      <c r="T167" t="n">
        <v>4</v>
      </c>
      <c r="U167" t="inlineStr">
        <is>
          <t>1995-04-11</t>
        </is>
      </c>
      <c r="V167" t="inlineStr">
        <is>
          <t>1995-04-11</t>
        </is>
      </c>
      <c r="W167" t="inlineStr">
        <is>
          <t>1993-11-30</t>
        </is>
      </c>
      <c r="X167" t="inlineStr">
        <is>
          <t>1993-11-30</t>
        </is>
      </c>
      <c r="Y167" t="n">
        <v>363</v>
      </c>
      <c r="Z167" t="n">
        <v>342</v>
      </c>
      <c r="AA167" t="n">
        <v>493</v>
      </c>
      <c r="AB167" t="n">
        <v>2</v>
      </c>
      <c r="AC167" t="n">
        <v>4</v>
      </c>
      <c r="AD167" t="n">
        <v>29</v>
      </c>
      <c r="AE167" t="n">
        <v>39</v>
      </c>
      <c r="AF167" t="n">
        <v>14</v>
      </c>
      <c r="AG167" t="n">
        <v>16</v>
      </c>
      <c r="AH167" t="n">
        <v>7</v>
      </c>
      <c r="AI167" t="n">
        <v>9</v>
      </c>
      <c r="AJ167" t="n">
        <v>16</v>
      </c>
      <c r="AK167" t="n">
        <v>24</v>
      </c>
      <c r="AL167" t="n">
        <v>1</v>
      </c>
      <c r="AM167" t="n">
        <v>2</v>
      </c>
      <c r="AN167" t="n">
        <v>0</v>
      </c>
      <c r="AO167" t="n">
        <v>0</v>
      </c>
      <c r="AP167" t="inlineStr">
        <is>
          <t>No</t>
        </is>
      </c>
      <c r="AQ167" t="inlineStr">
        <is>
          <t>Yes</t>
        </is>
      </c>
      <c r="AR167">
        <f>HYPERLINK("http://catalog.hathitrust.org/Record/102073869","HathiTrust Record")</f>
        <v/>
      </c>
      <c r="AS167">
        <f>HYPERLINK("https://creighton-primo.hosted.exlibrisgroup.com/primo-explore/search?tab=default_tab&amp;search_scope=EVERYTHING&amp;vid=01CRU&amp;lang=en_US&amp;offset=0&amp;query=any,contains,991003207039702656","Catalog Record")</f>
        <v/>
      </c>
      <c r="AT167">
        <f>HYPERLINK("http://www.worldcat.org/oclc/732288","WorldCat Record")</f>
        <v/>
      </c>
      <c r="AU167" t="inlineStr">
        <is>
          <t>8911114345:eng</t>
        </is>
      </c>
      <c r="AV167" t="inlineStr">
        <is>
          <t>732288</t>
        </is>
      </c>
      <c r="AW167" t="inlineStr">
        <is>
          <t>991003207039702656</t>
        </is>
      </c>
      <c r="AX167" t="inlineStr">
        <is>
          <t>991003207039702656</t>
        </is>
      </c>
      <c r="AY167" t="inlineStr">
        <is>
          <t>2256240700002656</t>
        </is>
      </c>
      <c r="AZ167" t="inlineStr">
        <is>
          <t>BOOK</t>
        </is>
      </c>
      <c r="BC167" t="inlineStr">
        <is>
          <t>32285001689156</t>
        </is>
      </c>
      <c r="BD167" t="inlineStr">
        <is>
          <t>893686298</t>
        </is>
      </c>
    </row>
    <row r="168">
      <c r="A168" t="inlineStr">
        <is>
          <t>No</t>
        </is>
      </c>
      <c r="B168" t="inlineStr">
        <is>
          <t>HN37.C3 A4 1960</t>
        </is>
      </c>
      <c r="C168" t="inlineStr">
        <is>
          <t>0                      HN 0037000C  3                  A  4           1960</t>
        </is>
      </c>
      <c r="D168" t="inlineStr">
        <is>
          <t>American Catholicism and social action.</t>
        </is>
      </c>
      <c r="F168" t="inlineStr">
        <is>
          <t>No</t>
        </is>
      </c>
      <c r="G168" t="inlineStr">
        <is>
          <t>1</t>
        </is>
      </c>
      <c r="H168" t="inlineStr">
        <is>
          <t>No</t>
        </is>
      </c>
      <c r="I168" t="inlineStr">
        <is>
          <t>No</t>
        </is>
      </c>
      <c r="J168" t="inlineStr">
        <is>
          <t>0</t>
        </is>
      </c>
      <c r="K168" t="inlineStr">
        <is>
          <t>Abell, Aaron Ignatius, 1903-1965.</t>
        </is>
      </c>
      <c r="L168" t="inlineStr">
        <is>
          <t>Garden City, N.Y. : Hanover House, 1960.</t>
        </is>
      </c>
      <c r="M168" t="inlineStr">
        <is>
          <t>1960</t>
        </is>
      </c>
      <c r="N168" t="inlineStr">
        <is>
          <t>[1st ed.]</t>
        </is>
      </c>
      <c r="O168" t="inlineStr">
        <is>
          <t>eng</t>
        </is>
      </c>
      <c r="P168" t="inlineStr">
        <is>
          <t xml:space="preserve">xx </t>
        </is>
      </c>
      <c r="R168" t="inlineStr">
        <is>
          <t xml:space="preserve">HN </t>
        </is>
      </c>
      <c r="S168" t="n">
        <v>5</v>
      </c>
      <c r="T168" t="n">
        <v>5</v>
      </c>
      <c r="U168" t="inlineStr">
        <is>
          <t>1995-11-20</t>
        </is>
      </c>
      <c r="V168" t="inlineStr">
        <is>
          <t>1995-11-20</t>
        </is>
      </c>
      <c r="W168" t="inlineStr">
        <is>
          <t>1993-12-22</t>
        </is>
      </c>
      <c r="X168" t="inlineStr">
        <is>
          <t>1993-12-22</t>
        </is>
      </c>
      <c r="Y168" t="n">
        <v>473</v>
      </c>
      <c r="Z168" t="n">
        <v>464</v>
      </c>
      <c r="AA168" t="n">
        <v>473</v>
      </c>
      <c r="AB168" t="n">
        <v>2</v>
      </c>
      <c r="AC168" t="n">
        <v>2</v>
      </c>
      <c r="AD168" t="n">
        <v>36</v>
      </c>
      <c r="AE168" t="n">
        <v>37</v>
      </c>
      <c r="AF168" t="n">
        <v>16</v>
      </c>
      <c r="AG168" t="n">
        <v>16</v>
      </c>
      <c r="AH168" t="n">
        <v>9</v>
      </c>
      <c r="AI168" t="n">
        <v>10</v>
      </c>
      <c r="AJ168" t="n">
        <v>23</v>
      </c>
      <c r="AK168" t="n">
        <v>24</v>
      </c>
      <c r="AL168" t="n">
        <v>0</v>
      </c>
      <c r="AM168" t="n">
        <v>0</v>
      </c>
      <c r="AN168" t="n">
        <v>0</v>
      </c>
      <c r="AO168" t="n">
        <v>0</v>
      </c>
      <c r="AP168" t="inlineStr">
        <is>
          <t>No</t>
        </is>
      </c>
      <c r="AQ168" t="inlineStr">
        <is>
          <t>No</t>
        </is>
      </c>
      <c r="AS168">
        <f>HYPERLINK("https://creighton-primo.hosted.exlibrisgroup.com/primo-explore/search?tab=default_tab&amp;search_scope=EVERYTHING&amp;vid=01CRU&amp;lang=en_US&amp;offset=0&amp;query=any,contains,991002964789702656","Catalog Record")</f>
        <v/>
      </c>
      <c r="AT168">
        <f>HYPERLINK("http://www.worldcat.org/oclc/545449","WorldCat Record")</f>
        <v/>
      </c>
      <c r="AU168" t="inlineStr">
        <is>
          <t>5090466263:eng</t>
        </is>
      </c>
      <c r="AV168" t="inlineStr">
        <is>
          <t>545449</t>
        </is>
      </c>
      <c r="AW168" t="inlineStr">
        <is>
          <t>991002964789702656</t>
        </is>
      </c>
      <c r="AX168" t="inlineStr">
        <is>
          <t>991002964789702656</t>
        </is>
      </c>
      <c r="AY168" t="inlineStr">
        <is>
          <t>2264421790002656</t>
        </is>
      </c>
      <c r="AZ168" t="inlineStr">
        <is>
          <t>BOOK</t>
        </is>
      </c>
      <c r="BC168" t="inlineStr">
        <is>
          <t>32285001827251</t>
        </is>
      </c>
      <c r="BD168" t="inlineStr">
        <is>
          <t>893592014</t>
        </is>
      </c>
    </row>
    <row r="169">
      <c r="A169" t="inlineStr">
        <is>
          <t>No</t>
        </is>
      </c>
      <c r="B169" t="inlineStr">
        <is>
          <t>HN37.C3 C375 1994</t>
        </is>
      </c>
      <c r="C169" t="inlineStr">
        <is>
          <t>0                      HN 0037000C  3                  C  375         1994</t>
        </is>
      </c>
      <c r="D169" t="inlineStr">
        <is>
          <t>Communities of salt and light : reflections on the social mission of the parish / National Conference of Catholic Bishops.</t>
        </is>
      </c>
      <c r="F169" t="inlineStr">
        <is>
          <t>No</t>
        </is>
      </c>
      <c r="G169" t="inlineStr">
        <is>
          <t>1</t>
        </is>
      </c>
      <c r="H169" t="inlineStr">
        <is>
          <t>No</t>
        </is>
      </c>
      <c r="I169" t="inlineStr">
        <is>
          <t>Yes</t>
        </is>
      </c>
      <c r="J169" t="inlineStr">
        <is>
          <t>0</t>
        </is>
      </c>
      <c r="K169" t="inlineStr">
        <is>
          <t>Catholic Church. National Conference of Catholic Bishops.</t>
        </is>
      </c>
      <c r="L169" t="inlineStr">
        <is>
          <t>Washington, D.C. : Office for Publishing and Promotion Services, United States Catholic Conference, c1994.</t>
        </is>
      </c>
      <c r="M169" t="inlineStr">
        <is>
          <t>1994</t>
        </is>
      </c>
      <c r="O169" t="inlineStr">
        <is>
          <t>eng</t>
        </is>
      </c>
      <c r="P169" t="inlineStr">
        <is>
          <t>dcu</t>
        </is>
      </c>
      <c r="Q169" t="inlineStr">
        <is>
          <t>Publication / Office for Publishing and Promotion Services, United States Catholic Conference ; no. 701-4</t>
        </is>
      </c>
      <c r="R169" t="inlineStr">
        <is>
          <t xml:space="preserve">HN </t>
        </is>
      </c>
      <c r="S169" t="n">
        <v>3</v>
      </c>
      <c r="T169" t="n">
        <v>3</v>
      </c>
      <c r="U169" t="inlineStr">
        <is>
          <t>1995-11-20</t>
        </is>
      </c>
      <c r="V169" t="inlineStr">
        <is>
          <t>1995-11-20</t>
        </is>
      </c>
      <c r="W169" t="inlineStr">
        <is>
          <t>1994-03-22</t>
        </is>
      </c>
      <c r="X169" t="inlineStr">
        <is>
          <t>1994-03-22</t>
        </is>
      </c>
      <c r="Y169" t="n">
        <v>52</v>
      </c>
      <c r="Z169" t="n">
        <v>49</v>
      </c>
      <c r="AA169" t="n">
        <v>71</v>
      </c>
      <c r="AB169" t="n">
        <v>1</v>
      </c>
      <c r="AC169" t="n">
        <v>1</v>
      </c>
      <c r="AD169" t="n">
        <v>6</v>
      </c>
      <c r="AE169" t="n">
        <v>9</v>
      </c>
      <c r="AF169" t="n">
        <v>1</v>
      </c>
      <c r="AG169" t="n">
        <v>1</v>
      </c>
      <c r="AH169" t="n">
        <v>3</v>
      </c>
      <c r="AI169" t="n">
        <v>3</v>
      </c>
      <c r="AJ169" t="n">
        <v>4</v>
      </c>
      <c r="AK169" t="n">
        <v>7</v>
      </c>
      <c r="AL169" t="n">
        <v>0</v>
      </c>
      <c r="AM169" t="n">
        <v>0</v>
      </c>
      <c r="AN169" t="n">
        <v>0</v>
      </c>
      <c r="AO169" t="n">
        <v>0</v>
      </c>
      <c r="AP169" t="inlineStr">
        <is>
          <t>No</t>
        </is>
      </c>
      <c r="AQ169" t="inlineStr">
        <is>
          <t>No</t>
        </is>
      </c>
      <c r="AS169">
        <f>HYPERLINK("https://creighton-primo.hosted.exlibrisgroup.com/primo-explore/search?tab=default_tab&amp;search_scope=EVERYTHING&amp;vid=01CRU&amp;lang=en_US&amp;offset=0&amp;query=any,contains,991002301769702656","Catalog Record")</f>
        <v/>
      </c>
      <c r="AT169">
        <f>HYPERLINK("http://www.worldcat.org/oclc/29858659","WorldCat Record")</f>
        <v/>
      </c>
      <c r="AU169" t="inlineStr">
        <is>
          <t>31801748:eng</t>
        </is>
      </c>
      <c r="AV169" t="inlineStr">
        <is>
          <t>29858659</t>
        </is>
      </c>
      <c r="AW169" t="inlineStr">
        <is>
          <t>991002301769702656</t>
        </is>
      </c>
      <c r="AX169" t="inlineStr">
        <is>
          <t>991002301769702656</t>
        </is>
      </c>
      <c r="AY169" t="inlineStr">
        <is>
          <t>2266142650002656</t>
        </is>
      </c>
      <c r="AZ169" t="inlineStr">
        <is>
          <t>BOOK</t>
        </is>
      </c>
      <c r="BB169" t="inlineStr">
        <is>
          <t>9781555867010</t>
        </is>
      </c>
      <c r="BC169" t="inlineStr">
        <is>
          <t>32285001862597</t>
        </is>
      </c>
      <c r="BD169" t="inlineStr">
        <is>
          <t>893238889</t>
        </is>
      </c>
    </row>
    <row r="170">
      <c r="A170" t="inlineStr">
        <is>
          <t>No</t>
        </is>
      </c>
      <c r="B170" t="inlineStr">
        <is>
          <t>HN37.C3 D4</t>
        </is>
      </c>
      <c r="C170" t="inlineStr">
        <is>
          <t>0                      HN 0037000C  3                  D  4</t>
        </is>
      </c>
      <c r="D170" t="inlineStr">
        <is>
          <t>Dear Bishop.</t>
        </is>
      </c>
      <c r="F170" t="inlineStr">
        <is>
          <t>No</t>
        </is>
      </c>
      <c r="G170" t="inlineStr">
        <is>
          <t>1</t>
        </is>
      </c>
      <c r="H170" t="inlineStr">
        <is>
          <t>No</t>
        </is>
      </c>
      <c r="I170" t="inlineStr">
        <is>
          <t>No</t>
        </is>
      </c>
      <c r="J170" t="inlineStr">
        <is>
          <t>0</t>
        </is>
      </c>
      <c r="K170" t="inlineStr">
        <is>
          <t>Doherty, Catherine de Hueck, 1896-1985.</t>
        </is>
      </c>
      <c r="L170" t="inlineStr">
        <is>
          <t>New York : Sheed and Ward, [1947]</t>
        </is>
      </c>
      <c r="M170" t="inlineStr">
        <is>
          <t>1947</t>
        </is>
      </c>
      <c r="O170" t="inlineStr">
        <is>
          <t>eng</t>
        </is>
      </c>
      <c r="P170" t="inlineStr">
        <is>
          <t xml:space="preserve">xx </t>
        </is>
      </c>
      <c r="R170" t="inlineStr">
        <is>
          <t xml:space="preserve">HN </t>
        </is>
      </c>
      <c r="S170" t="n">
        <v>2</v>
      </c>
      <c r="T170" t="n">
        <v>2</v>
      </c>
      <c r="U170" t="inlineStr">
        <is>
          <t>1995-06-15</t>
        </is>
      </c>
      <c r="V170" t="inlineStr">
        <is>
          <t>1995-06-15</t>
        </is>
      </c>
      <c r="W170" t="inlineStr">
        <is>
          <t>1993-12-28</t>
        </is>
      </c>
      <c r="X170" t="inlineStr">
        <is>
          <t>1993-12-28</t>
        </is>
      </c>
      <c r="Y170" t="n">
        <v>122</v>
      </c>
      <c r="Z170" t="n">
        <v>113</v>
      </c>
      <c r="AA170" t="n">
        <v>113</v>
      </c>
      <c r="AB170" t="n">
        <v>4</v>
      </c>
      <c r="AC170" t="n">
        <v>4</v>
      </c>
      <c r="AD170" t="n">
        <v>20</v>
      </c>
      <c r="AE170" t="n">
        <v>20</v>
      </c>
      <c r="AF170" t="n">
        <v>7</v>
      </c>
      <c r="AG170" t="n">
        <v>7</v>
      </c>
      <c r="AH170" t="n">
        <v>3</v>
      </c>
      <c r="AI170" t="n">
        <v>3</v>
      </c>
      <c r="AJ170" t="n">
        <v>17</v>
      </c>
      <c r="AK170" t="n">
        <v>17</v>
      </c>
      <c r="AL170" t="n">
        <v>1</v>
      </c>
      <c r="AM170" t="n">
        <v>1</v>
      </c>
      <c r="AN170" t="n">
        <v>0</v>
      </c>
      <c r="AO170" t="n">
        <v>0</v>
      </c>
      <c r="AP170" t="inlineStr">
        <is>
          <t>No</t>
        </is>
      </c>
      <c r="AQ170" t="inlineStr">
        <is>
          <t>No</t>
        </is>
      </c>
      <c r="AS170">
        <f>HYPERLINK("https://creighton-primo.hosted.exlibrisgroup.com/primo-explore/search?tab=default_tab&amp;search_scope=EVERYTHING&amp;vid=01CRU&amp;lang=en_US&amp;offset=0&amp;query=any,contains,991002269419702656","Catalog Record")</f>
        <v/>
      </c>
      <c r="AT170">
        <f>HYPERLINK("http://www.worldcat.org/oclc/307770","WorldCat Record")</f>
        <v/>
      </c>
      <c r="AU170" t="inlineStr">
        <is>
          <t>1362101:eng</t>
        </is>
      </c>
      <c r="AV170" t="inlineStr">
        <is>
          <t>307770</t>
        </is>
      </c>
      <c r="AW170" t="inlineStr">
        <is>
          <t>991002269419702656</t>
        </is>
      </c>
      <c r="AX170" t="inlineStr">
        <is>
          <t>991002269419702656</t>
        </is>
      </c>
      <c r="AY170" t="inlineStr">
        <is>
          <t>2264530970002656</t>
        </is>
      </c>
      <c r="AZ170" t="inlineStr">
        <is>
          <t>BOOK</t>
        </is>
      </c>
      <c r="BC170" t="inlineStr">
        <is>
          <t>32285001827293</t>
        </is>
      </c>
      <c r="BD170" t="inlineStr">
        <is>
          <t>893251019</t>
        </is>
      </c>
    </row>
    <row r="171">
      <c r="A171" t="inlineStr">
        <is>
          <t>No</t>
        </is>
      </c>
      <c r="B171" t="inlineStr">
        <is>
          <t>HN37.C3 F8</t>
        </is>
      </c>
      <c r="C171" t="inlineStr">
        <is>
          <t>0                      HN 0037000C  3                  F  8</t>
        </is>
      </c>
      <c r="D171" t="inlineStr">
        <is>
          <t>Fire on the earth / by Paul Hanly Furfey.</t>
        </is>
      </c>
      <c r="F171" t="inlineStr">
        <is>
          <t>No</t>
        </is>
      </c>
      <c r="G171" t="inlineStr">
        <is>
          <t>1</t>
        </is>
      </c>
      <c r="H171" t="inlineStr">
        <is>
          <t>No</t>
        </is>
      </c>
      <c r="I171" t="inlineStr">
        <is>
          <t>No</t>
        </is>
      </c>
      <c r="J171" t="inlineStr">
        <is>
          <t>0</t>
        </is>
      </c>
      <c r="K171" t="inlineStr">
        <is>
          <t>Furfey, Paul Hanly, 1896-1992.</t>
        </is>
      </c>
      <c r="L171" t="inlineStr">
        <is>
          <t>New York : The Macmillan company, 1936.</t>
        </is>
      </c>
      <c r="M171" t="inlineStr">
        <is>
          <t>1936</t>
        </is>
      </c>
      <c r="O171" t="inlineStr">
        <is>
          <t>eng</t>
        </is>
      </c>
      <c r="P171" t="inlineStr">
        <is>
          <t>nyu</t>
        </is>
      </c>
      <c r="R171" t="inlineStr">
        <is>
          <t xml:space="preserve">HN </t>
        </is>
      </c>
      <c r="S171" t="n">
        <v>2</v>
      </c>
      <c r="T171" t="n">
        <v>2</v>
      </c>
      <c r="U171" t="inlineStr">
        <is>
          <t>1998-06-10</t>
        </is>
      </c>
      <c r="V171" t="inlineStr">
        <is>
          <t>1998-06-10</t>
        </is>
      </c>
      <c r="W171" t="inlineStr">
        <is>
          <t>1993-08-03</t>
        </is>
      </c>
      <c r="X171" t="inlineStr">
        <is>
          <t>1993-08-03</t>
        </is>
      </c>
      <c r="Y171" t="n">
        <v>152</v>
      </c>
      <c r="Z171" t="n">
        <v>142</v>
      </c>
      <c r="AA171" t="n">
        <v>214</v>
      </c>
      <c r="AB171" t="n">
        <v>3</v>
      </c>
      <c r="AC171" t="n">
        <v>3</v>
      </c>
      <c r="AD171" t="n">
        <v>23</v>
      </c>
      <c r="AE171" t="n">
        <v>24</v>
      </c>
      <c r="AF171" t="n">
        <v>7</v>
      </c>
      <c r="AG171" t="n">
        <v>8</v>
      </c>
      <c r="AH171" t="n">
        <v>4</v>
      </c>
      <c r="AI171" t="n">
        <v>4</v>
      </c>
      <c r="AJ171" t="n">
        <v>21</v>
      </c>
      <c r="AK171" t="n">
        <v>21</v>
      </c>
      <c r="AL171" t="n">
        <v>0</v>
      </c>
      <c r="AM171" t="n">
        <v>0</v>
      </c>
      <c r="AN171" t="n">
        <v>0</v>
      </c>
      <c r="AO171" t="n">
        <v>0</v>
      </c>
      <c r="AP171" t="inlineStr">
        <is>
          <t>No</t>
        </is>
      </c>
      <c r="AQ171" t="inlineStr">
        <is>
          <t>No</t>
        </is>
      </c>
      <c r="AS171">
        <f>HYPERLINK("https://creighton-primo.hosted.exlibrisgroup.com/primo-explore/search?tab=default_tab&amp;search_scope=EVERYTHING&amp;vid=01CRU&amp;lang=en_US&amp;offset=0&amp;query=any,contains,991003440189702656","Catalog Record")</f>
        <v/>
      </c>
      <c r="AT171">
        <f>HYPERLINK("http://www.worldcat.org/oclc/976462","WorldCat Record")</f>
        <v/>
      </c>
      <c r="AU171" t="inlineStr">
        <is>
          <t>3943847380:eng</t>
        </is>
      </c>
      <c r="AV171" t="inlineStr">
        <is>
          <t>976462</t>
        </is>
      </c>
      <c r="AW171" t="inlineStr">
        <is>
          <t>991003440189702656</t>
        </is>
      </c>
      <c r="AX171" t="inlineStr">
        <is>
          <t>991003440189702656</t>
        </is>
      </c>
      <c r="AY171" t="inlineStr">
        <is>
          <t>2261537020002656</t>
        </is>
      </c>
      <c r="AZ171" t="inlineStr">
        <is>
          <t>BOOK</t>
        </is>
      </c>
      <c r="BC171" t="inlineStr">
        <is>
          <t>32285001748515</t>
        </is>
      </c>
      <c r="BD171" t="inlineStr">
        <is>
          <t>893604786</t>
        </is>
      </c>
    </row>
    <row r="172">
      <c r="A172" t="inlineStr">
        <is>
          <t>No</t>
        </is>
      </c>
      <c r="B172" t="inlineStr">
        <is>
          <t>HN37.C3 G66 1976</t>
        </is>
      </c>
      <c r="C172" t="inlineStr">
        <is>
          <t>0                      HN 0037000C  3                  G  66          1976</t>
        </is>
      </c>
      <c r="D172" t="inlineStr">
        <is>
          <t>The Gospel of peace and justice : Catholic social teaching since Pope John / presented by Joseph Gremillion.</t>
        </is>
      </c>
      <c r="F172" t="inlineStr">
        <is>
          <t>No</t>
        </is>
      </c>
      <c r="G172" t="inlineStr">
        <is>
          <t>1</t>
        </is>
      </c>
      <c r="H172" t="inlineStr">
        <is>
          <t>No</t>
        </is>
      </c>
      <c r="I172" t="inlineStr">
        <is>
          <t>No</t>
        </is>
      </c>
      <c r="J172" t="inlineStr">
        <is>
          <t>0</t>
        </is>
      </c>
      <c r="L172" t="inlineStr">
        <is>
          <t>Maryknoll, N.Y. : Orbis Books, c1976.</t>
        </is>
      </c>
      <c r="M172" t="inlineStr">
        <is>
          <t>1976</t>
        </is>
      </c>
      <c r="O172" t="inlineStr">
        <is>
          <t>eng</t>
        </is>
      </c>
      <c r="P172" t="inlineStr">
        <is>
          <t>nyu</t>
        </is>
      </c>
      <c r="R172" t="inlineStr">
        <is>
          <t xml:space="preserve">HN </t>
        </is>
      </c>
      <c r="S172" t="n">
        <v>48</v>
      </c>
      <c r="T172" t="n">
        <v>48</v>
      </c>
      <c r="U172" t="inlineStr">
        <is>
          <t>2008-03-09</t>
        </is>
      </c>
      <c r="V172" t="inlineStr">
        <is>
          <t>2008-03-09</t>
        </is>
      </c>
      <c r="W172" t="inlineStr">
        <is>
          <t>1992-03-11</t>
        </is>
      </c>
      <c r="X172" t="inlineStr">
        <is>
          <t>1992-03-11</t>
        </is>
      </c>
      <c r="Y172" t="n">
        <v>779</v>
      </c>
      <c r="Z172" t="n">
        <v>661</v>
      </c>
      <c r="AA172" t="n">
        <v>668</v>
      </c>
      <c r="AB172" t="n">
        <v>5</v>
      </c>
      <c r="AC172" t="n">
        <v>5</v>
      </c>
      <c r="AD172" t="n">
        <v>44</v>
      </c>
      <c r="AE172" t="n">
        <v>44</v>
      </c>
      <c r="AF172" t="n">
        <v>18</v>
      </c>
      <c r="AG172" t="n">
        <v>18</v>
      </c>
      <c r="AH172" t="n">
        <v>10</v>
      </c>
      <c r="AI172" t="n">
        <v>10</v>
      </c>
      <c r="AJ172" t="n">
        <v>25</v>
      </c>
      <c r="AK172" t="n">
        <v>25</v>
      </c>
      <c r="AL172" t="n">
        <v>3</v>
      </c>
      <c r="AM172" t="n">
        <v>3</v>
      </c>
      <c r="AN172" t="n">
        <v>1</v>
      </c>
      <c r="AO172" t="n">
        <v>1</v>
      </c>
      <c r="AP172" t="inlineStr">
        <is>
          <t>No</t>
        </is>
      </c>
      <c r="AQ172" t="inlineStr">
        <is>
          <t>No</t>
        </is>
      </c>
      <c r="AS172">
        <f>HYPERLINK("https://creighton-primo.hosted.exlibrisgroup.com/primo-explore/search?tab=default_tab&amp;search_scope=EVERYTHING&amp;vid=01CRU&amp;lang=en_US&amp;offset=0&amp;query=any,contains,991004074389702656","Catalog Record")</f>
        <v/>
      </c>
      <c r="AT172">
        <f>HYPERLINK("http://www.worldcat.org/oclc/2315811","WorldCat Record")</f>
        <v/>
      </c>
      <c r="AU172" t="inlineStr">
        <is>
          <t>890464261:eng</t>
        </is>
      </c>
      <c r="AV172" t="inlineStr">
        <is>
          <t>2315811</t>
        </is>
      </c>
      <c r="AW172" t="inlineStr">
        <is>
          <t>991004074389702656</t>
        </is>
      </c>
      <c r="AX172" t="inlineStr">
        <is>
          <t>991004074389702656</t>
        </is>
      </c>
      <c r="AY172" t="inlineStr">
        <is>
          <t>2263194790002656</t>
        </is>
      </c>
      <c r="AZ172" t="inlineStr">
        <is>
          <t>BOOK</t>
        </is>
      </c>
      <c r="BB172" t="inlineStr">
        <is>
          <t>9780883441657</t>
        </is>
      </c>
      <c r="BC172" t="inlineStr">
        <is>
          <t>32285000939255</t>
        </is>
      </c>
      <c r="BD172" t="inlineStr">
        <is>
          <t>893228900</t>
        </is>
      </c>
    </row>
    <row r="173">
      <c r="A173" t="inlineStr">
        <is>
          <t>No</t>
        </is>
      </c>
      <c r="B173" t="inlineStr">
        <is>
          <t>HN37.C3 H35</t>
        </is>
      </c>
      <c r="C173" t="inlineStr">
        <is>
          <t>0                      HN 0037000C  3                  H  35</t>
        </is>
      </c>
      <c r="D173" t="inlineStr">
        <is>
          <t>Papal social principles : a guide and digest.</t>
        </is>
      </c>
      <c r="F173" t="inlineStr">
        <is>
          <t>No</t>
        </is>
      </c>
      <c r="G173" t="inlineStr">
        <is>
          <t>1</t>
        </is>
      </c>
      <c r="H173" t="inlineStr">
        <is>
          <t>No</t>
        </is>
      </c>
      <c r="I173" t="inlineStr">
        <is>
          <t>No</t>
        </is>
      </c>
      <c r="J173" t="inlineStr">
        <is>
          <t>0</t>
        </is>
      </c>
      <c r="K173" t="inlineStr">
        <is>
          <t>Harte, Thomas Joseph, 1914-</t>
        </is>
      </c>
      <c r="L173" t="inlineStr">
        <is>
          <t>Milwaukee : Bruce Pub. Co., [c1956]</t>
        </is>
      </c>
      <c r="M173" t="inlineStr">
        <is>
          <t>1956</t>
        </is>
      </c>
      <c r="O173" t="inlineStr">
        <is>
          <t>eng</t>
        </is>
      </c>
      <c r="P173" t="inlineStr">
        <is>
          <t xml:space="preserve">xx </t>
        </is>
      </c>
      <c r="R173" t="inlineStr">
        <is>
          <t xml:space="preserve">HN </t>
        </is>
      </c>
      <c r="S173" t="n">
        <v>4</v>
      </c>
      <c r="T173" t="n">
        <v>4</v>
      </c>
      <c r="U173" t="inlineStr">
        <is>
          <t>2000-08-08</t>
        </is>
      </c>
      <c r="V173" t="inlineStr">
        <is>
          <t>2000-08-08</t>
        </is>
      </c>
      <c r="W173" t="inlineStr">
        <is>
          <t>1992-09-28</t>
        </is>
      </c>
      <c r="X173" t="inlineStr">
        <is>
          <t>1992-09-28</t>
        </is>
      </c>
      <c r="Y173" t="n">
        <v>177</v>
      </c>
      <c r="Z173" t="n">
        <v>156</v>
      </c>
      <c r="AA173" t="n">
        <v>224</v>
      </c>
      <c r="AB173" t="n">
        <v>1</v>
      </c>
      <c r="AC173" t="n">
        <v>2</v>
      </c>
      <c r="AD173" t="n">
        <v>28</v>
      </c>
      <c r="AE173" t="n">
        <v>30</v>
      </c>
      <c r="AF173" t="n">
        <v>9</v>
      </c>
      <c r="AG173" t="n">
        <v>10</v>
      </c>
      <c r="AH173" t="n">
        <v>8</v>
      </c>
      <c r="AI173" t="n">
        <v>8</v>
      </c>
      <c r="AJ173" t="n">
        <v>21</v>
      </c>
      <c r="AK173" t="n">
        <v>22</v>
      </c>
      <c r="AL173" t="n">
        <v>0</v>
      </c>
      <c r="AM173" t="n">
        <v>0</v>
      </c>
      <c r="AN173" t="n">
        <v>1</v>
      </c>
      <c r="AO173" t="n">
        <v>1</v>
      </c>
      <c r="AP173" t="inlineStr">
        <is>
          <t>No</t>
        </is>
      </c>
      <c r="AQ173" t="inlineStr">
        <is>
          <t>No</t>
        </is>
      </c>
      <c r="AS173">
        <f>HYPERLINK("https://creighton-primo.hosted.exlibrisgroup.com/primo-explore/search?tab=default_tab&amp;search_scope=EVERYTHING&amp;vid=01CRU&amp;lang=en_US&amp;offset=0&amp;query=any,contains,991004257949702656","Catalog Record")</f>
        <v/>
      </c>
      <c r="AT173">
        <f>HYPERLINK("http://www.worldcat.org/oclc/2832063","WorldCat Record")</f>
        <v/>
      </c>
      <c r="AU173" t="inlineStr">
        <is>
          <t>793851634:eng</t>
        </is>
      </c>
      <c r="AV173" t="inlineStr">
        <is>
          <t>2832063</t>
        </is>
      </c>
      <c r="AW173" t="inlineStr">
        <is>
          <t>991004257949702656</t>
        </is>
      </c>
      <c r="AX173" t="inlineStr">
        <is>
          <t>991004257949702656</t>
        </is>
      </c>
      <c r="AY173" t="inlineStr">
        <is>
          <t>2260525830002656</t>
        </is>
      </c>
      <c r="AZ173" t="inlineStr">
        <is>
          <t>BOOK</t>
        </is>
      </c>
      <c r="BC173" t="inlineStr">
        <is>
          <t>32285001321404</t>
        </is>
      </c>
      <c r="BD173" t="inlineStr">
        <is>
          <t>893888482</t>
        </is>
      </c>
    </row>
    <row r="174">
      <c r="A174" t="inlineStr">
        <is>
          <t>No</t>
        </is>
      </c>
      <c r="B174" t="inlineStr">
        <is>
          <t>HN37.C3 H582 2003</t>
        </is>
      </c>
      <c r="C174" t="inlineStr">
        <is>
          <t>0                      HN 0037000C  3                  H  582         2003</t>
        </is>
      </c>
      <c r="D174" t="inlineStr">
        <is>
          <t>Credible signs of Christ alive : case studies from the Catholic Campaign for Human Development / John P. Hogan.</t>
        </is>
      </c>
      <c r="F174" t="inlineStr">
        <is>
          <t>No</t>
        </is>
      </c>
      <c r="G174" t="inlineStr">
        <is>
          <t>1</t>
        </is>
      </c>
      <c r="H174" t="inlineStr">
        <is>
          <t>No</t>
        </is>
      </c>
      <c r="I174" t="inlineStr">
        <is>
          <t>No</t>
        </is>
      </c>
      <c r="J174" t="inlineStr">
        <is>
          <t>0</t>
        </is>
      </c>
      <c r="K174" t="inlineStr">
        <is>
          <t>Hogan, John P.</t>
        </is>
      </c>
      <c r="L174" t="inlineStr">
        <is>
          <t>Lanham, Md. : Rowman &amp; Littlefield Publishers, c2003.</t>
        </is>
      </c>
      <c r="M174" t="inlineStr">
        <is>
          <t>2003</t>
        </is>
      </c>
      <c r="O174" t="inlineStr">
        <is>
          <t>eng</t>
        </is>
      </c>
      <c r="P174" t="inlineStr">
        <is>
          <t>mdu</t>
        </is>
      </c>
      <c r="R174" t="inlineStr">
        <is>
          <t xml:space="preserve">HN </t>
        </is>
      </c>
      <c r="S174" t="n">
        <v>2</v>
      </c>
      <c r="T174" t="n">
        <v>2</v>
      </c>
      <c r="U174" t="inlineStr">
        <is>
          <t>2010-11-09</t>
        </is>
      </c>
      <c r="V174" t="inlineStr">
        <is>
          <t>2010-11-09</t>
        </is>
      </c>
      <c r="W174" t="inlineStr">
        <is>
          <t>2006-02-03</t>
        </is>
      </c>
      <c r="X174" t="inlineStr">
        <is>
          <t>2006-02-03</t>
        </is>
      </c>
      <c r="Y174" t="n">
        <v>139</v>
      </c>
      <c r="Z174" t="n">
        <v>125</v>
      </c>
      <c r="AA174" t="n">
        <v>155</v>
      </c>
      <c r="AB174" t="n">
        <v>4</v>
      </c>
      <c r="AC174" t="n">
        <v>4</v>
      </c>
      <c r="AD174" t="n">
        <v>21</v>
      </c>
      <c r="AE174" t="n">
        <v>22</v>
      </c>
      <c r="AF174" t="n">
        <v>6</v>
      </c>
      <c r="AG174" t="n">
        <v>7</v>
      </c>
      <c r="AH174" t="n">
        <v>6</v>
      </c>
      <c r="AI174" t="n">
        <v>7</v>
      </c>
      <c r="AJ174" t="n">
        <v>13</v>
      </c>
      <c r="AK174" t="n">
        <v>13</v>
      </c>
      <c r="AL174" t="n">
        <v>2</v>
      </c>
      <c r="AM174" t="n">
        <v>2</v>
      </c>
      <c r="AN174" t="n">
        <v>0</v>
      </c>
      <c r="AO174" t="n">
        <v>0</v>
      </c>
      <c r="AP174" t="inlineStr">
        <is>
          <t>No</t>
        </is>
      </c>
      <c r="AQ174" t="inlineStr">
        <is>
          <t>Yes</t>
        </is>
      </c>
      <c r="AR174">
        <f>HYPERLINK("http://catalog.hathitrust.org/Record/004767221","HathiTrust Record")</f>
        <v/>
      </c>
      <c r="AS174">
        <f>HYPERLINK("https://creighton-primo.hosted.exlibrisgroup.com/primo-explore/search?tab=default_tab&amp;search_scope=EVERYTHING&amp;vid=01CRU&amp;lang=en_US&amp;offset=0&amp;query=any,contains,991004716289702656","Catalog Record")</f>
        <v/>
      </c>
      <c r="AT174">
        <f>HYPERLINK("http://www.worldcat.org/oclc/52197363","WorldCat Record")</f>
        <v/>
      </c>
      <c r="AU174" t="inlineStr">
        <is>
          <t>800596916:eng</t>
        </is>
      </c>
      <c r="AV174" t="inlineStr">
        <is>
          <t>52197363</t>
        </is>
      </c>
      <c r="AW174" t="inlineStr">
        <is>
          <t>991004716289702656</t>
        </is>
      </c>
      <c r="AX174" t="inlineStr">
        <is>
          <t>991004716289702656</t>
        </is>
      </c>
      <c r="AY174" t="inlineStr">
        <is>
          <t>2261295090002656</t>
        </is>
      </c>
      <c r="AZ174" t="inlineStr">
        <is>
          <t>BOOK</t>
        </is>
      </c>
      <c r="BB174" t="inlineStr">
        <is>
          <t>9780742531666</t>
        </is>
      </c>
      <c r="BC174" t="inlineStr">
        <is>
          <t>32285005156947</t>
        </is>
      </c>
      <c r="BD174" t="inlineStr">
        <is>
          <t>893594011</t>
        </is>
      </c>
    </row>
    <row r="175">
      <c r="A175" t="inlineStr">
        <is>
          <t>No</t>
        </is>
      </c>
      <c r="B175" t="inlineStr">
        <is>
          <t>HN37.C3 H83 1931</t>
        </is>
      </c>
      <c r="C175" t="inlineStr">
        <is>
          <t>0                      HN 0037000C  3                  H  83          1931</t>
        </is>
      </c>
      <c r="D175" t="inlineStr">
        <is>
          <t>The Christian social manifesto : an interpretative study of the encyclicals Rerum novarum and Quadragesimo anno of Pope Leo XIII and Pope Pius XI / by Joseph Husslein.</t>
        </is>
      </c>
      <c r="F175" t="inlineStr">
        <is>
          <t>No</t>
        </is>
      </c>
      <c r="G175" t="inlineStr">
        <is>
          <t>1</t>
        </is>
      </c>
      <c r="H175" t="inlineStr">
        <is>
          <t>No</t>
        </is>
      </c>
      <c r="I175" t="inlineStr">
        <is>
          <t>No</t>
        </is>
      </c>
      <c r="J175" t="inlineStr">
        <is>
          <t>0</t>
        </is>
      </c>
      <c r="K175" t="inlineStr">
        <is>
          <t>Husslein, Joseph, 1873-1952.</t>
        </is>
      </c>
      <c r="L175" t="inlineStr">
        <is>
          <t>Milwaukee ; New York [etc.] : The Bruce publishing company, [c1931]</t>
        </is>
      </c>
      <c r="M175" t="inlineStr">
        <is>
          <t>1931</t>
        </is>
      </c>
      <c r="O175" t="inlineStr">
        <is>
          <t>eng</t>
        </is>
      </c>
      <c r="P175" t="inlineStr">
        <is>
          <t xml:space="preserve">xx </t>
        </is>
      </c>
      <c r="Q175" t="inlineStr">
        <is>
          <t>Science and culture series</t>
        </is>
      </c>
      <c r="R175" t="inlineStr">
        <is>
          <t xml:space="preserve">HN </t>
        </is>
      </c>
      <c r="S175" t="n">
        <v>3</v>
      </c>
      <c r="T175" t="n">
        <v>3</v>
      </c>
      <c r="U175" t="inlineStr">
        <is>
          <t>2008-10-30</t>
        </is>
      </c>
      <c r="V175" t="inlineStr">
        <is>
          <t>2008-10-30</t>
        </is>
      </c>
      <c r="W175" t="inlineStr">
        <is>
          <t>1992-06-18</t>
        </is>
      </c>
      <c r="X175" t="inlineStr">
        <is>
          <t>1992-06-18</t>
        </is>
      </c>
      <c r="Y175" t="n">
        <v>241</v>
      </c>
      <c r="Z175" t="n">
        <v>211</v>
      </c>
      <c r="AA175" t="n">
        <v>253</v>
      </c>
      <c r="AB175" t="n">
        <v>3</v>
      </c>
      <c r="AC175" t="n">
        <v>3</v>
      </c>
      <c r="AD175" t="n">
        <v>24</v>
      </c>
      <c r="AE175" t="n">
        <v>29</v>
      </c>
      <c r="AF175" t="n">
        <v>7</v>
      </c>
      <c r="AG175" t="n">
        <v>9</v>
      </c>
      <c r="AH175" t="n">
        <v>5</v>
      </c>
      <c r="AI175" t="n">
        <v>7</v>
      </c>
      <c r="AJ175" t="n">
        <v>20</v>
      </c>
      <c r="AK175" t="n">
        <v>23</v>
      </c>
      <c r="AL175" t="n">
        <v>0</v>
      </c>
      <c r="AM175" t="n">
        <v>0</v>
      </c>
      <c r="AN175" t="n">
        <v>1</v>
      </c>
      <c r="AO175" t="n">
        <v>1</v>
      </c>
      <c r="AP175" t="inlineStr">
        <is>
          <t>No</t>
        </is>
      </c>
      <c r="AQ175" t="inlineStr">
        <is>
          <t>No</t>
        </is>
      </c>
      <c r="AR175">
        <f>HYPERLINK("http://catalog.hathitrust.org/Record/000974572","HathiTrust Record")</f>
        <v/>
      </c>
      <c r="AS175">
        <f>HYPERLINK("https://creighton-primo.hosted.exlibrisgroup.com/primo-explore/search?tab=default_tab&amp;search_scope=EVERYTHING&amp;vid=01CRU&amp;lang=en_US&amp;offset=0&amp;query=any,contains,991003439369702656","Catalog Record")</f>
        <v/>
      </c>
      <c r="AT175">
        <f>HYPERLINK("http://www.worldcat.org/oclc/975419","WorldCat Record")</f>
        <v/>
      </c>
      <c r="AU175" t="inlineStr">
        <is>
          <t>291466325:eng</t>
        </is>
      </c>
      <c r="AV175" t="inlineStr">
        <is>
          <t>975419</t>
        </is>
      </c>
      <c r="AW175" t="inlineStr">
        <is>
          <t>991003439369702656</t>
        </is>
      </c>
      <c r="AX175" t="inlineStr">
        <is>
          <t>991003439369702656</t>
        </is>
      </c>
      <c r="AY175" t="inlineStr">
        <is>
          <t>2257219920002656</t>
        </is>
      </c>
      <c r="AZ175" t="inlineStr">
        <is>
          <t>BOOK</t>
        </is>
      </c>
      <c r="BC175" t="inlineStr">
        <is>
          <t>32285001132686</t>
        </is>
      </c>
      <c r="BD175" t="inlineStr">
        <is>
          <t>893317980</t>
        </is>
      </c>
    </row>
    <row r="176">
      <c r="A176" t="inlineStr">
        <is>
          <t>No</t>
        </is>
      </c>
      <c r="B176" t="inlineStr">
        <is>
          <t>HN37.C3 K45 1953</t>
        </is>
      </c>
      <c r="C176" t="inlineStr">
        <is>
          <t>0                      HN 0037000C  3                  K  45          1953</t>
        </is>
      </c>
      <c r="D176" t="inlineStr">
        <is>
          <t>Christianity and American capitalism / by Edward A. Keller.</t>
        </is>
      </c>
      <c r="F176" t="inlineStr">
        <is>
          <t>No</t>
        </is>
      </c>
      <c r="G176" t="inlineStr">
        <is>
          <t>1</t>
        </is>
      </c>
      <c r="H176" t="inlineStr">
        <is>
          <t>No</t>
        </is>
      </c>
      <c r="I176" t="inlineStr">
        <is>
          <t>No</t>
        </is>
      </c>
      <c r="J176" t="inlineStr">
        <is>
          <t>0</t>
        </is>
      </c>
      <c r="K176" t="inlineStr">
        <is>
          <t>Keller, Edward A.</t>
        </is>
      </c>
      <c r="L176" t="inlineStr">
        <is>
          <t>Chicago : Published for the Council of Business and Professional Men of the Catholic Faith by the Heritage Foundation, [1953]</t>
        </is>
      </c>
      <c r="M176" t="inlineStr">
        <is>
          <t>1953</t>
        </is>
      </c>
      <c r="O176" t="inlineStr">
        <is>
          <t>eng</t>
        </is>
      </c>
      <c r="P176" t="inlineStr">
        <is>
          <t>ilu</t>
        </is>
      </c>
      <c r="R176" t="inlineStr">
        <is>
          <t xml:space="preserve">HN </t>
        </is>
      </c>
      <c r="S176" t="n">
        <v>1</v>
      </c>
      <c r="T176" t="n">
        <v>1</v>
      </c>
      <c r="U176" t="inlineStr">
        <is>
          <t>2008-12-06</t>
        </is>
      </c>
      <c r="V176" t="inlineStr">
        <is>
          <t>2008-12-06</t>
        </is>
      </c>
      <c r="W176" t="inlineStr">
        <is>
          <t>1992-02-07</t>
        </is>
      </c>
      <c r="X176" t="inlineStr">
        <is>
          <t>1992-02-07</t>
        </is>
      </c>
      <c r="Y176" t="n">
        <v>409</v>
      </c>
      <c r="Z176" t="n">
        <v>402</v>
      </c>
      <c r="AA176" t="n">
        <v>415</v>
      </c>
      <c r="AB176" t="n">
        <v>4</v>
      </c>
      <c r="AC176" t="n">
        <v>4</v>
      </c>
      <c r="AD176" t="n">
        <v>35</v>
      </c>
      <c r="AE176" t="n">
        <v>35</v>
      </c>
      <c r="AF176" t="n">
        <v>15</v>
      </c>
      <c r="AG176" t="n">
        <v>15</v>
      </c>
      <c r="AH176" t="n">
        <v>8</v>
      </c>
      <c r="AI176" t="n">
        <v>8</v>
      </c>
      <c r="AJ176" t="n">
        <v>21</v>
      </c>
      <c r="AK176" t="n">
        <v>21</v>
      </c>
      <c r="AL176" t="n">
        <v>1</v>
      </c>
      <c r="AM176" t="n">
        <v>1</v>
      </c>
      <c r="AN176" t="n">
        <v>1</v>
      </c>
      <c r="AO176" t="n">
        <v>1</v>
      </c>
      <c r="AP176" t="inlineStr">
        <is>
          <t>Yes</t>
        </is>
      </c>
      <c r="AQ176" t="inlineStr">
        <is>
          <t>No</t>
        </is>
      </c>
      <c r="AR176">
        <f>HYPERLINK("http://catalog.hathitrust.org/Record/000974574","HathiTrust Record")</f>
        <v/>
      </c>
      <c r="AS176">
        <f>HYPERLINK("https://creighton-primo.hosted.exlibrisgroup.com/primo-explore/search?tab=default_tab&amp;search_scope=EVERYTHING&amp;vid=01CRU&amp;lang=en_US&amp;offset=0&amp;query=any,contains,991002962449702656","Catalog Record")</f>
        <v/>
      </c>
      <c r="AT176">
        <f>HYPERLINK("http://www.worldcat.org/oclc/544620","WorldCat Record")</f>
        <v/>
      </c>
      <c r="AU176" t="inlineStr">
        <is>
          <t>1575723:eng</t>
        </is>
      </c>
      <c r="AV176" t="inlineStr">
        <is>
          <t>544620</t>
        </is>
      </c>
      <c r="AW176" t="inlineStr">
        <is>
          <t>991002962449702656</t>
        </is>
      </c>
      <c r="AX176" t="inlineStr">
        <is>
          <t>991002962449702656</t>
        </is>
      </c>
      <c r="AY176" t="inlineStr">
        <is>
          <t>2268080900002656</t>
        </is>
      </c>
      <c r="AZ176" t="inlineStr">
        <is>
          <t>BOOK</t>
        </is>
      </c>
      <c r="BC176" t="inlineStr">
        <is>
          <t>32285000950740</t>
        </is>
      </c>
      <c r="BD176" t="inlineStr">
        <is>
          <t>893440755</t>
        </is>
      </c>
    </row>
    <row r="177">
      <c r="A177" t="inlineStr">
        <is>
          <t>No</t>
        </is>
      </c>
      <c r="B177" t="inlineStr">
        <is>
          <t>HN37.C3 L42 1992</t>
        </is>
      </c>
      <c r="C177" t="inlineStr">
        <is>
          <t>0                      HN 0037000C  3                  L  42          1992</t>
        </is>
      </c>
      <c r="D177" t="inlineStr">
        <is>
          <t>In the eye of the Catholic storm : the Church since Vatican II / Mary Jo Leddy, Remi De Roo &amp; Douglas Roche ; edited and with an introduction by Michael Creal.</t>
        </is>
      </c>
      <c r="F177" t="inlineStr">
        <is>
          <t>No</t>
        </is>
      </c>
      <c r="G177" t="inlineStr">
        <is>
          <t>1</t>
        </is>
      </c>
      <c r="H177" t="inlineStr">
        <is>
          <t>No</t>
        </is>
      </c>
      <c r="I177" t="inlineStr">
        <is>
          <t>No</t>
        </is>
      </c>
      <c r="J177" t="inlineStr">
        <is>
          <t>0</t>
        </is>
      </c>
      <c r="K177" t="inlineStr">
        <is>
          <t>Leddy, Mary Jo.</t>
        </is>
      </c>
      <c r="L177" t="inlineStr">
        <is>
          <t>Toronto : HarperCollins, c1992.</t>
        </is>
      </c>
      <c r="M177" t="inlineStr">
        <is>
          <t>1992</t>
        </is>
      </c>
      <c r="N177" t="inlineStr">
        <is>
          <t>1st ed.</t>
        </is>
      </c>
      <c r="O177" t="inlineStr">
        <is>
          <t>eng</t>
        </is>
      </c>
      <c r="P177" t="inlineStr">
        <is>
          <t>onc</t>
        </is>
      </c>
      <c r="R177" t="inlineStr">
        <is>
          <t xml:space="preserve">HN </t>
        </is>
      </c>
      <c r="S177" t="n">
        <v>3</v>
      </c>
      <c r="T177" t="n">
        <v>3</v>
      </c>
      <c r="U177" t="inlineStr">
        <is>
          <t>1994-07-16</t>
        </is>
      </c>
      <c r="V177" t="inlineStr">
        <is>
          <t>1994-07-16</t>
        </is>
      </c>
      <c r="W177" t="inlineStr">
        <is>
          <t>1992-09-23</t>
        </is>
      </c>
      <c r="X177" t="inlineStr">
        <is>
          <t>1992-09-23</t>
        </is>
      </c>
      <c r="Y177" t="n">
        <v>197</v>
      </c>
      <c r="Z177" t="n">
        <v>152</v>
      </c>
      <c r="AA177" t="n">
        <v>157</v>
      </c>
      <c r="AB177" t="n">
        <v>2</v>
      </c>
      <c r="AC177" t="n">
        <v>2</v>
      </c>
      <c r="AD177" t="n">
        <v>14</v>
      </c>
      <c r="AE177" t="n">
        <v>14</v>
      </c>
      <c r="AF177" t="n">
        <v>2</v>
      </c>
      <c r="AG177" t="n">
        <v>2</v>
      </c>
      <c r="AH177" t="n">
        <v>5</v>
      </c>
      <c r="AI177" t="n">
        <v>5</v>
      </c>
      <c r="AJ177" t="n">
        <v>10</v>
      </c>
      <c r="AK177" t="n">
        <v>10</v>
      </c>
      <c r="AL177" t="n">
        <v>1</v>
      </c>
      <c r="AM177" t="n">
        <v>1</v>
      </c>
      <c r="AN177" t="n">
        <v>0</v>
      </c>
      <c r="AO177" t="n">
        <v>0</v>
      </c>
      <c r="AP177" t="inlineStr">
        <is>
          <t>No</t>
        </is>
      </c>
      <c r="AQ177" t="inlineStr">
        <is>
          <t>Yes</t>
        </is>
      </c>
      <c r="AR177">
        <f>HYPERLINK("http://catalog.hathitrust.org/Record/002582728","HathiTrust Record")</f>
        <v/>
      </c>
      <c r="AS177">
        <f>HYPERLINK("https://creighton-primo.hosted.exlibrisgroup.com/primo-explore/search?tab=default_tab&amp;search_scope=EVERYTHING&amp;vid=01CRU&amp;lang=en_US&amp;offset=0&amp;query=any,contains,991001977469702656","Catalog Record")</f>
        <v/>
      </c>
      <c r="AT177">
        <f>HYPERLINK("http://www.worldcat.org/oclc/25091979","WorldCat Record")</f>
        <v/>
      </c>
      <c r="AU177" t="inlineStr">
        <is>
          <t>43869463:eng</t>
        </is>
      </c>
      <c r="AV177" t="inlineStr">
        <is>
          <t>25091979</t>
        </is>
      </c>
      <c r="AW177" t="inlineStr">
        <is>
          <t>991001977469702656</t>
        </is>
      </c>
      <c r="AX177" t="inlineStr">
        <is>
          <t>991001977469702656</t>
        </is>
      </c>
      <c r="AY177" t="inlineStr">
        <is>
          <t>2263371970002656</t>
        </is>
      </c>
      <c r="AZ177" t="inlineStr">
        <is>
          <t>BOOK</t>
        </is>
      </c>
      <c r="BB177" t="inlineStr">
        <is>
          <t>9780006377573</t>
        </is>
      </c>
      <c r="BC177" t="inlineStr">
        <is>
          <t>32285001288892</t>
        </is>
      </c>
      <c r="BD177" t="inlineStr">
        <is>
          <t>893503877</t>
        </is>
      </c>
    </row>
    <row r="178">
      <c r="A178" t="inlineStr">
        <is>
          <t>No</t>
        </is>
      </c>
      <c r="B178" t="inlineStr">
        <is>
          <t>HN37.C3 M413</t>
        </is>
      </c>
      <c r="C178" t="inlineStr">
        <is>
          <t>0                      HN 0037000C  3                  M  413</t>
        </is>
      </c>
      <c r="D178" t="inlineStr">
        <is>
          <t>Old principles and the new order, by Vincent McNabb, O. P.</t>
        </is>
      </c>
      <c r="F178" t="inlineStr">
        <is>
          <t>No</t>
        </is>
      </c>
      <c r="G178" t="inlineStr">
        <is>
          <t>1</t>
        </is>
      </c>
      <c r="H178" t="inlineStr">
        <is>
          <t>No</t>
        </is>
      </c>
      <c r="I178" t="inlineStr">
        <is>
          <t>No</t>
        </is>
      </c>
      <c r="J178" t="inlineStr">
        <is>
          <t>0</t>
        </is>
      </c>
      <c r="K178" t="inlineStr">
        <is>
          <t>McNabb, Vincent, 1868-1943.</t>
        </is>
      </c>
      <c r="L178" t="inlineStr">
        <is>
          <t>New York, Sheed &amp; Ward, 1942.</t>
        </is>
      </c>
      <c r="M178" t="inlineStr">
        <is>
          <t>1942</t>
        </is>
      </c>
      <c r="O178" t="inlineStr">
        <is>
          <t>eng</t>
        </is>
      </c>
      <c r="P178" t="inlineStr">
        <is>
          <t xml:space="preserve">xx </t>
        </is>
      </c>
      <c r="R178" t="inlineStr">
        <is>
          <t xml:space="preserve">HN </t>
        </is>
      </c>
      <c r="S178" t="n">
        <v>2</v>
      </c>
      <c r="T178" t="n">
        <v>2</v>
      </c>
      <c r="U178" t="inlineStr">
        <is>
          <t>2006-12-05</t>
        </is>
      </c>
      <c r="V178" t="inlineStr">
        <is>
          <t>2006-12-05</t>
        </is>
      </c>
      <c r="W178" t="inlineStr">
        <is>
          <t>1997-08-04</t>
        </is>
      </c>
      <c r="X178" t="inlineStr">
        <is>
          <t>1997-08-04</t>
        </is>
      </c>
      <c r="Y178" t="n">
        <v>120</v>
      </c>
      <c r="Z178" t="n">
        <v>110</v>
      </c>
      <c r="AA178" t="n">
        <v>116</v>
      </c>
      <c r="AB178" t="n">
        <v>2</v>
      </c>
      <c r="AC178" t="n">
        <v>2</v>
      </c>
      <c r="AD178" t="n">
        <v>16</v>
      </c>
      <c r="AE178" t="n">
        <v>16</v>
      </c>
      <c r="AF178" t="n">
        <v>5</v>
      </c>
      <c r="AG178" t="n">
        <v>5</v>
      </c>
      <c r="AH178" t="n">
        <v>3</v>
      </c>
      <c r="AI178" t="n">
        <v>3</v>
      </c>
      <c r="AJ178" t="n">
        <v>13</v>
      </c>
      <c r="AK178" t="n">
        <v>13</v>
      </c>
      <c r="AL178" t="n">
        <v>0</v>
      </c>
      <c r="AM178" t="n">
        <v>0</v>
      </c>
      <c r="AN178" t="n">
        <v>0</v>
      </c>
      <c r="AO178" t="n">
        <v>0</v>
      </c>
      <c r="AP178" t="inlineStr">
        <is>
          <t>Yes</t>
        </is>
      </c>
      <c r="AQ178" t="inlineStr">
        <is>
          <t>No</t>
        </is>
      </c>
      <c r="AR178">
        <f>HYPERLINK("http://catalog.hathitrust.org/Record/006827785","HathiTrust Record")</f>
        <v/>
      </c>
      <c r="AS178">
        <f>HYPERLINK("https://creighton-primo.hosted.exlibrisgroup.com/primo-explore/search?tab=default_tab&amp;search_scope=EVERYTHING&amp;vid=01CRU&amp;lang=en_US&amp;offset=0&amp;query=any,contains,991004322899702656","Catalog Record")</f>
        <v/>
      </c>
      <c r="AT178">
        <f>HYPERLINK("http://www.worldcat.org/oclc/3023841","WorldCat Record")</f>
        <v/>
      </c>
      <c r="AU178" t="inlineStr">
        <is>
          <t>7354070:eng</t>
        </is>
      </c>
      <c r="AV178" t="inlineStr">
        <is>
          <t>3023841</t>
        </is>
      </c>
      <c r="AW178" t="inlineStr">
        <is>
          <t>991004322899702656</t>
        </is>
      </c>
      <c r="AX178" t="inlineStr">
        <is>
          <t>991004322899702656</t>
        </is>
      </c>
      <c r="AY178" t="inlineStr">
        <is>
          <t>2260939550002656</t>
        </is>
      </c>
      <c r="AZ178" t="inlineStr">
        <is>
          <t>BOOK</t>
        </is>
      </c>
      <c r="BC178" t="inlineStr">
        <is>
          <t>32285003041232</t>
        </is>
      </c>
      <c r="BD178" t="inlineStr">
        <is>
          <t>893722374</t>
        </is>
      </c>
    </row>
    <row r="179">
      <c r="A179" t="inlineStr">
        <is>
          <t>No</t>
        </is>
      </c>
      <c r="B179" t="inlineStr">
        <is>
          <t>HN37.C3 M76</t>
        </is>
      </c>
      <c r="C179" t="inlineStr">
        <is>
          <t>0                      HN 0037000C  3                  M  76</t>
        </is>
      </c>
      <c r="D179" t="inlineStr">
        <is>
          <t>The social conscience of a catholic; the social doctrine of the church applied to problems in our contemporary society, edited by Everett J. Morgan. With a foreword by Louis J. Twomey.</t>
        </is>
      </c>
      <c r="F179" t="inlineStr">
        <is>
          <t>No</t>
        </is>
      </c>
      <c r="G179" t="inlineStr">
        <is>
          <t>1</t>
        </is>
      </c>
      <c r="H179" t="inlineStr">
        <is>
          <t>No</t>
        </is>
      </c>
      <c r="I179" t="inlineStr">
        <is>
          <t>No</t>
        </is>
      </c>
      <c r="J179" t="inlineStr">
        <is>
          <t>0</t>
        </is>
      </c>
      <c r="K179" t="inlineStr">
        <is>
          <t>Morgan, Everett J., editor.</t>
        </is>
      </c>
      <c r="L179" t="inlineStr">
        <is>
          <t>[Milwaukee, Distributed by Marquette University bookstore, 1964]</t>
        </is>
      </c>
      <c r="M179" t="inlineStr">
        <is>
          <t>1964</t>
        </is>
      </c>
      <c r="O179" t="inlineStr">
        <is>
          <t>eng</t>
        </is>
      </c>
      <c r="P179" t="inlineStr">
        <is>
          <t>wiu</t>
        </is>
      </c>
      <c r="R179" t="inlineStr">
        <is>
          <t xml:space="preserve">HN </t>
        </is>
      </c>
      <c r="S179" t="n">
        <v>1</v>
      </c>
      <c r="T179" t="n">
        <v>1</v>
      </c>
      <c r="U179" t="inlineStr">
        <is>
          <t>2003-04-01</t>
        </is>
      </c>
      <c r="V179" t="inlineStr">
        <is>
          <t>2003-04-01</t>
        </is>
      </c>
      <c r="W179" t="inlineStr">
        <is>
          <t>1997-08-04</t>
        </is>
      </c>
      <c r="X179" t="inlineStr">
        <is>
          <t>1997-08-04</t>
        </is>
      </c>
      <c r="Y179" t="n">
        <v>140</v>
      </c>
      <c r="Z179" t="n">
        <v>127</v>
      </c>
      <c r="AA179" t="n">
        <v>184</v>
      </c>
      <c r="AB179" t="n">
        <v>1</v>
      </c>
      <c r="AC179" t="n">
        <v>1</v>
      </c>
      <c r="AD179" t="n">
        <v>24</v>
      </c>
      <c r="AE179" t="n">
        <v>29</v>
      </c>
      <c r="AF179" t="n">
        <v>6</v>
      </c>
      <c r="AG179" t="n">
        <v>9</v>
      </c>
      <c r="AH179" t="n">
        <v>8</v>
      </c>
      <c r="AI179" t="n">
        <v>8</v>
      </c>
      <c r="AJ179" t="n">
        <v>19</v>
      </c>
      <c r="AK179" t="n">
        <v>23</v>
      </c>
      <c r="AL179" t="n">
        <v>0</v>
      </c>
      <c r="AM179" t="n">
        <v>0</v>
      </c>
      <c r="AN179" t="n">
        <v>0</v>
      </c>
      <c r="AO179" t="n">
        <v>0</v>
      </c>
      <c r="AP179" t="inlineStr">
        <is>
          <t>No</t>
        </is>
      </c>
      <c r="AQ179" t="inlineStr">
        <is>
          <t>No</t>
        </is>
      </c>
      <c r="AS179">
        <f>HYPERLINK("https://creighton-primo.hosted.exlibrisgroup.com/primo-explore/search?tab=default_tab&amp;search_scope=EVERYTHING&amp;vid=01CRU&amp;lang=en_US&amp;offset=0&amp;query=any,contains,991003308209702656","Catalog Record")</f>
        <v/>
      </c>
      <c r="AT179">
        <f>HYPERLINK("http://www.worldcat.org/oclc/831825","WorldCat Record")</f>
        <v/>
      </c>
      <c r="AU179" t="inlineStr">
        <is>
          <t>1744343:eng</t>
        </is>
      </c>
      <c r="AV179" t="inlineStr">
        <is>
          <t>831825</t>
        </is>
      </c>
      <c r="AW179" t="inlineStr">
        <is>
          <t>991003308209702656</t>
        </is>
      </c>
      <c r="AX179" t="inlineStr">
        <is>
          <t>991003308209702656</t>
        </is>
      </c>
      <c r="AY179" t="inlineStr">
        <is>
          <t>2271996170002656</t>
        </is>
      </c>
      <c r="AZ179" t="inlineStr">
        <is>
          <t>BOOK</t>
        </is>
      </c>
      <c r="BC179" t="inlineStr">
        <is>
          <t>32285003041281</t>
        </is>
      </c>
      <c r="BD179" t="inlineStr">
        <is>
          <t>893234029</t>
        </is>
      </c>
    </row>
    <row r="180">
      <c r="A180" t="inlineStr">
        <is>
          <t>No</t>
        </is>
      </c>
      <c r="B180" t="inlineStr">
        <is>
          <t>HN37.C3 O2</t>
        </is>
      </c>
      <c r="C180" t="inlineStr">
        <is>
          <t>0                      HN 0037000C  3                  O  2</t>
        </is>
      </c>
      <c r="D180" t="inlineStr">
        <is>
          <t>Catholic sociology, presented to Catholic students and based on the encyclicals of Leo XIII and Pius XI [by] Sister Mary Consilia O'Brien ...</t>
        </is>
      </c>
      <c r="F180" t="inlineStr">
        <is>
          <t>No</t>
        </is>
      </c>
      <c r="G180" t="inlineStr">
        <is>
          <t>1</t>
        </is>
      </c>
      <c r="H180" t="inlineStr">
        <is>
          <t>No</t>
        </is>
      </c>
      <c r="I180" t="inlineStr">
        <is>
          <t>No</t>
        </is>
      </c>
      <c r="J180" t="inlineStr">
        <is>
          <t>0</t>
        </is>
      </c>
      <c r="K180" t="inlineStr">
        <is>
          <t>O'Brien, Mary Consilia, 1903-</t>
        </is>
      </c>
      <c r="L180" t="inlineStr">
        <is>
          <t>New York, P. J. Kenedy &amp; Sons [c1939]</t>
        </is>
      </c>
      <c r="M180" t="inlineStr">
        <is>
          <t>1939</t>
        </is>
      </c>
      <c r="O180" t="inlineStr">
        <is>
          <t>eng</t>
        </is>
      </c>
      <c r="P180" t="inlineStr">
        <is>
          <t>nyu</t>
        </is>
      </c>
      <c r="R180" t="inlineStr">
        <is>
          <t xml:space="preserve">HN </t>
        </is>
      </c>
      <c r="S180" t="n">
        <v>1</v>
      </c>
      <c r="T180" t="n">
        <v>1</v>
      </c>
      <c r="U180" t="inlineStr">
        <is>
          <t>1999-02-19</t>
        </is>
      </c>
      <c r="V180" t="inlineStr">
        <is>
          <t>1999-02-19</t>
        </is>
      </c>
      <c r="W180" t="inlineStr">
        <is>
          <t>1997-08-04</t>
        </is>
      </c>
      <c r="X180" t="inlineStr">
        <is>
          <t>1997-08-04</t>
        </is>
      </c>
      <c r="Y180" t="n">
        <v>36</v>
      </c>
      <c r="Z180" t="n">
        <v>34</v>
      </c>
      <c r="AA180" t="n">
        <v>39</v>
      </c>
      <c r="AB180" t="n">
        <v>1</v>
      </c>
      <c r="AC180" t="n">
        <v>1</v>
      </c>
      <c r="AD180" t="n">
        <v>8</v>
      </c>
      <c r="AE180" t="n">
        <v>10</v>
      </c>
      <c r="AF180" t="n">
        <v>0</v>
      </c>
      <c r="AG180" t="n">
        <v>1</v>
      </c>
      <c r="AH180" t="n">
        <v>1</v>
      </c>
      <c r="AI180" t="n">
        <v>1</v>
      </c>
      <c r="AJ180" t="n">
        <v>8</v>
      </c>
      <c r="AK180" t="n">
        <v>9</v>
      </c>
      <c r="AL180" t="n">
        <v>0</v>
      </c>
      <c r="AM180" t="n">
        <v>0</v>
      </c>
      <c r="AN180" t="n">
        <v>0</v>
      </c>
      <c r="AO180" t="n">
        <v>0</v>
      </c>
      <c r="AP180" t="inlineStr">
        <is>
          <t>No</t>
        </is>
      </c>
      <c r="AQ180" t="inlineStr">
        <is>
          <t>No</t>
        </is>
      </c>
      <c r="AS180">
        <f>HYPERLINK("https://creighton-primo.hosted.exlibrisgroup.com/primo-explore/search?tab=default_tab&amp;search_scope=EVERYTHING&amp;vid=01CRU&amp;lang=en_US&amp;offset=0&amp;query=any,contains,991005108559702656","Catalog Record")</f>
        <v/>
      </c>
      <c r="AT180">
        <f>HYPERLINK("http://www.worldcat.org/oclc/7379553","WorldCat Record")</f>
        <v/>
      </c>
      <c r="AU180" t="inlineStr">
        <is>
          <t>28624669:eng</t>
        </is>
      </c>
      <c r="AV180" t="inlineStr">
        <is>
          <t>7379553</t>
        </is>
      </c>
      <c r="AW180" t="inlineStr">
        <is>
          <t>991005108559702656</t>
        </is>
      </c>
      <c r="AX180" t="inlineStr">
        <is>
          <t>991005108559702656</t>
        </is>
      </c>
      <c r="AY180" t="inlineStr">
        <is>
          <t>2270075990002656</t>
        </is>
      </c>
      <c r="AZ180" t="inlineStr">
        <is>
          <t>BOOK</t>
        </is>
      </c>
      <c r="BC180" t="inlineStr">
        <is>
          <t>32285003041299</t>
        </is>
      </c>
      <c r="BD180" t="inlineStr">
        <is>
          <t>893320034</t>
        </is>
      </c>
    </row>
    <row r="181">
      <c r="A181" t="inlineStr">
        <is>
          <t>No</t>
        </is>
      </c>
      <c r="B181" t="inlineStr">
        <is>
          <t>HN37.C3 R397</t>
        </is>
      </c>
      <c r="C181" t="inlineStr">
        <is>
          <t>0                      HN 0037000C  3                  R  397</t>
        </is>
      </c>
      <c r="D181" t="inlineStr">
        <is>
          <t>Renewing the earth : Catholic documents on peace, justice, and liberation / edited by David J. O'Brien and Thomas A. Shannon.</t>
        </is>
      </c>
      <c r="F181" t="inlineStr">
        <is>
          <t>No</t>
        </is>
      </c>
      <c r="G181" t="inlineStr">
        <is>
          <t>1</t>
        </is>
      </c>
      <c r="H181" t="inlineStr">
        <is>
          <t>No</t>
        </is>
      </c>
      <c r="I181" t="inlineStr">
        <is>
          <t>No</t>
        </is>
      </c>
      <c r="J181" t="inlineStr">
        <is>
          <t>0</t>
        </is>
      </c>
      <c r="L181" t="inlineStr">
        <is>
          <t>Garden City, N.Y. : Image Books, 1977.</t>
        </is>
      </c>
      <c r="M181" t="inlineStr">
        <is>
          <t>1977</t>
        </is>
      </c>
      <c r="O181" t="inlineStr">
        <is>
          <t>eng</t>
        </is>
      </c>
      <c r="P181" t="inlineStr">
        <is>
          <t>nyu</t>
        </is>
      </c>
      <c r="R181" t="inlineStr">
        <is>
          <t xml:space="preserve">HN </t>
        </is>
      </c>
      <c r="S181" t="n">
        <v>14</v>
      </c>
      <c r="T181" t="n">
        <v>14</v>
      </c>
      <c r="U181" t="inlineStr">
        <is>
          <t>2004-11-30</t>
        </is>
      </c>
      <c r="V181" t="inlineStr">
        <is>
          <t>2004-11-30</t>
        </is>
      </c>
      <c r="W181" t="inlineStr">
        <is>
          <t>1992-06-18</t>
        </is>
      </c>
      <c r="X181" t="inlineStr">
        <is>
          <t>1992-06-18</t>
        </is>
      </c>
      <c r="Y181" t="n">
        <v>323</v>
      </c>
      <c r="Z181" t="n">
        <v>269</v>
      </c>
      <c r="AA181" t="n">
        <v>274</v>
      </c>
      <c r="AB181" t="n">
        <v>2</v>
      </c>
      <c r="AC181" t="n">
        <v>2</v>
      </c>
      <c r="AD181" t="n">
        <v>27</v>
      </c>
      <c r="AE181" t="n">
        <v>27</v>
      </c>
      <c r="AF181" t="n">
        <v>7</v>
      </c>
      <c r="AG181" t="n">
        <v>7</v>
      </c>
      <c r="AH181" t="n">
        <v>9</v>
      </c>
      <c r="AI181" t="n">
        <v>9</v>
      </c>
      <c r="AJ181" t="n">
        <v>19</v>
      </c>
      <c r="AK181" t="n">
        <v>19</v>
      </c>
      <c r="AL181" t="n">
        <v>0</v>
      </c>
      <c r="AM181" t="n">
        <v>0</v>
      </c>
      <c r="AN181" t="n">
        <v>1</v>
      </c>
      <c r="AO181" t="n">
        <v>1</v>
      </c>
      <c r="AP181" t="inlineStr">
        <is>
          <t>No</t>
        </is>
      </c>
      <c r="AQ181" t="inlineStr">
        <is>
          <t>No</t>
        </is>
      </c>
      <c r="AS181">
        <f>HYPERLINK("https://creighton-primo.hosted.exlibrisgroup.com/primo-explore/search?tab=default_tab&amp;search_scope=EVERYTHING&amp;vid=01CRU&amp;lang=en_US&amp;offset=0&amp;query=any,contains,991004305499702656","Catalog Record")</f>
        <v/>
      </c>
      <c r="AT181">
        <f>HYPERLINK("http://www.worldcat.org/oclc/2983265","WorldCat Record")</f>
        <v/>
      </c>
      <c r="AU181" t="inlineStr">
        <is>
          <t>898827448:eng</t>
        </is>
      </c>
      <c r="AV181" t="inlineStr">
        <is>
          <t>2983265</t>
        </is>
      </c>
      <c r="AW181" t="inlineStr">
        <is>
          <t>991004305499702656</t>
        </is>
      </c>
      <c r="AX181" t="inlineStr">
        <is>
          <t>991004305499702656</t>
        </is>
      </c>
      <c r="AY181" t="inlineStr">
        <is>
          <t>2261265370002656</t>
        </is>
      </c>
      <c r="AZ181" t="inlineStr">
        <is>
          <t>BOOK</t>
        </is>
      </c>
      <c r="BB181" t="inlineStr">
        <is>
          <t>9780385129541</t>
        </is>
      </c>
      <c r="BC181" t="inlineStr">
        <is>
          <t>32285001132389</t>
        </is>
      </c>
      <c r="BD181" t="inlineStr">
        <is>
          <t>893247413</t>
        </is>
      </c>
    </row>
    <row r="182">
      <c r="A182" t="inlineStr">
        <is>
          <t>No</t>
        </is>
      </c>
      <c r="B182" t="inlineStr">
        <is>
          <t>HN37.C3 R8</t>
        </is>
      </c>
      <c r="C182" t="inlineStr">
        <is>
          <t>0                      HN 0037000C  3                  R  8</t>
        </is>
      </c>
      <c r="D182" t="inlineStr">
        <is>
          <t>The church and socialism : and other essays / by John A. Ryan.</t>
        </is>
      </c>
      <c r="F182" t="inlineStr">
        <is>
          <t>No</t>
        </is>
      </c>
      <c r="G182" t="inlineStr">
        <is>
          <t>1</t>
        </is>
      </c>
      <c r="H182" t="inlineStr">
        <is>
          <t>No</t>
        </is>
      </c>
      <c r="I182" t="inlineStr">
        <is>
          <t>No</t>
        </is>
      </c>
      <c r="J182" t="inlineStr">
        <is>
          <t>0</t>
        </is>
      </c>
      <c r="K182" t="inlineStr">
        <is>
          <t>Ryan, John A. (John Augustine), 1869-1945.</t>
        </is>
      </c>
      <c r="L182" t="inlineStr">
        <is>
          <t>Washington : The University press, 1919.</t>
        </is>
      </c>
      <c r="M182" t="inlineStr">
        <is>
          <t>1919</t>
        </is>
      </c>
      <c r="O182" t="inlineStr">
        <is>
          <t>eng</t>
        </is>
      </c>
      <c r="P182" t="inlineStr">
        <is>
          <t xml:space="preserve">xx </t>
        </is>
      </c>
      <c r="Q182" t="inlineStr">
        <is>
          <t>The social justice books</t>
        </is>
      </c>
      <c r="R182" t="inlineStr">
        <is>
          <t xml:space="preserve">HN </t>
        </is>
      </c>
      <c r="S182" t="n">
        <v>1</v>
      </c>
      <c r="T182" t="n">
        <v>1</v>
      </c>
      <c r="U182" t="inlineStr">
        <is>
          <t>2000-07-15</t>
        </is>
      </c>
      <c r="V182" t="inlineStr">
        <is>
          <t>2000-07-15</t>
        </is>
      </c>
      <c r="W182" t="inlineStr">
        <is>
          <t>1995-05-16</t>
        </is>
      </c>
      <c r="X182" t="inlineStr">
        <is>
          <t>1995-05-16</t>
        </is>
      </c>
      <c r="Y182" t="n">
        <v>141</v>
      </c>
      <c r="Z182" t="n">
        <v>129</v>
      </c>
      <c r="AA182" t="n">
        <v>154</v>
      </c>
      <c r="AB182" t="n">
        <v>1</v>
      </c>
      <c r="AC182" t="n">
        <v>1</v>
      </c>
      <c r="AD182" t="n">
        <v>18</v>
      </c>
      <c r="AE182" t="n">
        <v>19</v>
      </c>
      <c r="AF182" t="n">
        <v>5</v>
      </c>
      <c r="AG182" t="n">
        <v>5</v>
      </c>
      <c r="AH182" t="n">
        <v>6</v>
      </c>
      <c r="AI182" t="n">
        <v>7</v>
      </c>
      <c r="AJ182" t="n">
        <v>13</v>
      </c>
      <c r="AK182" t="n">
        <v>14</v>
      </c>
      <c r="AL182" t="n">
        <v>0</v>
      </c>
      <c r="AM182" t="n">
        <v>0</v>
      </c>
      <c r="AN182" t="n">
        <v>0</v>
      </c>
      <c r="AO182" t="n">
        <v>0</v>
      </c>
      <c r="AP182" t="inlineStr">
        <is>
          <t>Yes</t>
        </is>
      </c>
      <c r="AQ182" t="inlineStr">
        <is>
          <t>No</t>
        </is>
      </c>
      <c r="AR182">
        <f>HYPERLINK("http://catalog.hathitrust.org/Record/007702931","HathiTrust Record")</f>
        <v/>
      </c>
      <c r="AS182">
        <f>HYPERLINK("https://creighton-primo.hosted.exlibrisgroup.com/primo-explore/search?tab=default_tab&amp;search_scope=EVERYTHING&amp;vid=01CRU&amp;lang=en_US&amp;offset=0&amp;query=any,contains,991002448039702656","Catalog Record")</f>
        <v/>
      </c>
      <c r="AT182">
        <f>HYPERLINK("http://www.worldcat.org/oclc/352147","WorldCat Record")</f>
        <v/>
      </c>
      <c r="AU182" t="inlineStr">
        <is>
          <t>1388076:eng</t>
        </is>
      </c>
      <c r="AV182" t="inlineStr">
        <is>
          <t>352147</t>
        </is>
      </c>
      <c r="AW182" t="inlineStr">
        <is>
          <t>991002448039702656</t>
        </is>
      </c>
      <c r="AX182" t="inlineStr">
        <is>
          <t>991002448039702656</t>
        </is>
      </c>
      <c r="AY182" t="inlineStr">
        <is>
          <t>2265325340002656</t>
        </is>
      </c>
      <c r="AZ182" t="inlineStr">
        <is>
          <t>BOOK</t>
        </is>
      </c>
      <c r="BC182" t="inlineStr">
        <is>
          <t>32285002034311</t>
        </is>
      </c>
      <c r="BD182" t="inlineStr">
        <is>
          <t>893716465</t>
        </is>
      </c>
    </row>
    <row r="183">
      <c r="A183" t="inlineStr">
        <is>
          <t>No</t>
        </is>
      </c>
      <c r="B183" t="inlineStr">
        <is>
          <t>HN37.C3 S34 1934</t>
        </is>
      </c>
      <c r="C183" t="inlineStr">
        <is>
          <t>0                      HN 0037000C  3                  S  34          1934</t>
        </is>
      </c>
      <c r="D183" t="inlineStr">
        <is>
          <t>Encyclicae sociales (Rerum novarum - Quadragesimo anno) : tabula synoptica summarium et textus / Gratianus de Schepper ; ex opere majore conspectus generalis oeconomiae socialis excerpta.</t>
        </is>
      </c>
      <c r="F183" t="inlineStr">
        <is>
          <t>No</t>
        </is>
      </c>
      <c r="G183" t="inlineStr">
        <is>
          <t>1</t>
        </is>
      </c>
      <c r="H183" t="inlineStr">
        <is>
          <t>No</t>
        </is>
      </c>
      <c r="I183" t="inlineStr">
        <is>
          <t>No</t>
        </is>
      </c>
      <c r="J183" t="inlineStr">
        <is>
          <t>0</t>
        </is>
      </c>
      <c r="K183" t="inlineStr">
        <is>
          <t>Schepper, Gratianus de.</t>
        </is>
      </c>
      <c r="L183" t="inlineStr">
        <is>
          <t>Rome : Apud Aedes Pontificii Instituti Utriusque Juris, 1934.</t>
        </is>
      </c>
      <c r="M183" t="inlineStr">
        <is>
          <t>1934</t>
        </is>
      </c>
      <c r="O183" t="inlineStr">
        <is>
          <t>lat</t>
        </is>
      </c>
      <c r="P183" t="inlineStr">
        <is>
          <t xml:space="preserve">it </t>
        </is>
      </c>
      <c r="R183" t="inlineStr">
        <is>
          <t xml:space="preserve">HN </t>
        </is>
      </c>
      <c r="S183" t="n">
        <v>10</v>
      </c>
      <c r="T183" t="n">
        <v>10</v>
      </c>
      <c r="U183" t="inlineStr">
        <is>
          <t>1997-01-27</t>
        </is>
      </c>
      <c r="V183" t="inlineStr">
        <is>
          <t>1997-01-27</t>
        </is>
      </c>
      <c r="W183" t="inlineStr">
        <is>
          <t>1993-05-18</t>
        </is>
      </c>
      <c r="X183" t="inlineStr">
        <is>
          <t>1993-05-18</t>
        </is>
      </c>
      <c r="Y183" t="n">
        <v>2</v>
      </c>
      <c r="Z183" t="n">
        <v>2</v>
      </c>
      <c r="AA183" t="n">
        <v>2</v>
      </c>
      <c r="AB183" t="n">
        <v>1</v>
      </c>
      <c r="AC183" t="n">
        <v>1</v>
      </c>
      <c r="AD183" t="n">
        <v>0</v>
      </c>
      <c r="AE183" t="n">
        <v>0</v>
      </c>
      <c r="AF183" t="n">
        <v>0</v>
      </c>
      <c r="AG183" t="n">
        <v>0</v>
      </c>
      <c r="AH183" t="n">
        <v>0</v>
      </c>
      <c r="AI183" t="n">
        <v>0</v>
      </c>
      <c r="AJ183" t="n">
        <v>0</v>
      </c>
      <c r="AK183" t="n">
        <v>0</v>
      </c>
      <c r="AL183" t="n">
        <v>0</v>
      </c>
      <c r="AM183" t="n">
        <v>0</v>
      </c>
      <c r="AN183" t="n">
        <v>0</v>
      </c>
      <c r="AO183" t="n">
        <v>0</v>
      </c>
      <c r="AP183" t="inlineStr">
        <is>
          <t>No</t>
        </is>
      </c>
      <c r="AQ183" t="inlineStr">
        <is>
          <t>No</t>
        </is>
      </c>
      <c r="AS183">
        <f>HYPERLINK("https://creighton-primo.hosted.exlibrisgroup.com/primo-explore/search?tab=default_tab&amp;search_scope=EVERYTHING&amp;vid=01CRU&amp;lang=en_US&amp;offset=0&amp;query=any,contains,991002184409702656","Catalog Record")</f>
        <v/>
      </c>
      <c r="AT183">
        <f>HYPERLINK("http://www.worldcat.org/oclc/28125987","WorldCat Record")</f>
        <v/>
      </c>
      <c r="AU183" t="inlineStr">
        <is>
          <t>496996087:lat</t>
        </is>
      </c>
      <c r="AV183" t="inlineStr">
        <is>
          <t>28125987</t>
        </is>
      </c>
      <c r="AW183" t="inlineStr">
        <is>
          <t>991002184409702656</t>
        </is>
      </c>
      <c r="AX183" t="inlineStr">
        <is>
          <t>991002184409702656</t>
        </is>
      </c>
      <c r="AY183" t="inlineStr">
        <is>
          <t>2256185790002656</t>
        </is>
      </c>
      <c r="AZ183" t="inlineStr">
        <is>
          <t>BOOK</t>
        </is>
      </c>
      <c r="BC183" t="inlineStr">
        <is>
          <t>32285001675387</t>
        </is>
      </c>
      <c r="BD183" t="inlineStr">
        <is>
          <t>893615795</t>
        </is>
      </c>
    </row>
    <row r="184">
      <c r="A184" t="inlineStr">
        <is>
          <t>No</t>
        </is>
      </c>
      <c r="B184" t="inlineStr">
        <is>
          <t>HN37.C3 S455 1997</t>
        </is>
      </c>
      <c r="C184" t="inlineStr">
        <is>
          <t>0                      HN 0037000C  3                  S  455         1997</t>
        </is>
      </c>
      <c r="D184" t="inlineStr">
        <is>
          <t>Serving the human family : the Holy See at the major United Nations conferences / forewords by Angelo Sodano, Jean-Louis Tauran, Renato R. Martino ; Carl J. Marucci, editor.</t>
        </is>
      </c>
      <c r="F184" t="inlineStr">
        <is>
          <t>No</t>
        </is>
      </c>
      <c r="G184" t="inlineStr">
        <is>
          <t>1</t>
        </is>
      </c>
      <c r="H184" t="inlineStr">
        <is>
          <t>No</t>
        </is>
      </c>
      <c r="I184" t="inlineStr">
        <is>
          <t>No</t>
        </is>
      </c>
      <c r="J184" t="inlineStr">
        <is>
          <t>0</t>
        </is>
      </c>
      <c r="L184" t="inlineStr">
        <is>
          <t>New York : Path to Peace Foundation, 1997.</t>
        </is>
      </c>
      <c r="M184" t="inlineStr">
        <is>
          <t>1997</t>
        </is>
      </c>
      <c r="O184" t="inlineStr">
        <is>
          <t>eng</t>
        </is>
      </c>
      <c r="P184" t="inlineStr">
        <is>
          <t>nyu</t>
        </is>
      </c>
      <c r="R184" t="inlineStr">
        <is>
          <t xml:space="preserve">HN </t>
        </is>
      </c>
      <c r="S184" t="n">
        <v>3</v>
      </c>
      <c r="T184" t="n">
        <v>3</v>
      </c>
      <c r="U184" t="inlineStr">
        <is>
          <t>2009-12-10</t>
        </is>
      </c>
      <c r="V184" t="inlineStr">
        <is>
          <t>2009-12-10</t>
        </is>
      </c>
      <c r="W184" t="inlineStr">
        <is>
          <t>1998-05-20</t>
        </is>
      </c>
      <c r="X184" t="inlineStr">
        <is>
          <t>1998-05-20</t>
        </is>
      </c>
      <c r="Y184" t="n">
        <v>100</v>
      </c>
      <c r="Z184" t="n">
        <v>81</v>
      </c>
      <c r="AA184" t="n">
        <v>82</v>
      </c>
      <c r="AB184" t="n">
        <v>2</v>
      </c>
      <c r="AC184" t="n">
        <v>2</v>
      </c>
      <c r="AD184" t="n">
        <v>15</v>
      </c>
      <c r="AE184" t="n">
        <v>15</v>
      </c>
      <c r="AF184" t="n">
        <v>5</v>
      </c>
      <c r="AG184" t="n">
        <v>5</v>
      </c>
      <c r="AH184" t="n">
        <v>6</v>
      </c>
      <c r="AI184" t="n">
        <v>6</v>
      </c>
      <c r="AJ184" t="n">
        <v>10</v>
      </c>
      <c r="AK184" t="n">
        <v>10</v>
      </c>
      <c r="AL184" t="n">
        <v>0</v>
      </c>
      <c r="AM184" t="n">
        <v>0</v>
      </c>
      <c r="AN184" t="n">
        <v>0</v>
      </c>
      <c r="AO184" t="n">
        <v>0</v>
      </c>
      <c r="AP184" t="inlineStr">
        <is>
          <t>No</t>
        </is>
      </c>
      <c r="AQ184" t="inlineStr">
        <is>
          <t>Yes</t>
        </is>
      </c>
      <c r="AR184">
        <f>HYPERLINK("http://catalog.hathitrust.org/Record/007039161","HathiTrust Record")</f>
        <v/>
      </c>
      <c r="AS184">
        <f>HYPERLINK("https://creighton-primo.hosted.exlibrisgroup.com/primo-explore/search?tab=default_tab&amp;search_scope=EVERYTHING&amp;vid=01CRU&amp;lang=en_US&amp;offset=0&amp;query=any,contains,991002860169702656","Catalog Record")</f>
        <v/>
      </c>
      <c r="AT184">
        <f>HYPERLINK("http://www.worldcat.org/oclc/37695460","WorldCat Record")</f>
        <v/>
      </c>
      <c r="AU184" t="inlineStr">
        <is>
          <t>662901:eng</t>
        </is>
      </c>
      <c r="AV184" t="inlineStr">
        <is>
          <t>37695460</t>
        </is>
      </c>
      <c r="AW184" t="inlineStr">
        <is>
          <t>991002860169702656</t>
        </is>
      </c>
      <c r="AX184" t="inlineStr">
        <is>
          <t>991002860169702656</t>
        </is>
      </c>
      <c r="AY184" t="inlineStr">
        <is>
          <t>2268897210002656</t>
        </is>
      </c>
      <c r="AZ184" t="inlineStr">
        <is>
          <t>BOOK</t>
        </is>
      </c>
      <c r="BB184" t="inlineStr">
        <is>
          <t>9780965161329</t>
        </is>
      </c>
      <c r="BC184" t="inlineStr">
        <is>
          <t>32285003410627</t>
        </is>
      </c>
      <c r="BD184" t="inlineStr">
        <is>
          <t>893591883</t>
        </is>
      </c>
    </row>
    <row r="185">
      <c r="A185" t="inlineStr">
        <is>
          <t>No</t>
        </is>
      </c>
      <c r="B185" t="inlineStr">
        <is>
          <t>HN370.Z9 P82</t>
        </is>
      </c>
      <c r="C185" t="inlineStr">
        <is>
          <t>0                      HN 0370000Z  9                  P  82</t>
        </is>
      </c>
      <c r="D185" t="inlineStr">
        <is>
          <t>Political attitudes in Venezuela : societal cleavages and political opinion / Enrique A. Baloyra and John D. Martz.</t>
        </is>
      </c>
      <c r="F185" t="inlineStr">
        <is>
          <t>No</t>
        </is>
      </c>
      <c r="G185" t="inlineStr">
        <is>
          <t>1</t>
        </is>
      </c>
      <c r="H185" t="inlineStr">
        <is>
          <t>No</t>
        </is>
      </c>
      <c r="I185" t="inlineStr">
        <is>
          <t>No</t>
        </is>
      </c>
      <c r="J185" t="inlineStr">
        <is>
          <t>0</t>
        </is>
      </c>
      <c r="K185" t="inlineStr">
        <is>
          <t>Baloyra, Enrique A., 1942-</t>
        </is>
      </c>
      <c r="L185" t="inlineStr">
        <is>
          <t>Austin : University of Texas Press, c1979.</t>
        </is>
      </c>
      <c r="M185" t="inlineStr">
        <is>
          <t>1979</t>
        </is>
      </c>
      <c r="O185" t="inlineStr">
        <is>
          <t>eng</t>
        </is>
      </c>
      <c r="P185" t="inlineStr">
        <is>
          <t>txu</t>
        </is>
      </c>
      <c r="Q185" t="inlineStr">
        <is>
          <t>The Texas Pan American series</t>
        </is>
      </c>
      <c r="R185" t="inlineStr">
        <is>
          <t xml:space="preserve">HN </t>
        </is>
      </c>
      <c r="S185" t="n">
        <v>12</v>
      </c>
      <c r="T185" t="n">
        <v>12</v>
      </c>
      <c r="U185" t="inlineStr">
        <is>
          <t>2007-04-19</t>
        </is>
      </c>
      <c r="V185" t="inlineStr">
        <is>
          <t>2007-04-19</t>
        </is>
      </c>
      <c r="W185" t="inlineStr">
        <is>
          <t>1992-10-09</t>
        </is>
      </c>
      <c r="X185" t="inlineStr">
        <is>
          <t>1992-10-09</t>
        </is>
      </c>
      <c r="Y185" t="n">
        <v>427</v>
      </c>
      <c r="Z185" t="n">
        <v>352</v>
      </c>
      <c r="AA185" t="n">
        <v>421</v>
      </c>
      <c r="AB185" t="n">
        <v>4</v>
      </c>
      <c r="AC185" t="n">
        <v>4</v>
      </c>
      <c r="AD185" t="n">
        <v>19</v>
      </c>
      <c r="AE185" t="n">
        <v>23</v>
      </c>
      <c r="AF185" t="n">
        <v>6</v>
      </c>
      <c r="AG185" t="n">
        <v>10</v>
      </c>
      <c r="AH185" t="n">
        <v>6</v>
      </c>
      <c r="AI185" t="n">
        <v>7</v>
      </c>
      <c r="AJ185" t="n">
        <v>10</v>
      </c>
      <c r="AK185" t="n">
        <v>10</v>
      </c>
      <c r="AL185" t="n">
        <v>3</v>
      </c>
      <c r="AM185" t="n">
        <v>3</v>
      </c>
      <c r="AN185" t="n">
        <v>0</v>
      </c>
      <c r="AO185" t="n">
        <v>0</v>
      </c>
      <c r="AP185" t="inlineStr">
        <is>
          <t>No</t>
        </is>
      </c>
      <c r="AQ185" t="inlineStr">
        <is>
          <t>No</t>
        </is>
      </c>
      <c r="AS185">
        <f>HYPERLINK("https://creighton-primo.hosted.exlibrisgroup.com/primo-explore/search?tab=default_tab&amp;search_scope=EVERYTHING&amp;vid=01CRU&amp;lang=en_US&amp;offset=0&amp;query=any,contains,991004593699702656","Catalog Record")</f>
        <v/>
      </c>
      <c r="AT185">
        <f>HYPERLINK("http://www.worldcat.org/oclc/4135917","WorldCat Record")</f>
        <v/>
      </c>
      <c r="AU185" t="inlineStr">
        <is>
          <t>795162525:eng</t>
        </is>
      </c>
      <c r="AV185" t="inlineStr">
        <is>
          <t>4135917</t>
        </is>
      </c>
      <c r="AW185" t="inlineStr">
        <is>
          <t>991004593699702656</t>
        </is>
      </c>
      <c r="AX185" t="inlineStr">
        <is>
          <t>991004593699702656</t>
        </is>
      </c>
      <c r="AY185" t="inlineStr">
        <is>
          <t>2254805270002656</t>
        </is>
      </c>
      <c r="AZ185" t="inlineStr">
        <is>
          <t>BOOK</t>
        </is>
      </c>
      <c r="BB185" t="inlineStr">
        <is>
          <t>9780292764538</t>
        </is>
      </c>
      <c r="BC185" t="inlineStr">
        <is>
          <t>32285001356616</t>
        </is>
      </c>
      <c r="BD185" t="inlineStr">
        <is>
          <t>893331805</t>
        </is>
      </c>
    </row>
    <row r="186">
      <c r="A186" t="inlineStr">
        <is>
          <t>No</t>
        </is>
      </c>
      <c r="B186" t="inlineStr">
        <is>
          <t>HN372 .E74</t>
        </is>
      </c>
      <c r="C186" t="inlineStr">
        <is>
          <t>0                      HN 0372000E  74</t>
        </is>
      </c>
      <c r="D186" t="inlineStr">
        <is>
          <t>Ethnic diversity and conflict in Eastern Europe / Peter F. Sugar, editor.</t>
        </is>
      </c>
      <c r="F186" t="inlineStr">
        <is>
          <t>No</t>
        </is>
      </c>
      <c r="G186" t="inlineStr">
        <is>
          <t>1</t>
        </is>
      </c>
      <c r="H186" t="inlineStr">
        <is>
          <t>No</t>
        </is>
      </c>
      <c r="I186" t="inlineStr">
        <is>
          <t>No</t>
        </is>
      </c>
      <c r="J186" t="inlineStr">
        <is>
          <t>0</t>
        </is>
      </c>
      <c r="L186" t="inlineStr">
        <is>
          <t>Santa Barbara, Calif. : ABC--Clio, c1980.</t>
        </is>
      </c>
      <c r="M186" t="inlineStr">
        <is>
          <t>1980</t>
        </is>
      </c>
      <c r="O186" t="inlineStr">
        <is>
          <t>eng</t>
        </is>
      </c>
      <c r="P186" t="inlineStr">
        <is>
          <t>cau</t>
        </is>
      </c>
      <c r="Q186" t="inlineStr">
        <is>
          <t>The Joint Committee on Eastern Europe publication series ; no. 8</t>
        </is>
      </c>
      <c r="R186" t="inlineStr">
        <is>
          <t xml:space="preserve">HN </t>
        </is>
      </c>
      <c r="S186" t="n">
        <v>4</v>
      </c>
      <c r="T186" t="n">
        <v>4</v>
      </c>
      <c r="U186" t="inlineStr">
        <is>
          <t>1996-10-06</t>
        </is>
      </c>
      <c r="V186" t="inlineStr">
        <is>
          <t>1996-10-06</t>
        </is>
      </c>
      <c r="W186" t="inlineStr">
        <is>
          <t>1992-10-09</t>
        </is>
      </c>
      <c r="X186" t="inlineStr">
        <is>
          <t>1992-10-09</t>
        </is>
      </c>
      <c r="Y186" t="n">
        <v>346</v>
      </c>
      <c r="Z186" t="n">
        <v>255</v>
      </c>
      <c r="AA186" t="n">
        <v>261</v>
      </c>
      <c r="AB186" t="n">
        <v>1</v>
      </c>
      <c r="AC186" t="n">
        <v>1</v>
      </c>
      <c r="AD186" t="n">
        <v>14</v>
      </c>
      <c r="AE186" t="n">
        <v>14</v>
      </c>
      <c r="AF186" t="n">
        <v>3</v>
      </c>
      <c r="AG186" t="n">
        <v>3</v>
      </c>
      <c r="AH186" t="n">
        <v>6</v>
      </c>
      <c r="AI186" t="n">
        <v>6</v>
      </c>
      <c r="AJ186" t="n">
        <v>11</v>
      </c>
      <c r="AK186" t="n">
        <v>11</v>
      </c>
      <c r="AL186" t="n">
        <v>0</v>
      </c>
      <c r="AM186" t="n">
        <v>0</v>
      </c>
      <c r="AN186" t="n">
        <v>0</v>
      </c>
      <c r="AO186" t="n">
        <v>0</v>
      </c>
      <c r="AP186" t="inlineStr">
        <is>
          <t>No</t>
        </is>
      </c>
      <c r="AQ186" t="inlineStr">
        <is>
          <t>No</t>
        </is>
      </c>
      <c r="AS186">
        <f>HYPERLINK("https://creighton-primo.hosted.exlibrisgroup.com/primo-explore/search?tab=default_tab&amp;search_scope=EVERYTHING&amp;vid=01CRU&amp;lang=en_US&amp;offset=0&amp;query=any,contains,991004927359702656","Catalog Record")</f>
        <v/>
      </c>
      <c r="AT186">
        <f>HYPERLINK("http://www.worldcat.org/oclc/6086823","WorldCat Record")</f>
        <v/>
      </c>
      <c r="AU186" t="inlineStr">
        <is>
          <t>180715988:eng</t>
        </is>
      </c>
      <c r="AV186" t="inlineStr">
        <is>
          <t>6086823</t>
        </is>
      </c>
      <c r="AW186" t="inlineStr">
        <is>
          <t>991004927359702656</t>
        </is>
      </c>
      <c r="AX186" t="inlineStr">
        <is>
          <t>991004927359702656</t>
        </is>
      </c>
      <c r="AY186" t="inlineStr">
        <is>
          <t>2258024770002656</t>
        </is>
      </c>
      <c r="AZ186" t="inlineStr">
        <is>
          <t>BOOK</t>
        </is>
      </c>
      <c r="BB186" t="inlineStr">
        <is>
          <t>9780874362978</t>
        </is>
      </c>
      <c r="BC186" t="inlineStr">
        <is>
          <t>32285001356624</t>
        </is>
      </c>
      <c r="BD186" t="inlineStr">
        <is>
          <t>893707007</t>
        </is>
      </c>
    </row>
    <row r="187">
      <c r="A187" t="inlineStr">
        <is>
          <t>No</t>
        </is>
      </c>
      <c r="B187" t="inlineStr">
        <is>
          <t>HN373 .G54 1977</t>
        </is>
      </c>
      <c r="C187" t="inlineStr">
        <is>
          <t>0                      HN 0373000G  54          1977</t>
        </is>
      </c>
      <c r="D187" t="inlineStr">
        <is>
          <t>The development of European society, 1770-1870 / John R. Gillis.</t>
        </is>
      </c>
      <c r="F187" t="inlineStr">
        <is>
          <t>No</t>
        </is>
      </c>
      <c r="G187" t="inlineStr">
        <is>
          <t>1</t>
        </is>
      </c>
      <c r="H187" t="inlineStr">
        <is>
          <t>No</t>
        </is>
      </c>
      <c r="I187" t="inlineStr">
        <is>
          <t>No</t>
        </is>
      </c>
      <c r="J187" t="inlineStr">
        <is>
          <t>0</t>
        </is>
      </c>
      <c r="K187" t="inlineStr">
        <is>
          <t>Gillis, John R.</t>
        </is>
      </c>
      <c r="L187" t="inlineStr">
        <is>
          <t>Boston : Houghton Mifflin, c1977.</t>
        </is>
      </c>
      <c r="M187" t="inlineStr">
        <is>
          <t>1977</t>
        </is>
      </c>
      <c r="O187" t="inlineStr">
        <is>
          <t>eng</t>
        </is>
      </c>
      <c r="P187" t="inlineStr">
        <is>
          <t>mau</t>
        </is>
      </c>
      <c r="R187" t="inlineStr">
        <is>
          <t xml:space="preserve">HN </t>
        </is>
      </c>
      <c r="S187" t="n">
        <v>1</v>
      </c>
      <c r="T187" t="n">
        <v>1</v>
      </c>
      <c r="U187" t="inlineStr">
        <is>
          <t>2001-07-24</t>
        </is>
      </c>
      <c r="V187" t="inlineStr">
        <is>
          <t>2001-07-24</t>
        </is>
      </c>
      <c r="W187" t="inlineStr">
        <is>
          <t>2001-07-23</t>
        </is>
      </c>
      <c r="X187" t="inlineStr">
        <is>
          <t>2001-07-23</t>
        </is>
      </c>
      <c r="Y187" t="n">
        <v>407</v>
      </c>
      <c r="Z187" t="n">
        <v>320</v>
      </c>
      <c r="AA187" t="n">
        <v>415</v>
      </c>
      <c r="AB187" t="n">
        <v>4</v>
      </c>
      <c r="AC187" t="n">
        <v>4</v>
      </c>
      <c r="AD187" t="n">
        <v>18</v>
      </c>
      <c r="AE187" t="n">
        <v>25</v>
      </c>
      <c r="AF187" t="n">
        <v>2</v>
      </c>
      <c r="AG187" t="n">
        <v>5</v>
      </c>
      <c r="AH187" t="n">
        <v>6</v>
      </c>
      <c r="AI187" t="n">
        <v>8</v>
      </c>
      <c r="AJ187" t="n">
        <v>9</v>
      </c>
      <c r="AK187" t="n">
        <v>15</v>
      </c>
      <c r="AL187" t="n">
        <v>3</v>
      </c>
      <c r="AM187" t="n">
        <v>3</v>
      </c>
      <c r="AN187" t="n">
        <v>0</v>
      </c>
      <c r="AO187" t="n">
        <v>0</v>
      </c>
      <c r="AP187" t="inlineStr">
        <is>
          <t>No</t>
        </is>
      </c>
      <c r="AQ187" t="inlineStr">
        <is>
          <t>Yes</t>
        </is>
      </c>
      <c r="AR187">
        <f>HYPERLINK("http://catalog.hathitrust.org/Record/000171836","HathiTrust Record")</f>
        <v/>
      </c>
      <c r="AS187">
        <f>HYPERLINK("https://creighton-primo.hosted.exlibrisgroup.com/primo-explore/search?tab=default_tab&amp;search_scope=EVERYTHING&amp;vid=01CRU&amp;lang=en_US&amp;offset=0&amp;query=any,contains,991003584189702656","Catalog Record")</f>
        <v/>
      </c>
      <c r="AT187">
        <f>HYPERLINK("http://www.worldcat.org/oclc/2739905","WorldCat Record")</f>
        <v/>
      </c>
      <c r="AU187" t="inlineStr">
        <is>
          <t>6204096:eng</t>
        </is>
      </c>
      <c r="AV187" t="inlineStr">
        <is>
          <t>2739905</t>
        </is>
      </c>
      <c r="AW187" t="inlineStr">
        <is>
          <t>991003584189702656</t>
        </is>
      </c>
      <c r="AX187" t="inlineStr">
        <is>
          <t>991003584189702656</t>
        </is>
      </c>
      <c r="AY187" t="inlineStr">
        <is>
          <t>2272136790002656</t>
        </is>
      </c>
      <c r="AZ187" t="inlineStr">
        <is>
          <t>BOOK</t>
        </is>
      </c>
      <c r="BB187" t="inlineStr">
        <is>
          <t>9780395244821</t>
        </is>
      </c>
      <c r="BC187" t="inlineStr">
        <is>
          <t>32285004334404</t>
        </is>
      </c>
      <c r="BD187" t="inlineStr">
        <is>
          <t>893318129</t>
        </is>
      </c>
    </row>
    <row r="188">
      <c r="A188" t="inlineStr">
        <is>
          <t>No</t>
        </is>
      </c>
      <c r="B188" t="inlineStr">
        <is>
          <t>HN373 .K34 1971b</t>
        </is>
      </c>
      <c r="C188" t="inlineStr">
        <is>
          <t>0                      HN 0373000K  34          1971b</t>
        </is>
      </c>
      <c r="D188" t="inlineStr">
        <is>
          <t>The iron century; social change in Europe, 1550-1660 [by] Henry Kamen.</t>
        </is>
      </c>
      <c r="F188" t="inlineStr">
        <is>
          <t>No</t>
        </is>
      </c>
      <c r="G188" t="inlineStr">
        <is>
          <t>1</t>
        </is>
      </c>
      <c r="H188" t="inlineStr">
        <is>
          <t>No</t>
        </is>
      </c>
      <c r="I188" t="inlineStr">
        <is>
          <t>No</t>
        </is>
      </c>
      <c r="J188" t="inlineStr">
        <is>
          <t>0</t>
        </is>
      </c>
      <c r="K188" t="inlineStr">
        <is>
          <t>Kamen, Henry.</t>
        </is>
      </c>
      <c r="L188" t="inlineStr">
        <is>
          <t>New York, Praeger Publishers [c1971]</t>
        </is>
      </c>
      <c r="M188" t="inlineStr">
        <is>
          <t>1971</t>
        </is>
      </c>
      <c r="O188" t="inlineStr">
        <is>
          <t>eng</t>
        </is>
      </c>
      <c r="P188" t="inlineStr">
        <is>
          <t>nyu</t>
        </is>
      </c>
      <c r="Q188" t="inlineStr">
        <is>
          <t>History of civilisation</t>
        </is>
      </c>
      <c r="R188" t="inlineStr">
        <is>
          <t xml:space="preserve">HN </t>
        </is>
      </c>
      <c r="S188" t="n">
        <v>5</v>
      </c>
      <c r="T188" t="n">
        <v>5</v>
      </c>
      <c r="U188" t="inlineStr">
        <is>
          <t>1999-04-08</t>
        </is>
      </c>
      <c r="V188" t="inlineStr">
        <is>
          <t>1999-04-08</t>
        </is>
      </c>
      <c r="W188" t="inlineStr">
        <is>
          <t>1997-08-06</t>
        </is>
      </c>
      <c r="X188" t="inlineStr">
        <is>
          <t>1997-08-06</t>
        </is>
      </c>
      <c r="Y188" t="n">
        <v>612</v>
      </c>
      <c r="Z188" t="n">
        <v>572</v>
      </c>
      <c r="AA188" t="n">
        <v>696</v>
      </c>
      <c r="AB188" t="n">
        <v>8</v>
      </c>
      <c r="AC188" t="n">
        <v>8</v>
      </c>
      <c r="AD188" t="n">
        <v>27</v>
      </c>
      <c r="AE188" t="n">
        <v>36</v>
      </c>
      <c r="AF188" t="n">
        <v>9</v>
      </c>
      <c r="AG188" t="n">
        <v>11</v>
      </c>
      <c r="AH188" t="n">
        <v>6</v>
      </c>
      <c r="AI188" t="n">
        <v>9</v>
      </c>
      <c r="AJ188" t="n">
        <v>11</v>
      </c>
      <c r="AK188" t="n">
        <v>17</v>
      </c>
      <c r="AL188" t="n">
        <v>7</v>
      </c>
      <c r="AM188" t="n">
        <v>7</v>
      </c>
      <c r="AN188" t="n">
        <v>0</v>
      </c>
      <c r="AO188" t="n">
        <v>0</v>
      </c>
      <c r="AP188" t="inlineStr">
        <is>
          <t>No</t>
        </is>
      </c>
      <c r="AQ188" t="inlineStr">
        <is>
          <t>Yes</t>
        </is>
      </c>
      <c r="AR188">
        <f>HYPERLINK("http://catalog.hathitrust.org/Record/007479172","HathiTrust Record")</f>
        <v/>
      </c>
      <c r="AS188">
        <f>HYPERLINK("https://creighton-primo.hosted.exlibrisgroup.com/primo-explore/search?tab=default_tab&amp;search_scope=EVERYTHING&amp;vid=01CRU&amp;lang=en_US&amp;offset=0&amp;query=any,contains,991002180199702656","Catalog Record")</f>
        <v/>
      </c>
      <c r="AT188">
        <f>HYPERLINK("http://www.worldcat.org/oclc/278868","WorldCat Record")</f>
        <v/>
      </c>
      <c r="AU188" t="inlineStr">
        <is>
          <t>1404472:eng</t>
        </is>
      </c>
      <c r="AV188" t="inlineStr">
        <is>
          <t>278868</t>
        </is>
      </c>
      <c r="AW188" t="inlineStr">
        <is>
          <t>991002180199702656</t>
        </is>
      </c>
      <c r="AX188" t="inlineStr">
        <is>
          <t>991002180199702656</t>
        </is>
      </c>
      <c r="AY188" t="inlineStr">
        <is>
          <t>2258333290002656</t>
        </is>
      </c>
      <c r="AZ188" t="inlineStr">
        <is>
          <t>BOOK</t>
        </is>
      </c>
      <c r="BC188" t="inlineStr">
        <is>
          <t>32285003085056</t>
        </is>
      </c>
      <c r="BD188" t="inlineStr">
        <is>
          <t>893792125</t>
        </is>
      </c>
    </row>
    <row r="189">
      <c r="A189" t="inlineStr">
        <is>
          <t>No</t>
        </is>
      </c>
      <c r="B189" t="inlineStr">
        <is>
          <t>HN373 .S68 1975</t>
        </is>
      </c>
      <c r="C189" t="inlineStr">
        <is>
          <t>0                      HN 0373000S  68          1975</t>
        </is>
      </c>
      <c r="D189" t="inlineStr">
        <is>
          <t>European society in upheaval : social history since 1750 / Peter N. Stearns.</t>
        </is>
      </c>
      <c r="F189" t="inlineStr">
        <is>
          <t>No</t>
        </is>
      </c>
      <c r="G189" t="inlineStr">
        <is>
          <t>1</t>
        </is>
      </c>
      <c r="H189" t="inlineStr">
        <is>
          <t>No</t>
        </is>
      </c>
      <c r="I189" t="inlineStr">
        <is>
          <t>No</t>
        </is>
      </c>
      <c r="J189" t="inlineStr">
        <is>
          <t>0</t>
        </is>
      </c>
      <c r="K189" t="inlineStr">
        <is>
          <t>Stearns, Peter N.</t>
        </is>
      </c>
      <c r="L189" t="inlineStr">
        <is>
          <t>New York : Macmillan, [1975]</t>
        </is>
      </c>
      <c r="M189" t="inlineStr">
        <is>
          <t>1975</t>
        </is>
      </c>
      <c r="N189" t="inlineStr">
        <is>
          <t>2d ed.</t>
        </is>
      </c>
      <c r="O189" t="inlineStr">
        <is>
          <t>eng</t>
        </is>
      </c>
      <c r="P189" t="inlineStr">
        <is>
          <t>nyu</t>
        </is>
      </c>
      <c r="R189" t="inlineStr">
        <is>
          <t xml:space="preserve">HN </t>
        </is>
      </c>
      <c r="S189" t="n">
        <v>1</v>
      </c>
      <c r="T189" t="n">
        <v>1</v>
      </c>
      <c r="U189" t="inlineStr">
        <is>
          <t>2003-12-07</t>
        </is>
      </c>
      <c r="V189" t="inlineStr">
        <is>
          <t>2003-12-07</t>
        </is>
      </c>
      <c r="W189" t="inlineStr">
        <is>
          <t>1990-02-14</t>
        </is>
      </c>
      <c r="X189" t="inlineStr">
        <is>
          <t>1990-02-14</t>
        </is>
      </c>
      <c r="Y189" t="n">
        <v>499</v>
      </c>
      <c r="Z189" t="n">
        <v>349</v>
      </c>
      <c r="AA189" t="n">
        <v>949</v>
      </c>
      <c r="AB189" t="n">
        <v>3</v>
      </c>
      <c r="AC189" t="n">
        <v>8</v>
      </c>
      <c r="AD189" t="n">
        <v>19</v>
      </c>
      <c r="AE189" t="n">
        <v>42</v>
      </c>
      <c r="AF189" t="n">
        <v>6</v>
      </c>
      <c r="AG189" t="n">
        <v>16</v>
      </c>
      <c r="AH189" t="n">
        <v>4</v>
      </c>
      <c r="AI189" t="n">
        <v>8</v>
      </c>
      <c r="AJ189" t="n">
        <v>12</v>
      </c>
      <c r="AK189" t="n">
        <v>21</v>
      </c>
      <c r="AL189" t="n">
        <v>2</v>
      </c>
      <c r="AM189" t="n">
        <v>7</v>
      </c>
      <c r="AN189" t="n">
        <v>0</v>
      </c>
      <c r="AO189" t="n">
        <v>0</v>
      </c>
      <c r="AP189" t="inlineStr">
        <is>
          <t>No</t>
        </is>
      </c>
      <c r="AQ189" t="inlineStr">
        <is>
          <t>Yes</t>
        </is>
      </c>
      <c r="AR189">
        <f>HYPERLINK("http://catalog.hathitrust.org/Record/001109727","HathiTrust Record")</f>
        <v/>
      </c>
      <c r="AS189">
        <f>HYPERLINK("https://creighton-primo.hosted.exlibrisgroup.com/primo-explore/search?tab=default_tab&amp;search_scope=EVERYTHING&amp;vid=01CRU&amp;lang=en_US&amp;offset=0&amp;query=any,contains,991003503309702656","Catalog Record")</f>
        <v/>
      </c>
      <c r="AT189">
        <f>HYPERLINK("http://www.worldcat.org/oclc/1055395","WorldCat Record")</f>
        <v/>
      </c>
      <c r="AU189" t="inlineStr">
        <is>
          <t>2863417043:eng</t>
        </is>
      </c>
      <c r="AV189" t="inlineStr">
        <is>
          <t>1055395</t>
        </is>
      </c>
      <c r="AW189" t="inlineStr">
        <is>
          <t>991003503309702656</t>
        </is>
      </c>
      <c r="AX189" t="inlineStr">
        <is>
          <t>991003503309702656</t>
        </is>
      </c>
      <c r="AY189" t="inlineStr">
        <is>
          <t>2271799680002656</t>
        </is>
      </c>
      <c r="AZ189" t="inlineStr">
        <is>
          <t>BOOK</t>
        </is>
      </c>
      <c r="BB189" t="inlineStr">
        <is>
          <t>9780024162106</t>
        </is>
      </c>
      <c r="BC189" t="inlineStr">
        <is>
          <t>32285000053214</t>
        </is>
      </c>
      <c r="BD189" t="inlineStr">
        <is>
          <t>893505649</t>
        </is>
      </c>
    </row>
    <row r="190">
      <c r="A190" t="inlineStr">
        <is>
          <t>No</t>
        </is>
      </c>
      <c r="B190" t="inlineStr">
        <is>
          <t>HN373.5 .D445 2007</t>
        </is>
      </c>
      <c r="C190" t="inlineStr">
        <is>
          <t>0                      HN 0373500D  445         2007</t>
        </is>
      </c>
      <c r="D190" t="inlineStr">
        <is>
          <t>Defining social services in Europe : between the particular and the general / Peter Herrmann, Albert Brandstätter, Cathal O'Connell, eds.</t>
        </is>
      </c>
      <c r="F190" t="inlineStr">
        <is>
          <t>No</t>
        </is>
      </c>
      <c r="G190" t="inlineStr">
        <is>
          <t>1</t>
        </is>
      </c>
      <c r="H190" t="inlineStr">
        <is>
          <t>No</t>
        </is>
      </c>
      <c r="I190" t="inlineStr">
        <is>
          <t>No</t>
        </is>
      </c>
      <c r="J190" t="inlineStr">
        <is>
          <t>0</t>
        </is>
      </c>
      <c r="L190" t="inlineStr">
        <is>
          <t>Baden-Baden : Nomos, c2007.</t>
        </is>
      </c>
      <c r="M190" t="inlineStr">
        <is>
          <t>2007</t>
        </is>
      </c>
      <c r="N190" t="inlineStr">
        <is>
          <t>1 Aufl.</t>
        </is>
      </c>
      <c r="O190" t="inlineStr">
        <is>
          <t>eng</t>
        </is>
      </c>
      <c r="P190" t="inlineStr">
        <is>
          <t xml:space="preserve">gw </t>
        </is>
      </c>
      <c r="R190" t="inlineStr">
        <is>
          <t xml:space="preserve">HN </t>
        </is>
      </c>
      <c r="S190" t="n">
        <v>1</v>
      </c>
      <c r="T190" t="n">
        <v>1</v>
      </c>
      <c r="U190" t="inlineStr">
        <is>
          <t>2009-02-12</t>
        </is>
      </c>
      <c r="V190" t="inlineStr">
        <is>
          <t>2009-02-12</t>
        </is>
      </c>
      <c r="W190" t="inlineStr">
        <is>
          <t>2009-02-12</t>
        </is>
      </c>
      <c r="X190" t="inlineStr">
        <is>
          <t>2009-02-12</t>
        </is>
      </c>
      <c r="Y190" t="n">
        <v>33</v>
      </c>
      <c r="Z190" t="n">
        <v>14</v>
      </c>
      <c r="AA190" t="n">
        <v>14</v>
      </c>
      <c r="AB190" t="n">
        <v>1</v>
      </c>
      <c r="AC190" t="n">
        <v>1</v>
      </c>
      <c r="AD190" t="n">
        <v>0</v>
      </c>
      <c r="AE190" t="n">
        <v>0</v>
      </c>
      <c r="AF190" t="n">
        <v>0</v>
      </c>
      <c r="AG190" t="n">
        <v>0</v>
      </c>
      <c r="AH190" t="n">
        <v>0</v>
      </c>
      <c r="AI190" t="n">
        <v>0</v>
      </c>
      <c r="AJ190" t="n">
        <v>0</v>
      </c>
      <c r="AK190" t="n">
        <v>0</v>
      </c>
      <c r="AL190" t="n">
        <v>0</v>
      </c>
      <c r="AM190" t="n">
        <v>0</v>
      </c>
      <c r="AN190" t="n">
        <v>0</v>
      </c>
      <c r="AO190" t="n">
        <v>0</v>
      </c>
      <c r="AP190" t="inlineStr">
        <is>
          <t>No</t>
        </is>
      </c>
      <c r="AQ190" t="inlineStr">
        <is>
          <t>No</t>
        </is>
      </c>
      <c r="AS190">
        <f>HYPERLINK("https://creighton-primo.hosted.exlibrisgroup.com/primo-explore/search?tab=default_tab&amp;search_scope=EVERYTHING&amp;vid=01CRU&amp;lang=en_US&amp;offset=0&amp;query=any,contains,991005294809702656","Catalog Record")</f>
        <v/>
      </c>
      <c r="AT190">
        <f>HYPERLINK("http://www.worldcat.org/oclc/166384223","WorldCat Record")</f>
        <v/>
      </c>
      <c r="AU190" t="inlineStr">
        <is>
          <t>899910772:eng</t>
        </is>
      </c>
      <c r="AV190" t="inlineStr">
        <is>
          <t>166384223</t>
        </is>
      </c>
      <c r="AW190" t="inlineStr">
        <is>
          <t>991005294809702656</t>
        </is>
      </c>
      <c r="AX190" t="inlineStr">
        <is>
          <t>991005294809702656</t>
        </is>
      </c>
      <c r="AY190" t="inlineStr">
        <is>
          <t>2271637140002656</t>
        </is>
      </c>
      <c r="AZ190" t="inlineStr">
        <is>
          <t>BOOK</t>
        </is>
      </c>
      <c r="BB190" t="inlineStr">
        <is>
          <t>9783832928834</t>
        </is>
      </c>
      <c r="BC190" t="inlineStr">
        <is>
          <t>32285005503809</t>
        </is>
      </c>
      <c r="BD190" t="inlineStr">
        <is>
          <t>893248681</t>
        </is>
      </c>
    </row>
    <row r="191">
      <c r="A191" t="inlineStr">
        <is>
          <t>No</t>
        </is>
      </c>
      <c r="B191" t="inlineStr">
        <is>
          <t>HN373.5 .E83 1995</t>
        </is>
      </c>
      <c r="C191" t="inlineStr">
        <is>
          <t>0                      HN 0373500E  83          1995</t>
        </is>
      </c>
      <c r="D191" t="inlineStr">
        <is>
          <t>European social policy : between fragmentation and integration / Stephan Leibfried and Paul Pierson, editors.</t>
        </is>
      </c>
      <c r="F191" t="inlineStr">
        <is>
          <t>No</t>
        </is>
      </c>
      <c r="G191" t="inlineStr">
        <is>
          <t>1</t>
        </is>
      </c>
      <c r="H191" t="inlineStr">
        <is>
          <t>No</t>
        </is>
      </c>
      <c r="I191" t="inlineStr">
        <is>
          <t>No</t>
        </is>
      </c>
      <c r="J191" t="inlineStr">
        <is>
          <t>0</t>
        </is>
      </c>
      <c r="L191" t="inlineStr">
        <is>
          <t>Washington, D.C. : Brookings Institution, 1995.</t>
        </is>
      </c>
      <c r="M191" t="inlineStr">
        <is>
          <t>1995</t>
        </is>
      </c>
      <c r="O191" t="inlineStr">
        <is>
          <t>eng</t>
        </is>
      </c>
      <c r="P191" t="inlineStr">
        <is>
          <t>dcu</t>
        </is>
      </c>
      <c r="R191" t="inlineStr">
        <is>
          <t xml:space="preserve">HN </t>
        </is>
      </c>
      <c r="S191" t="n">
        <v>10</v>
      </c>
      <c r="T191" t="n">
        <v>10</v>
      </c>
      <c r="U191" t="inlineStr">
        <is>
          <t>2004-09-18</t>
        </is>
      </c>
      <c r="V191" t="inlineStr">
        <is>
          <t>2004-09-18</t>
        </is>
      </c>
      <c r="W191" t="inlineStr">
        <is>
          <t>1995-11-09</t>
        </is>
      </c>
      <c r="X191" t="inlineStr">
        <is>
          <t>1995-11-09</t>
        </is>
      </c>
      <c r="Y191" t="n">
        <v>641</v>
      </c>
      <c r="Z191" t="n">
        <v>486</v>
      </c>
      <c r="AA191" t="n">
        <v>493</v>
      </c>
      <c r="AB191" t="n">
        <v>4</v>
      </c>
      <c r="AC191" t="n">
        <v>4</v>
      </c>
      <c r="AD191" t="n">
        <v>29</v>
      </c>
      <c r="AE191" t="n">
        <v>29</v>
      </c>
      <c r="AF191" t="n">
        <v>10</v>
      </c>
      <c r="AG191" t="n">
        <v>10</v>
      </c>
      <c r="AH191" t="n">
        <v>7</v>
      </c>
      <c r="AI191" t="n">
        <v>7</v>
      </c>
      <c r="AJ191" t="n">
        <v>15</v>
      </c>
      <c r="AK191" t="n">
        <v>15</v>
      </c>
      <c r="AL191" t="n">
        <v>3</v>
      </c>
      <c r="AM191" t="n">
        <v>3</v>
      </c>
      <c r="AN191" t="n">
        <v>2</v>
      </c>
      <c r="AO191" t="n">
        <v>2</v>
      </c>
      <c r="AP191" t="inlineStr">
        <is>
          <t>No</t>
        </is>
      </c>
      <c r="AQ191" t="inlineStr">
        <is>
          <t>No</t>
        </is>
      </c>
      <c r="AS191">
        <f>HYPERLINK("https://creighton-primo.hosted.exlibrisgroup.com/primo-explore/search?tab=default_tab&amp;search_scope=EVERYTHING&amp;vid=01CRU&amp;lang=en_US&amp;offset=0&amp;query=any,contains,991002519839702656","Catalog Record")</f>
        <v/>
      </c>
      <c r="AT191">
        <f>HYPERLINK("http://www.worldcat.org/oclc/32778873","WorldCat Record")</f>
        <v/>
      </c>
      <c r="AU191" t="inlineStr">
        <is>
          <t>889995841:eng</t>
        </is>
      </c>
      <c r="AV191" t="inlineStr">
        <is>
          <t>32778873</t>
        </is>
      </c>
      <c r="AW191" t="inlineStr">
        <is>
          <t>991002519839702656</t>
        </is>
      </c>
      <c r="AX191" t="inlineStr">
        <is>
          <t>991002519839702656</t>
        </is>
      </c>
      <c r="AY191" t="inlineStr">
        <is>
          <t>2260199870002656</t>
        </is>
      </c>
      <c r="AZ191" t="inlineStr">
        <is>
          <t>BOOK</t>
        </is>
      </c>
      <c r="BB191" t="inlineStr">
        <is>
          <t>9780815752479</t>
        </is>
      </c>
      <c r="BC191" t="inlineStr">
        <is>
          <t>32285002087996</t>
        </is>
      </c>
      <c r="BD191" t="inlineStr">
        <is>
          <t>893245277</t>
        </is>
      </c>
    </row>
    <row r="192">
      <c r="A192" t="inlineStr">
        <is>
          <t>No</t>
        </is>
      </c>
      <c r="B192" t="inlineStr">
        <is>
          <t>HN373.5 .R63 2001</t>
        </is>
      </c>
      <c r="C192" t="inlineStr">
        <is>
          <t>0                      HN 0373500R  63          2001</t>
        </is>
      </c>
      <c r="D192" t="inlineStr">
        <is>
          <t>Social policy in the European Union : between harmonization and national autonomy / Ivor Roberts and Beverly Springer.</t>
        </is>
      </c>
      <c r="F192" t="inlineStr">
        <is>
          <t>No</t>
        </is>
      </c>
      <c r="G192" t="inlineStr">
        <is>
          <t>1</t>
        </is>
      </c>
      <c r="H192" t="inlineStr">
        <is>
          <t>No</t>
        </is>
      </c>
      <c r="I192" t="inlineStr">
        <is>
          <t>No</t>
        </is>
      </c>
      <c r="J192" t="inlineStr">
        <is>
          <t>0</t>
        </is>
      </c>
      <c r="K192" t="inlineStr">
        <is>
          <t>Roberts, Ivor, 1938-</t>
        </is>
      </c>
      <c r="L192" t="inlineStr">
        <is>
          <t>Boulder, Colo. : Lynne Rienner Publishers, 2001.</t>
        </is>
      </c>
      <c r="M192" t="inlineStr">
        <is>
          <t>2001</t>
        </is>
      </c>
      <c r="O192" t="inlineStr">
        <is>
          <t>eng</t>
        </is>
      </c>
      <c r="P192" t="inlineStr">
        <is>
          <t>cou</t>
        </is>
      </c>
      <c r="R192" t="inlineStr">
        <is>
          <t xml:space="preserve">HN </t>
        </is>
      </c>
      <c r="S192" t="n">
        <v>2</v>
      </c>
      <c r="T192" t="n">
        <v>2</v>
      </c>
      <c r="U192" t="inlineStr">
        <is>
          <t>2003-02-27</t>
        </is>
      </c>
      <c r="V192" t="inlineStr">
        <is>
          <t>2003-02-27</t>
        </is>
      </c>
      <c r="W192" t="inlineStr">
        <is>
          <t>2001-08-27</t>
        </is>
      </c>
      <c r="X192" t="inlineStr">
        <is>
          <t>2001-08-27</t>
        </is>
      </c>
      <c r="Y192" t="n">
        <v>276</v>
      </c>
      <c r="Z192" t="n">
        <v>215</v>
      </c>
      <c r="AA192" t="n">
        <v>215</v>
      </c>
      <c r="AB192" t="n">
        <v>4</v>
      </c>
      <c r="AC192" t="n">
        <v>4</v>
      </c>
      <c r="AD192" t="n">
        <v>14</v>
      </c>
      <c r="AE192" t="n">
        <v>14</v>
      </c>
      <c r="AF192" t="n">
        <v>5</v>
      </c>
      <c r="AG192" t="n">
        <v>5</v>
      </c>
      <c r="AH192" t="n">
        <v>2</v>
      </c>
      <c r="AI192" t="n">
        <v>2</v>
      </c>
      <c r="AJ192" t="n">
        <v>8</v>
      </c>
      <c r="AK192" t="n">
        <v>8</v>
      </c>
      <c r="AL192" t="n">
        <v>3</v>
      </c>
      <c r="AM192" t="n">
        <v>3</v>
      </c>
      <c r="AN192" t="n">
        <v>0</v>
      </c>
      <c r="AO192" t="n">
        <v>0</v>
      </c>
      <c r="AP192" t="inlineStr">
        <is>
          <t>No</t>
        </is>
      </c>
      <c r="AQ192" t="inlineStr">
        <is>
          <t>No</t>
        </is>
      </c>
      <c r="AS192">
        <f>HYPERLINK("https://creighton-primo.hosted.exlibrisgroup.com/primo-explore/search?tab=default_tab&amp;search_scope=EVERYTHING&amp;vid=01CRU&amp;lang=en_US&amp;offset=0&amp;query=any,contains,991003588979702656","Catalog Record")</f>
        <v/>
      </c>
      <c r="AT192">
        <f>HYPERLINK("http://www.worldcat.org/oclc/44794900","WorldCat Record")</f>
        <v/>
      </c>
      <c r="AU192" t="inlineStr">
        <is>
          <t>837066647:eng</t>
        </is>
      </c>
      <c r="AV192" t="inlineStr">
        <is>
          <t>44794900</t>
        </is>
      </c>
      <c r="AW192" t="inlineStr">
        <is>
          <t>991003588979702656</t>
        </is>
      </c>
      <c r="AX192" t="inlineStr">
        <is>
          <t>991003588979702656</t>
        </is>
      </c>
      <c r="AY192" t="inlineStr">
        <is>
          <t>2264719770002656</t>
        </is>
      </c>
      <c r="AZ192" t="inlineStr">
        <is>
          <t>BOOK</t>
        </is>
      </c>
      <c r="BB192" t="inlineStr">
        <is>
          <t>9781555879778</t>
        </is>
      </c>
      <c r="BC192" t="inlineStr">
        <is>
          <t>32285004381025</t>
        </is>
      </c>
      <c r="BD192" t="inlineStr">
        <is>
          <t>893617498</t>
        </is>
      </c>
    </row>
    <row r="193">
      <c r="A193" t="inlineStr">
        <is>
          <t>No</t>
        </is>
      </c>
      <c r="B193" t="inlineStr">
        <is>
          <t>HN373.5 .S62 1992</t>
        </is>
      </c>
      <c r="C193" t="inlineStr">
        <is>
          <t>0                      HN 0373500S  62          1992</t>
        </is>
      </c>
      <c r="D193" t="inlineStr">
        <is>
          <t>Social Europe / edited by Joe Bailey.</t>
        </is>
      </c>
      <c r="F193" t="inlineStr">
        <is>
          <t>No</t>
        </is>
      </c>
      <c r="G193" t="inlineStr">
        <is>
          <t>1</t>
        </is>
      </c>
      <c r="H193" t="inlineStr">
        <is>
          <t>No</t>
        </is>
      </c>
      <c r="I193" t="inlineStr">
        <is>
          <t>No</t>
        </is>
      </c>
      <c r="J193" t="inlineStr">
        <is>
          <t>0</t>
        </is>
      </c>
      <c r="L193" t="inlineStr">
        <is>
          <t>London ; New York : Longman, 1992.</t>
        </is>
      </c>
      <c r="M193" t="inlineStr">
        <is>
          <t>1992</t>
        </is>
      </c>
      <c r="O193" t="inlineStr">
        <is>
          <t>eng</t>
        </is>
      </c>
      <c r="P193" t="inlineStr">
        <is>
          <t>enk</t>
        </is>
      </c>
      <c r="Q193" t="inlineStr">
        <is>
          <t>Longman sociology series</t>
        </is>
      </c>
      <c r="R193" t="inlineStr">
        <is>
          <t xml:space="preserve">HN </t>
        </is>
      </c>
      <c r="S193" t="n">
        <v>6</v>
      </c>
      <c r="T193" t="n">
        <v>6</v>
      </c>
      <c r="U193" t="inlineStr">
        <is>
          <t>2006-11-16</t>
        </is>
      </c>
      <c r="V193" t="inlineStr">
        <is>
          <t>2006-11-16</t>
        </is>
      </c>
      <c r="W193" t="inlineStr">
        <is>
          <t>1993-10-08</t>
        </is>
      </c>
      <c r="X193" t="inlineStr">
        <is>
          <t>1993-10-08</t>
        </is>
      </c>
      <c r="Y193" t="n">
        <v>186</v>
      </c>
      <c r="Z193" t="n">
        <v>72</v>
      </c>
      <c r="AA193" t="n">
        <v>127</v>
      </c>
      <c r="AB193" t="n">
        <v>1</v>
      </c>
      <c r="AC193" t="n">
        <v>2</v>
      </c>
      <c r="AD193" t="n">
        <v>3</v>
      </c>
      <c r="AE193" t="n">
        <v>6</v>
      </c>
      <c r="AF193" t="n">
        <v>0</v>
      </c>
      <c r="AG193" t="n">
        <v>1</v>
      </c>
      <c r="AH193" t="n">
        <v>2</v>
      </c>
      <c r="AI193" t="n">
        <v>3</v>
      </c>
      <c r="AJ193" t="n">
        <v>1</v>
      </c>
      <c r="AK193" t="n">
        <v>3</v>
      </c>
      <c r="AL193" t="n">
        <v>0</v>
      </c>
      <c r="AM193" t="n">
        <v>1</v>
      </c>
      <c r="AN193" t="n">
        <v>0</v>
      </c>
      <c r="AO193" t="n">
        <v>0</v>
      </c>
      <c r="AP193" t="inlineStr">
        <is>
          <t>No</t>
        </is>
      </c>
      <c r="AQ193" t="inlineStr">
        <is>
          <t>Yes</t>
        </is>
      </c>
      <c r="AR193">
        <f>HYPERLINK("http://catalog.hathitrust.org/Record/002605875","HathiTrust Record")</f>
        <v/>
      </c>
      <c r="AS193">
        <f>HYPERLINK("https://creighton-primo.hosted.exlibrisgroup.com/primo-explore/search?tab=default_tab&amp;search_scope=EVERYTHING&amp;vid=01CRU&amp;lang=en_US&amp;offset=0&amp;query=any,contains,991001970269702656","Catalog Record")</f>
        <v/>
      </c>
      <c r="AT193">
        <f>HYPERLINK("http://www.worldcat.org/oclc/25008139","WorldCat Record")</f>
        <v/>
      </c>
      <c r="AU193" t="inlineStr">
        <is>
          <t>55539699:eng</t>
        </is>
      </c>
      <c r="AV193" t="inlineStr">
        <is>
          <t>25008139</t>
        </is>
      </c>
      <c r="AW193" t="inlineStr">
        <is>
          <t>991001970269702656</t>
        </is>
      </c>
      <c r="AX193" t="inlineStr">
        <is>
          <t>991001970269702656</t>
        </is>
      </c>
      <c r="AY193" t="inlineStr">
        <is>
          <t>2268932040002656</t>
        </is>
      </c>
      <c r="AZ193" t="inlineStr">
        <is>
          <t>BOOK</t>
        </is>
      </c>
      <c r="BB193" t="inlineStr">
        <is>
          <t>9780582068094</t>
        </is>
      </c>
      <c r="BC193" t="inlineStr">
        <is>
          <t>32285001785244</t>
        </is>
      </c>
      <c r="BD193" t="inlineStr">
        <is>
          <t>893226287</t>
        </is>
      </c>
    </row>
    <row r="194">
      <c r="A194" t="inlineStr">
        <is>
          <t>No</t>
        </is>
      </c>
      <c r="B194" t="inlineStr">
        <is>
          <t>HN373.5 .S88 1988</t>
        </is>
      </c>
      <c r="C194" t="inlineStr">
        <is>
          <t>0                      HN 0373500S  88          1988</t>
        </is>
      </c>
      <c r="D194" t="inlineStr">
        <is>
          <t>In care of the state : health care, education and welfare in Europe and the USA in the modern era / Abram de Swaan.</t>
        </is>
      </c>
      <c r="F194" t="inlineStr">
        <is>
          <t>No</t>
        </is>
      </c>
      <c r="G194" t="inlineStr">
        <is>
          <t>1</t>
        </is>
      </c>
      <c r="H194" t="inlineStr">
        <is>
          <t>No</t>
        </is>
      </c>
      <c r="I194" t="inlineStr">
        <is>
          <t>No</t>
        </is>
      </c>
      <c r="J194" t="inlineStr">
        <is>
          <t>0</t>
        </is>
      </c>
      <c r="K194" t="inlineStr">
        <is>
          <t>Swaan, Abram de, 1942-</t>
        </is>
      </c>
      <c r="L194" t="inlineStr">
        <is>
          <t>New York : Oxford University Press, 1988.</t>
        </is>
      </c>
      <c r="M194" t="inlineStr">
        <is>
          <t>1988</t>
        </is>
      </c>
      <c r="O194" t="inlineStr">
        <is>
          <t>eng</t>
        </is>
      </c>
      <c r="P194" t="inlineStr">
        <is>
          <t>nyu</t>
        </is>
      </c>
      <c r="R194" t="inlineStr">
        <is>
          <t xml:space="preserve">HN </t>
        </is>
      </c>
      <c r="S194" t="n">
        <v>2</v>
      </c>
      <c r="T194" t="n">
        <v>2</v>
      </c>
      <c r="U194" t="inlineStr">
        <is>
          <t>2003-03-21</t>
        </is>
      </c>
      <c r="V194" t="inlineStr">
        <is>
          <t>2003-03-21</t>
        </is>
      </c>
      <c r="W194" t="inlineStr">
        <is>
          <t>1992-10-09</t>
        </is>
      </c>
      <c r="X194" t="inlineStr">
        <is>
          <t>1992-10-09</t>
        </is>
      </c>
      <c r="Y194" t="n">
        <v>303</v>
      </c>
      <c r="Z194" t="n">
        <v>268</v>
      </c>
      <c r="AA194" t="n">
        <v>297</v>
      </c>
      <c r="AB194" t="n">
        <v>2</v>
      </c>
      <c r="AC194" t="n">
        <v>2</v>
      </c>
      <c r="AD194" t="n">
        <v>13</v>
      </c>
      <c r="AE194" t="n">
        <v>14</v>
      </c>
      <c r="AF194" t="n">
        <v>4</v>
      </c>
      <c r="AG194" t="n">
        <v>4</v>
      </c>
      <c r="AH194" t="n">
        <v>3</v>
      </c>
      <c r="AI194" t="n">
        <v>4</v>
      </c>
      <c r="AJ194" t="n">
        <v>7</v>
      </c>
      <c r="AK194" t="n">
        <v>8</v>
      </c>
      <c r="AL194" t="n">
        <v>1</v>
      </c>
      <c r="AM194" t="n">
        <v>1</v>
      </c>
      <c r="AN194" t="n">
        <v>0</v>
      </c>
      <c r="AO194" t="n">
        <v>0</v>
      </c>
      <c r="AP194" t="inlineStr">
        <is>
          <t>No</t>
        </is>
      </c>
      <c r="AQ194" t="inlineStr">
        <is>
          <t>Yes</t>
        </is>
      </c>
      <c r="AR194">
        <f>HYPERLINK("http://catalog.hathitrust.org/Record/009920270","HathiTrust Record")</f>
        <v/>
      </c>
      <c r="AS194">
        <f>HYPERLINK("https://creighton-primo.hosted.exlibrisgroup.com/primo-explore/search?tab=default_tab&amp;search_scope=EVERYTHING&amp;vid=01CRU&amp;lang=en_US&amp;offset=0&amp;query=any,contains,991001308439702656","Catalog Record")</f>
        <v/>
      </c>
      <c r="AT194">
        <f>HYPERLINK("http://www.worldcat.org/oclc/18134634","WorldCat Record")</f>
        <v/>
      </c>
      <c r="AU194" t="inlineStr">
        <is>
          <t>693632387:eng</t>
        </is>
      </c>
      <c r="AV194" t="inlineStr">
        <is>
          <t>18134634</t>
        </is>
      </c>
      <c r="AW194" t="inlineStr">
        <is>
          <t>991001308439702656</t>
        </is>
      </c>
      <c r="AX194" t="inlineStr">
        <is>
          <t>991001308439702656</t>
        </is>
      </c>
      <c r="AY194" t="inlineStr">
        <is>
          <t>2259792250002656</t>
        </is>
      </c>
      <c r="AZ194" t="inlineStr">
        <is>
          <t>BOOK</t>
        </is>
      </c>
      <c r="BB194" t="inlineStr">
        <is>
          <t>9780195207033</t>
        </is>
      </c>
      <c r="BC194" t="inlineStr">
        <is>
          <t>32285001356640</t>
        </is>
      </c>
      <c r="BD194" t="inlineStr">
        <is>
          <t>893872456</t>
        </is>
      </c>
    </row>
    <row r="195">
      <c r="A195" t="inlineStr">
        <is>
          <t>No</t>
        </is>
      </c>
      <c r="B195" t="inlineStr">
        <is>
          <t>HN373.5 .U55 2010</t>
        </is>
      </c>
      <c r="C195" t="inlineStr">
        <is>
          <t>0                      HN 0373500U  55          2010</t>
        </is>
      </c>
      <c r="D195" t="inlineStr">
        <is>
          <t>United in diversity? : comparing social models in Europe and America / edited by Jens Alber and Neil Gilbert.</t>
        </is>
      </c>
      <c r="F195" t="inlineStr">
        <is>
          <t>No</t>
        </is>
      </c>
      <c r="G195" t="inlineStr">
        <is>
          <t>1</t>
        </is>
      </c>
      <c r="H195" t="inlineStr">
        <is>
          <t>No</t>
        </is>
      </c>
      <c r="I195" t="inlineStr">
        <is>
          <t>No</t>
        </is>
      </c>
      <c r="J195" t="inlineStr">
        <is>
          <t>0</t>
        </is>
      </c>
      <c r="L195" t="inlineStr">
        <is>
          <t>Oxford ; New York : Oxford University Press, 2010.</t>
        </is>
      </c>
      <c r="M195" t="inlineStr">
        <is>
          <t>2010</t>
        </is>
      </c>
      <c r="O195" t="inlineStr">
        <is>
          <t>eng</t>
        </is>
      </c>
      <c r="P195" t="inlineStr">
        <is>
          <t>enk</t>
        </is>
      </c>
      <c r="Q195" t="inlineStr">
        <is>
          <t>International policy exchange series</t>
        </is>
      </c>
      <c r="R195" t="inlineStr">
        <is>
          <t xml:space="preserve">HN </t>
        </is>
      </c>
      <c r="S195" t="n">
        <v>1</v>
      </c>
      <c r="T195" t="n">
        <v>1</v>
      </c>
      <c r="U195" t="inlineStr">
        <is>
          <t>2010-03-11</t>
        </is>
      </c>
      <c r="V195" t="inlineStr">
        <is>
          <t>2010-03-11</t>
        </is>
      </c>
      <c r="W195" t="inlineStr">
        <is>
          <t>2010-03-11</t>
        </is>
      </c>
      <c r="X195" t="inlineStr">
        <is>
          <t>2010-03-11</t>
        </is>
      </c>
      <c r="Y195" t="n">
        <v>176</v>
      </c>
      <c r="Z195" t="n">
        <v>125</v>
      </c>
      <c r="AA195" t="n">
        <v>191</v>
      </c>
      <c r="AB195" t="n">
        <v>2</v>
      </c>
      <c r="AC195" t="n">
        <v>2</v>
      </c>
      <c r="AD195" t="n">
        <v>5</v>
      </c>
      <c r="AE195" t="n">
        <v>9</v>
      </c>
      <c r="AF195" t="n">
        <v>0</v>
      </c>
      <c r="AG195" t="n">
        <v>0</v>
      </c>
      <c r="AH195" t="n">
        <v>2</v>
      </c>
      <c r="AI195" t="n">
        <v>6</v>
      </c>
      <c r="AJ195" t="n">
        <v>3</v>
      </c>
      <c r="AK195" t="n">
        <v>4</v>
      </c>
      <c r="AL195" t="n">
        <v>1</v>
      </c>
      <c r="AM195" t="n">
        <v>1</v>
      </c>
      <c r="AN195" t="n">
        <v>0</v>
      </c>
      <c r="AO195" t="n">
        <v>0</v>
      </c>
      <c r="AP195" t="inlineStr">
        <is>
          <t>No</t>
        </is>
      </c>
      <c r="AQ195" t="inlineStr">
        <is>
          <t>No</t>
        </is>
      </c>
      <c r="AS195">
        <f>HYPERLINK("https://creighton-primo.hosted.exlibrisgroup.com/primo-explore/search?tab=default_tab&amp;search_scope=EVERYTHING&amp;vid=01CRU&amp;lang=en_US&amp;offset=0&amp;query=any,contains,991005364709702656","Catalog Record")</f>
        <v/>
      </c>
      <c r="AT195">
        <f>HYPERLINK("http://www.worldcat.org/oclc/313017959","WorldCat Record")</f>
        <v/>
      </c>
      <c r="AU195" t="inlineStr">
        <is>
          <t>918617939:eng</t>
        </is>
      </c>
      <c r="AV195" t="inlineStr">
        <is>
          <t>313017959</t>
        </is>
      </c>
      <c r="AW195" t="inlineStr">
        <is>
          <t>991005364709702656</t>
        </is>
      </c>
      <c r="AX195" t="inlineStr">
        <is>
          <t>991005364709702656</t>
        </is>
      </c>
      <c r="AY195" t="inlineStr">
        <is>
          <t>2266953740002656</t>
        </is>
      </c>
      <c r="AZ195" t="inlineStr">
        <is>
          <t>BOOK</t>
        </is>
      </c>
      <c r="BB195" t="inlineStr">
        <is>
          <t>9780195376630</t>
        </is>
      </c>
      <c r="BC195" t="inlineStr">
        <is>
          <t>32285005577860</t>
        </is>
      </c>
      <c r="BD195" t="inlineStr">
        <is>
          <t>893720286</t>
        </is>
      </c>
    </row>
    <row r="196">
      <c r="A196" t="inlineStr">
        <is>
          <t>No</t>
        </is>
      </c>
      <c r="B196" t="inlineStr">
        <is>
          <t>HN380.7.A8 D73 1997</t>
        </is>
      </c>
      <c r="C196" t="inlineStr">
        <is>
          <t>0                      HN 0380700A  8                  D  73          1997</t>
        </is>
      </c>
      <c r="D196" t="inlineStr">
        <is>
          <t>Café Europa : life after communism / Slavenka Drakulić.</t>
        </is>
      </c>
      <c r="F196" t="inlineStr">
        <is>
          <t>No</t>
        </is>
      </c>
      <c r="G196" t="inlineStr">
        <is>
          <t>1</t>
        </is>
      </c>
      <c r="H196" t="inlineStr">
        <is>
          <t>No</t>
        </is>
      </c>
      <c r="I196" t="inlineStr">
        <is>
          <t>No</t>
        </is>
      </c>
      <c r="J196" t="inlineStr">
        <is>
          <t>0</t>
        </is>
      </c>
      <c r="K196" t="inlineStr">
        <is>
          <t>Drakulić, Slavenka, 1949-</t>
        </is>
      </c>
      <c r="L196" t="inlineStr">
        <is>
          <t>New York : W.W. Norton, 1997.</t>
        </is>
      </c>
      <c r="M196" t="inlineStr">
        <is>
          <t>1997</t>
        </is>
      </c>
      <c r="N196" t="inlineStr">
        <is>
          <t>1st American ed.</t>
        </is>
      </c>
      <c r="O196" t="inlineStr">
        <is>
          <t>eng</t>
        </is>
      </c>
      <c r="P196" t="inlineStr">
        <is>
          <t>nyu</t>
        </is>
      </c>
      <c r="R196" t="inlineStr">
        <is>
          <t xml:space="preserve">HN </t>
        </is>
      </c>
      <c r="S196" t="n">
        <v>3</v>
      </c>
      <c r="T196" t="n">
        <v>3</v>
      </c>
      <c r="U196" t="inlineStr">
        <is>
          <t>2005-03-28</t>
        </is>
      </c>
      <c r="V196" t="inlineStr">
        <is>
          <t>2005-03-28</t>
        </is>
      </c>
      <c r="W196" t="inlineStr">
        <is>
          <t>1997-04-21</t>
        </is>
      </c>
      <c r="X196" t="inlineStr">
        <is>
          <t>1997-04-21</t>
        </is>
      </c>
      <c r="Y196" t="n">
        <v>528</v>
      </c>
      <c r="Z196" t="n">
        <v>493</v>
      </c>
      <c r="AA196" t="n">
        <v>678</v>
      </c>
      <c r="AB196" t="n">
        <v>3</v>
      </c>
      <c r="AC196" t="n">
        <v>7</v>
      </c>
      <c r="AD196" t="n">
        <v>13</v>
      </c>
      <c r="AE196" t="n">
        <v>24</v>
      </c>
      <c r="AF196" t="n">
        <v>5</v>
      </c>
      <c r="AG196" t="n">
        <v>8</v>
      </c>
      <c r="AH196" t="n">
        <v>4</v>
      </c>
      <c r="AI196" t="n">
        <v>7</v>
      </c>
      <c r="AJ196" t="n">
        <v>6</v>
      </c>
      <c r="AK196" t="n">
        <v>10</v>
      </c>
      <c r="AL196" t="n">
        <v>1</v>
      </c>
      <c r="AM196" t="n">
        <v>5</v>
      </c>
      <c r="AN196" t="n">
        <v>0</v>
      </c>
      <c r="AO196" t="n">
        <v>0</v>
      </c>
      <c r="AP196" t="inlineStr">
        <is>
          <t>No</t>
        </is>
      </c>
      <c r="AQ196" t="inlineStr">
        <is>
          <t>No</t>
        </is>
      </c>
      <c r="AS196">
        <f>HYPERLINK("https://creighton-primo.hosted.exlibrisgroup.com/primo-explore/search?tab=default_tab&amp;search_scope=EVERYTHING&amp;vid=01CRU&amp;lang=en_US&amp;offset=0&amp;query=any,contains,991002717359702656","Catalog Record")</f>
        <v/>
      </c>
      <c r="AT196">
        <f>HYPERLINK("http://www.worldcat.org/oclc/35638047","WorldCat Record")</f>
        <v/>
      </c>
      <c r="AU196" t="inlineStr">
        <is>
          <t>890780:eng</t>
        </is>
      </c>
      <c r="AV196" t="inlineStr">
        <is>
          <t>35638047</t>
        </is>
      </c>
      <c r="AW196" t="inlineStr">
        <is>
          <t>991002717359702656</t>
        </is>
      </c>
      <c r="AX196" t="inlineStr">
        <is>
          <t>991002717359702656</t>
        </is>
      </c>
      <c r="AY196" t="inlineStr">
        <is>
          <t>2270217950002656</t>
        </is>
      </c>
      <c r="AZ196" t="inlineStr">
        <is>
          <t>BOOK</t>
        </is>
      </c>
      <c r="BB196" t="inlineStr">
        <is>
          <t>9780393040128</t>
        </is>
      </c>
      <c r="BC196" t="inlineStr">
        <is>
          <t>32285002499019</t>
        </is>
      </c>
      <c r="BD196" t="inlineStr">
        <is>
          <t>893511098</t>
        </is>
      </c>
    </row>
    <row r="197">
      <c r="A197" t="inlineStr">
        <is>
          <t>No</t>
        </is>
      </c>
      <c r="B197" t="inlineStr">
        <is>
          <t>HN380.7.A8 H36 1998</t>
        </is>
      </c>
      <c r="C197" t="inlineStr">
        <is>
          <t>0                      HN 0380700A  8                  H  36          1998</t>
        </is>
      </c>
      <c r="D197" t="inlineStr">
        <is>
          <t>The handbook of political change in Eastern Europe / edited by Sten Berglund, Tomas Hellén, Frank H. Aarebrot.</t>
        </is>
      </c>
      <c r="F197" t="inlineStr">
        <is>
          <t>No</t>
        </is>
      </c>
      <c r="G197" t="inlineStr">
        <is>
          <t>1</t>
        </is>
      </c>
      <c r="H197" t="inlineStr">
        <is>
          <t>No</t>
        </is>
      </c>
      <c r="I197" t="inlineStr">
        <is>
          <t>No</t>
        </is>
      </c>
      <c r="J197" t="inlineStr">
        <is>
          <t>0</t>
        </is>
      </c>
      <c r="L197" t="inlineStr">
        <is>
          <t>Cheltenham ; Northampton, MA : E. Elgar, c1998.</t>
        </is>
      </c>
      <c r="M197" t="inlineStr">
        <is>
          <t>1998</t>
        </is>
      </c>
      <c r="O197" t="inlineStr">
        <is>
          <t>eng</t>
        </is>
      </c>
      <c r="P197" t="inlineStr">
        <is>
          <t>enk</t>
        </is>
      </c>
      <c r="R197" t="inlineStr">
        <is>
          <t xml:space="preserve">HN </t>
        </is>
      </c>
      <c r="S197" t="n">
        <v>4</v>
      </c>
      <c r="T197" t="n">
        <v>4</v>
      </c>
      <c r="U197" t="inlineStr">
        <is>
          <t>1999-11-29</t>
        </is>
      </c>
      <c r="V197" t="inlineStr">
        <is>
          <t>1999-11-29</t>
        </is>
      </c>
      <c r="W197" t="inlineStr">
        <is>
          <t>1999-09-23</t>
        </is>
      </c>
      <c r="X197" t="inlineStr">
        <is>
          <t>1999-09-23</t>
        </is>
      </c>
      <c r="Y197" t="n">
        <v>225</v>
      </c>
      <c r="Z197" t="n">
        <v>141</v>
      </c>
      <c r="AA197" t="n">
        <v>159</v>
      </c>
      <c r="AB197" t="n">
        <v>2</v>
      </c>
      <c r="AC197" t="n">
        <v>2</v>
      </c>
      <c r="AD197" t="n">
        <v>10</v>
      </c>
      <c r="AE197" t="n">
        <v>11</v>
      </c>
      <c r="AF197" t="n">
        <v>3</v>
      </c>
      <c r="AG197" t="n">
        <v>3</v>
      </c>
      <c r="AH197" t="n">
        <v>3</v>
      </c>
      <c r="AI197" t="n">
        <v>4</v>
      </c>
      <c r="AJ197" t="n">
        <v>6</v>
      </c>
      <c r="AK197" t="n">
        <v>7</v>
      </c>
      <c r="AL197" t="n">
        <v>1</v>
      </c>
      <c r="AM197" t="n">
        <v>1</v>
      </c>
      <c r="AN197" t="n">
        <v>0</v>
      </c>
      <c r="AO197" t="n">
        <v>0</v>
      </c>
      <c r="AP197" t="inlineStr">
        <is>
          <t>No</t>
        </is>
      </c>
      <c r="AQ197" t="inlineStr">
        <is>
          <t>No</t>
        </is>
      </c>
      <c r="AS197">
        <f>HYPERLINK("https://creighton-primo.hosted.exlibrisgroup.com/primo-explore/search?tab=default_tab&amp;search_scope=EVERYTHING&amp;vid=01CRU&amp;lang=en_US&amp;offset=0&amp;query=any,contains,991002952309702656","Catalog Record")</f>
        <v/>
      </c>
      <c r="AT197">
        <f>HYPERLINK("http://www.worldcat.org/oclc/39348040","WorldCat Record")</f>
        <v/>
      </c>
      <c r="AU197" t="inlineStr">
        <is>
          <t>501441291:eng</t>
        </is>
      </c>
      <c r="AV197" t="inlineStr">
        <is>
          <t>39348040</t>
        </is>
      </c>
      <c r="AW197" t="inlineStr">
        <is>
          <t>991002952309702656</t>
        </is>
      </c>
      <c r="AX197" t="inlineStr">
        <is>
          <t>991002952309702656</t>
        </is>
      </c>
      <c r="AY197" t="inlineStr">
        <is>
          <t>2269271460002656</t>
        </is>
      </c>
      <c r="AZ197" t="inlineStr">
        <is>
          <t>BOOK</t>
        </is>
      </c>
      <c r="BB197" t="inlineStr">
        <is>
          <t>9781858988405</t>
        </is>
      </c>
      <c r="BC197" t="inlineStr">
        <is>
          <t>32285003590725</t>
        </is>
      </c>
      <c r="BD197" t="inlineStr">
        <is>
          <t>893233648</t>
        </is>
      </c>
    </row>
    <row r="198">
      <c r="A198" t="inlineStr">
        <is>
          <t>No</t>
        </is>
      </c>
      <c r="B198" t="inlineStr">
        <is>
          <t>HN380.7.A8 L448 1999</t>
        </is>
      </c>
      <c r="C198" t="inlineStr">
        <is>
          <t>0                      HN 0380700A  8                  L  448         1999</t>
        </is>
      </c>
      <c r="D198" t="inlineStr">
        <is>
          <t>Left parties and social policy in postcommunist Europe / edited by Linda J. Cook, Mitchell A. Orenstein, and Marilyn Rueschemeyer.</t>
        </is>
      </c>
      <c r="F198" t="inlineStr">
        <is>
          <t>No</t>
        </is>
      </c>
      <c r="G198" t="inlineStr">
        <is>
          <t>1</t>
        </is>
      </c>
      <c r="H198" t="inlineStr">
        <is>
          <t>No</t>
        </is>
      </c>
      <c r="I198" t="inlineStr">
        <is>
          <t>No</t>
        </is>
      </c>
      <c r="J198" t="inlineStr">
        <is>
          <t>0</t>
        </is>
      </c>
      <c r="L198" t="inlineStr">
        <is>
          <t>Boulder, Colo. : Westview Press, 1999.</t>
        </is>
      </c>
      <c r="M198" t="inlineStr">
        <is>
          <t>1999</t>
        </is>
      </c>
      <c r="O198" t="inlineStr">
        <is>
          <t>eng</t>
        </is>
      </c>
      <c r="P198" t="inlineStr">
        <is>
          <t>cou</t>
        </is>
      </c>
      <c r="R198" t="inlineStr">
        <is>
          <t xml:space="preserve">HN </t>
        </is>
      </c>
      <c r="S198" t="n">
        <v>5</v>
      </c>
      <c r="T198" t="n">
        <v>5</v>
      </c>
      <c r="U198" t="inlineStr">
        <is>
          <t>2002-04-07</t>
        </is>
      </c>
      <c r="V198" t="inlineStr">
        <is>
          <t>2002-04-07</t>
        </is>
      </c>
      <c r="W198" t="inlineStr">
        <is>
          <t>2000-10-24</t>
        </is>
      </c>
      <c r="X198" t="inlineStr">
        <is>
          <t>2000-10-24</t>
        </is>
      </c>
      <c r="Y198" t="n">
        <v>255</v>
      </c>
      <c r="Z198" t="n">
        <v>181</v>
      </c>
      <c r="AA198" t="n">
        <v>194</v>
      </c>
      <c r="AB198" t="n">
        <v>2</v>
      </c>
      <c r="AC198" t="n">
        <v>2</v>
      </c>
      <c r="AD198" t="n">
        <v>11</v>
      </c>
      <c r="AE198" t="n">
        <v>11</v>
      </c>
      <c r="AF198" t="n">
        <v>3</v>
      </c>
      <c r="AG198" t="n">
        <v>3</v>
      </c>
      <c r="AH198" t="n">
        <v>4</v>
      </c>
      <c r="AI198" t="n">
        <v>4</v>
      </c>
      <c r="AJ198" t="n">
        <v>7</v>
      </c>
      <c r="AK198" t="n">
        <v>7</v>
      </c>
      <c r="AL198" t="n">
        <v>1</v>
      </c>
      <c r="AM198" t="n">
        <v>1</v>
      </c>
      <c r="AN198" t="n">
        <v>0</v>
      </c>
      <c r="AO198" t="n">
        <v>0</v>
      </c>
      <c r="AP198" t="inlineStr">
        <is>
          <t>No</t>
        </is>
      </c>
      <c r="AQ198" t="inlineStr">
        <is>
          <t>Yes</t>
        </is>
      </c>
      <c r="AR198">
        <f>HYPERLINK("http://catalog.hathitrust.org/Record/004049609","HathiTrust Record")</f>
        <v/>
      </c>
      <c r="AS198">
        <f>HYPERLINK("https://creighton-primo.hosted.exlibrisgroup.com/primo-explore/search?tab=default_tab&amp;search_scope=EVERYTHING&amp;vid=01CRU&amp;lang=en_US&amp;offset=0&amp;query=any,contains,991003248389702656","Catalog Record")</f>
        <v/>
      </c>
      <c r="AT198">
        <f>HYPERLINK("http://www.worldcat.org/oclc/42464265","WorldCat Record")</f>
        <v/>
      </c>
      <c r="AU198" t="inlineStr">
        <is>
          <t>344788347:eng</t>
        </is>
      </c>
      <c r="AV198" t="inlineStr">
        <is>
          <t>42464265</t>
        </is>
      </c>
      <c r="AW198" t="inlineStr">
        <is>
          <t>991003248389702656</t>
        </is>
      </c>
      <c r="AX198" t="inlineStr">
        <is>
          <t>991003248389702656</t>
        </is>
      </c>
      <c r="AY198" t="inlineStr">
        <is>
          <t>2260469470002656</t>
        </is>
      </c>
      <c r="AZ198" t="inlineStr">
        <is>
          <t>BOOK</t>
        </is>
      </c>
      <c r="BB198" t="inlineStr">
        <is>
          <t>9780813335681</t>
        </is>
      </c>
      <c r="BC198" t="inlineStr">
        <is>
          <t>32285003769741</t>
        </is>
      </c>
      <c r="BD198" t="inlineStr">
        <is>
          <t>893774555</t>
        </is>
      </c>
    </row>
    <row r="199">
      <c r="A199" t="inlineStr">
        <is>
          <t>No</t>
        </is>
      </c>
      <c r="B199" t="inlineStr">
        <is>
          <t>HN380.7.A8 L46 2002</t>
        </is>
      </c>
      <c r="C199" t="inlineStr">
        <is>
          <t>0                      HN 0380700A  8                  L  46          2002</t>
        </is>
      </c>
      <c r="D199" t="inlineStr">
        <is>
          <t>The legacy of state socialism and the future of transformation / edited by David Lane.</t>
        </is>
      </c>
      <c r="F199" t="inlineStr">
        <is>
          <t>No</t>
        </is>
      </c>
      <c r="G199" t="inlineStr">
        <is>
          <t>1</t>
        </is>
      </c>
      <c r="H199" t="inlineStr">
        <is>
          <t>No</t>
        </is>
      </c>
      <c r="I199" t="inlineStr">
        <is>
          <t>No</t>
        </is>
      </c>
      <c r="J199" t="inlineStr">
        <is>
          <t>0</t>
        </is>
      </c>
      <c r="L199" t="inlineStr">
        <is>
          <t>Lanham, Md. : Rowman &amp; Littlefield, c2002.</t>
        </is>
      </c>
      <c r="M199" t="inlineStr">
        <is>
          <t>2002</t>
        </is>
      </c>
      <c r="O199" t="inlineStr">
        <is>
          <t>eng</t>
        </is>
      </c>
      <c r="P199" t="inlineStr">
        <is>
          <t>mdu</t>
        </is>
      </c>
      <c r="R199" t="inlineStr">
        <is>
          <t xml:space="preserve">HN </t>
        </is>
      </c>
      <c r="S199" t="n">
        <v>2</v>
      </c>
      <c r="T199" t="n">
        <v>2</v>
      </c>
      <c r="U199" t="inlineStr">
        <is>
          <t>2004-01-22</t>
        </is>
      </c>
      <c r="V199" t="inlineStr">
        <is>
          <t>2004-01-22</t>
        </is>
      </c>
      <c r="W199" t="inlineStr">
        <is>
          <t>2004-01-22</t>
        </is>
      </c>
      <c r="X199" t="inlineStr">
        <is>
          <t>2004-01-22</t>
        </is>
      </c>
      <c r="Y199" t="n">
        <v>239</v>
      </c>
      <c r="Z199" t="n">
        <v>178</v>
      </c>
      <c r="AA199" t="n">
        <v>179</v>
      </c>
      <c r="AB199" t="n">
        <v>3</v>
      </c>
      <c r="AC199" t="n">
        <v>3</v>
      </c>
      <c r="AD199" t="n">
        <v>11</v>
      </c>
      <c r="AE199" t="n">
        <v>11</v>
      </c>
      <c r="AF199" t="n">
        <v>4</v>
      </c>
      <c r="AG199" t="n">
        <v>4</v>
      </c>
      <c r="AH199" t="n">
        <v>4</v>
      </c>
      <c r="AI199" t="n">
        <v>4</v>
      </c>
      <c r="AJ199" t="n">
        <v>4</v>
      </c>
      <c r="AK199" t="n">
        <v>4</v>
      </c>
      <c r="AL199" t="n">
        <v>2</v>
      </c>
      <c r="AM199" t="n">
        <v>2</v>
      </c>
      <c r="AN199" t="n">
        <v>0</v>
      </c>
      <c r="AO199" t="n">
        <v>0</v>
      </c>
      <c r="AP199" t="inlineStr">
        <is>
          <t>No</t>
        </is>
      </c>
      <c r="AQ199" t="inlineStr">
        <is>
          <t>No</t>
        </is>
      </c>
      <c r="AS199">
        <f>HYPERLINK("https://creighton-primo.hosted.exlibrisgroup.com/primo-explore/search?tab=default_tab&amp;search_scope=EVERYTHING&amp;vid=01CRU&amp;lang=en_US&amp;offset=0&amp;query=any,contains,991004189799702656","Catalog Record")</f>
        <v/>
      </c>
      <c r="AT199">
        <f>HYPERLINK("http://www.worldcat.org/oclc/47930664","WorldCat Record")</f>
        <v/>
      </c>
      <c r="AU199" t="inlineStr">
        <is>
          <t>56732913:eng</t>
        </is>
      </c>
      <c r="AV199" t="inlineStr">
        <is>
          <t>47930664</t>
        </is>
      </c>
      <c r="AW199" t="inlineStr">
        <is>
          <t>991004189799702656</t>
        </is>
      </c>
      <c r="AX199" t="inlineStr">
        <is>
          <t>991004189799702656</t>
        </is>
      </c>
      <c r="AY199" t="inlineStr">
        <is>
          <t>2255604110002656</t>
        </is>
      </c>
      <c r="AZ199" t="inlineStr">
        <is>
          <t>BOOK</t>
        </is>
      </c>
      <c r="BB199" t="inlineStr">
        <is>
          <t>9780742517929</t>
        </is>
      </c>
      <c r="BC199" t="inlineStr">
        <is>
          <t>32285004636378</t>
        </is>
      </c>
      <c r="BD199" t="inlineStr">
        <is>
          <t>893429766</t>
        </is>
      </c>
    </row>
    <row r="200">
      <c r="A200" t="inlineStr">
        <is>
          <t>No</t>
        </is>
      </c>
      <c r="B200" t="inlineStr">
        <is>
          <t>HN380.7.A8 O38 1997</t>
        </is>
      </c>
      <c r="C200" t="inlineStr">
        <is>
          <t>0                      HN 0380700A  8                  O  38          1997</t>
        </is>
      </c>
      <c r="D200" t="inlineStr">
        <is>
          <t>Varieties of transition : the East European and East German experience / Claus Offe.</t>
        </is>
      </c>
      <c r="F200" t="inlineStr">
        <is>
          <t>No</t>
        </is>
      </c>
      <c r="G200" t="inlineStr">
        <is>
          <t>1</t>
        </is>
      </c>
      <c r="H200" t="inlineStr">
        <is>
          <t>No</t>
        </is>
      </c>
      <c r="I200" t="inlineStr">
        <is>
          <t>No</t>
        </is>
      </c>
      <c r="J200" t="inlineStr">
        <is>
          <t>0</t>
        </is>
      </c>
      <c r="K200" t="inlineStr">
        <is>
          <t>Offe, Claus.</t>
        </is>
      </c>
      <c r="L200" t="inlineStr">
        <is>
          <t>Cambridge, Mass. : MIT Press, 1997.</t>
        </is>
      </c>
      <c r="M200" t="inlineStr">
        <is>
          <t>1997</t>
        </is>
      </c>
      <c r="N200" t="inlineStr">
        <is>
          <t>1st MIT Press ed.</t>
        </is>
      </c>
      <c r="O200" t="inlineStr">
        <is>
          <t>eng</t>
        </is>
      </c>
      <c r="P200" t="inlineStr">
        <is>
          <t>mau</t>
        </is>
      </c>
      <c r="Q200" t="inlineStr">
        <is>
          <t>Studies in contemporary German social thought</t>
        </is>
      </c>
      <c r="R200" t="inlineStr">
        <is>
          <t xml:space="preserve">HN </t>
        </is>
      </c>
      <c r="S200" t="n">
        <v>5</v>
      </c>
      <c r="T200" t="n">
        <v>5</v>
      </c>
      <c r="U200" t="inlineStr">
        <is>
          <t>1999-04-29</t>
        </is>
      </c>
      <c r="V200" t="inlineStr">
        <is>
          <t>1999-04-29</t>
        </is>
      </c>
      <c r="W200" t="inlineStr">
        <is>
          <t>1998-04-08</t>
        </is>
      </c>
      <c r="X200" t="inlineStr">
        <is>
          <t>1998-04-08</t>
        </is>
      </c>
      <c r="Y200" t="n">
        <v>290</v>
      </c>
      <c r="Z200" t="n">
        <v>245</v>
      </c>
      <c r="AA200" t="n">
        <v>674</v>
      </c>
      <c r="AB200" t="n">
        <v>2</v>
      </c>
      <c r="AC200" t="n">
        <v>2</v>
      </c>
      <c r="AD200" t="n">
        <v>12</v>
      </c>
      <c r="AE200" t="n">
        <v>14</v>
      </c>
      <c r="AF200" t="n">
        <v>2</v>
      </c>
      <c r="AG200" t="n">
        <v>4</v>
      </c>
      <c r="AH200" t="n">
        <v>4</v>
      </c>
      <c r="AI200" t="n">
        <v>4</v>
      </c>
      <c r="AJ200" t="n">
        <v>8</v>
      </c>
      <c r="AK200" t="n">
        <v>8</v>
      </c>
      <c r="AL200" t="n">
        <v>1</v>
      </c>
      <c r="AM200" t="n">
        <v>1</v>
      </c>
      <c r="AN200" t="n">
        <v>1</v>
      </c>
      <c r="AO200" t="n">
        <v>1</v>
      </c>
      <c r="AP200" t="inlineStr">
        <is>
          <t>No</t>
        </is>
      </c>
      <c r="AQ200" t="inlineStr">
        <is>
          <t>No</t>
        </is>
      </c>
      <c r="AS200">
        <f>HYPERLINK("https://creighton-primo.hosted.exlibrisgroup.com/primo-explore/search?tab=default_tab&amp;search_scope=EVERYTHING&amp;vid=01CRU&amp;lang=en_US&amp;offset=0&amp;query=any,contains,991002660719702656","Catalog Record")</f>
        <v/>
      </c>
      <c r="AT200">
        <f>HYPERLINK("http://www.worldcat.org/oclc/34775944","WorldCat Record")</f>
        <v/>
      </c>
      <c r="AU200" t="inlineStr">
        <is>
          <t>35796853:eng</t>
        </is>
      </c>
      <c r="AV200" t="inlineStr">
        <is>
          <t>34775944</t>
        </is>
      </c>
      <c r="AW200" t="inlineStr">
        <is>
          <t>991002660719702656</t>
        </is>
      </c>
      <c r="AX200" t="inlineStr">
        <is>
          <t>991002660719702656</t>
        </is>
      </c>
      <c r="AY200" t="inlineStr">
        <is>
          <t>2260674700002656</t>
        </is>
      </c>
      <c r="AZ200" t="inlineStr">
        <is>
          <t>BOOK</t>
        </is>
      </c>
      <c r="BB200" t="inlineStr">
        <is>
          <t>9780262150484</t>
        </is>
      </c>
      <c r="BC200" t="inlineStr">
        <is>
          <t>32285003383782</t>
        </is>
      </c>
      <c r="BD200" t="inlineStr">
        <is>
          <t>893434135</t>
        </is>
      </c>
    </row>
    <row r="201">
      <c r="A201" t="inlineStr">
        <is>
          <t>No</t>
        </is>
      </c>
      <c r="B201" t="inlineStr">
        <is>
          <t>HN380.7.A8 P675 2002</t>
        </is>
      </c>
      <c r="C201" t="inlineStr">
        <is>
          <t>0                      HN 0380700A  8                  P  675         2002</t>
        </is>
      </c>
      <c r="D201" t="inlineStr">
        <is>
          <t>Postcommunist transformation and the social sciences : cross-disciplinary approaches / edited by Frank Bönker, Klaus Müller, and Andreas Pickel.</t>
        </is>
      </c>
      <c r="F201" t="inlineStr">
        <is>
          <t>No</t>
        </is>
      </c>
      <c r="G201" t="inlineStr">
        <is>
          <t>1</t>
        </is>
      </c>
      <c r="H201" t="inlineStr">
        <is>
          <t>No</t>
        </is>
      </c>
      <c r="I201" t="inlineStr">
        <is>
          <t>No</t>
        </is>
      </c>
      <c r="J201" t="inlineStr">
        <is>
          <t>0</t>
        </is>
      </c>
      <c r="L201" t="inlineStr">
        <is>
          <t>Lanham, Md. : Rowman &amp; Littlefield, c2002.</t>
        </is>
      </c>
      <c r="M201" t="inlineStr">
        <is>
          <t>2002</t>
        </is>
      </c>
      <c r="O201" t="inlineStr">
        <is>
          <t>eng</t>
        </is>
      </c>
      <c r="P201" t="inlineStr">
        <is>
          <t>mdu</t>
        </is>
      </c>
      <c r="R201" t="inlineStr">
        <is>
          <t xml:space="preserve">HN </t>
        </is>
      </c>
      <c r="S201" t="n">
        <v>3</v>
      </c>
      <c r="T201" t="n">
        <v>3</v>
      </c>
      <c r="U201" t="inlineStr">
        <is>
          <t>2005-04-21</t>
        </is>
      </c>
      <c r="V201" t="inlineStr">
        <is>
          <t>2005-04-21</t>
        </is>
      </c>
      <c r="W201" t="inlineStr">
        <is>
          <t>2003-02-26</t>
        </is>
      </c>
      <c r="X201" t="inlineStr">
        <is>
          <t>2003-02-26</t>
        </is>
      </c>
      <c r="Y201" t="n">
        <v>163</v>
      </c>
      <c r="Z201" t="n">
        <v>115</v>
      </c>
      <c r="AA201" t="n">
        <v>116</v>
      </c>
      <c r="AB201" t="n">
        <v>2</v>
      </c>
      <c r="AC201" t="n">
        <v>2</v>
      </c>
      <c r="AD201" t="n">
        <v>4</v>
      </c>
      <c r="AE201" t="n">
        <v>4</v>
      </c>
      <c r="AF201" t="n">
        <v>0</v>
      </c>
      <c r="AG201" t="n">
        <v>0</v>
      </c>
      <c r="AH201" t="n">
        <v>1</v>
      </c>
      <c r="AI201" t="n">
        <v>1</v>
      </c>
      <c r="AJ201" t="n">
        <v>3</v>
      </c>
      <c r="AK201" t="n">
        <v>3</v>
      </c>
      <c r="AL201" t="n">
        <v>1</v>
      </c>
      <c r="AM201" t="n">
        <v>1</v>
      </c>
      <c r="AN201" t="n">
        <v>0</v>
      </c>
      <c r="AO201" t="n">
        <v>0</v>
      </c>
      <c r="AP201" t="inlineStr">
        <is>
          <t>No</t>
        </is>
      </c>
      <c r="AQ201" t="inlineStr">
        <is>
          <t>No</t>
        </is>
      </c>
      <c r="AS201">
        <f>HYPERLINK("https://creighton-primo.hosted.exlibrisgroup.com/primo-explore/search?tab=default_tab&amp;search_scope=EVERYTHING&amp;vid=01CRU&amp;lang=en_US&amp;offset=0&amp;query=any,contains,991004005729702656","Catalog Record")</f>
        <v/>
      </c>
      <c r="AT201">
        <f>HYPERLINK("http://www.worldcat.org/oclc/48469086","WorldCat Record")</f>
        <v/>
      </c>
      <c r="AU201" t="inlineStr">
        <is>
          <t>837136580:eng</t>
        </is>
      </c>
      <c r="AV201" t="inlineStr">
        <is>
          <t>48469086</t>
        </is>
      </c>
      <c r="AW201" t="inlineStr">
        <is>
          <t>991004005729702656</t>
        </is>
      </c>
      <c r="AX201" t="inlineStr">
        <is>
          <t>991004005729702656</t>
        </is>
      </c>
      <c r="AY201" t="inlineStr">
        <is>
          <t>2268353510002656</t>
        </is>
      </c>
      <c r="AZ201" t="inlineStr">
        <is>
          <t>BOOK</t>
        </is>
      </c>
      <c r="BB201" t="inlineStr">
        <is>
          <t>9780742518384</t>
        </is>
      </c>
      <c r="BC201" t="inlineStr">
        <is>
          <t>32285004681101</t>
        </is>
      </c>
      <c r="BD201" t="inlineStr">
        <is>
          <t>893800468</t>
        </is>
      </c>
    </row>
    <row r="202">
      <c r="A202" t="inlineStr">
        <is>
          <t>No</t>
        </is>
      </c>
      <c r="B202" t="inlineStr">
        <is>
          <t>HN380.7.A8 R45 2001</t>
        </is>
      </c>
      <c r="C202" t="inlineStr">
        <is>
          <t>0                      HN 0380700A  8                  R  45          2001</t>
        </is>
      </c>
      <c r="D202" t="inlineStr">
        <is>
          <t>Reforming the state : fiscal and welfare reform in post-socialist countries / edited by János Kornai, Stephan Haggard, Robert Kaufman.</t>
        </is>
      </c>
      <c r="F202" t="inlineStr">
        <is>
          <t>No</t>
        </is>
      </c>
      <c r="G202" t="inlineStr">
        <is>
          <t>1</t>
        </is>
      </c>
      <c r="H202" t="inlineStr">
        <is>
          <t>No</t>
        </is>
      </c>
      <c r="I202" t="inlineStr">
        <is>
          <t>No</t>
        </is>
      </c>
      <c r="J202" t="inlineStr">
        <is>
          <t>0</t>
        </is>
      </c>
      <c r="L202" t="inlineStr">
        <is>
          <t>Cambridge, UK ; New York : Cambridge University Press, 2001.</t>
        </is>
      </c>
      <c r="M202" t="inlineStr">
        <is>
          <t>2001</t>
        </is>
      </c>
      <c r="O202" t="inlineStr">
        <is>
          <t>eng</t>
        </is>
      </c>
      <c r="P202" t="inlineStr">
        <is>
          <t>enk</t>
        </is>
      </c>
      <c r="R202" t="inlineStr">
        <is>
          <t xml:space="preserve">HN </t>
        </is>
      </c>
      <c r="S202" t="n">
        <v>3</v>
      </c>
      <c r="T202" t="n">
        <v>3</v>
      </c>
      <c r="U202" t="inlineStr">
        <is>
          <t>2004-04-04</t>
        </is>
      </c>
      <c r="V202" t="inlineStr">
        <is>
          <t>2004-04-04</t>
        </is>
      </c>
      <c r="W202" t="inlineStr">
        <is>
          <t>2001-11-26</t>
        </is>
      </c>
      <c r="X202" t="inlineStr">
        <is>
          <t>2001-11-26</t>
        </is>
      </c>
      <c r="Y202" t="n">
        <v>331</v>
      </c>
      <c r="Z202" t="n">
        <v>223</v>
      </c>
      <c r="AA202" t="n">
        <v>233</v>
      </c>
      <c r="AB202" t="n">
        <v>2</v>
      </c>
      <c r="AC202" t="n">
        <v>2</v>
      </c>
      <c r="AD202" t="n">
        <v>11</v>
      </c>
      <c r="AE202" t="n">
        <v>11</v>
      </c>
      <c r="AF202" t="n">
        <v>4</v>
      </c>
      <c r="AG202" t="n">
        <v>4</v>
      </c>
      <c r="AH202" t="n">
        <v>4</v>
      </c>
      <c r="AI202" t="n">
        <v>4</v>
      </c>
      <c r="AJ202" t="n">
        <v>6</v>
      </c>
      <c r="AK202" t="n">
        <v>6</v>
      </c>
      <c r="AL202" t="n">
        <v>1</v>
      </c>
      <c r="AM202" t="n">
        <v>1</v>
      </c>
      <c r="AN202" t="n">
        <v>0</v>
      </c>
      <c r="AO202" t="n">
        <v>0</v>
      </c>
      <c r="AP202" t="inlineStr">
        <is>
          <t>No</t>
        </is>
      </c>
      <c r="AQ202" t="inlineStr">
        <is>
          <t>No</t>
        </is>
      </c>
      <c r="AS202">
        <f>HYPERLINK("https://creighton-primo.hosted.exlibrisgroup.com/primo-explore/search?tab=default_tab&amp;search_scope=EVERYTHING&amp;vid=01CRU&amp;lang=en_US&amp;offset=0&amp;query=any,contains,991003671989702656","Catalog Record")</f>
        <v/>
      </c>
      <c r="AT202">
        <f>HYPERLINK("http://www.worldcat.org/oclc/43751711","WorldCat Record")</f>
        <v/>
      </c>
      <c r="AU202" t="inlineStr">
        <is>
          <t>795276094:eng</t>
        </is>
      </c>
      <c r="AV202" t="inlineStr">
        <is>
          <t>43751711</t>
        </is>
      </c>
      <c r="AW202" t="inlineStr">
        <is>
          <t>991003671989702656</t>
        </is>
      </c>
      <c r="AX202" t="inlineStr">
        <is>
          <t>991003671989702656</t>
        </is>
      </c>
      <c r="AY202" t="inlineStr">
        <is>
          <t>2264429930002656</t>
        </is>
      </c>
      <c r="AZ202" t="inlineStr">
        <is>
          <t>BOOK</t>
        </is>
      </c>
      <c r="BB202" t="inlineStr">
        <is>
          <t>9780521773010</t>
        </is>
      </c>
      <c r="BC202" t="inlineStr">
        <is>
          <t>32285004413539</t>
        </is>
      </c>
      <c r="BD202" t="inlineStr">
        <is>
          <t>893868703</t>
        </is>
      </c>
    </row>
    <row r="203">
      <c r="A203" t="inlineStr">
        <is>
          <t>No</t>
        </is>
      </c>
      <c r="B203" t="inlineStr">
        <is>
          <t>HN380.7.A8 S5 2004</t>
        </is>
      </c>
      <c r="C203" t="inlineStr">
        <is>
          <t>0                      HN 0380700A  8                  S  5           2004</t>
        </is>
      </c>
      <c r="D203" t="inlineStr">
        <is>
          <t>The curtain rises : oral histories of the fall of communism in Eastern Europe / Susan G. Shapiro with Ronald Shapiro ; foreword by Elizabeth Lorant.</t>
        </is>
      </c>
      <c r="F203" t="inlineStr">
        <is>
          <t>No</t>
        </is>
      </c>
      <c r="G203" t="inlineStr">
        <is>
          <t>1</t>
        </is>
      </c>
      <c r="H203" t="inlineStr">
        <is>
          <t>No</t>
        </is>
      </c>
      <c r="I203" t="inlineStr">
        <is>
          <t>No</t>
        </is>
      </c>
      <c r="J203" t="inlineStr">
        <is>
          <t>0</t>
        </is>
      </c>
      <c r="K203" t="inlineStr">
        <is>
          <t>Shapiro, Susan, 1947-</t>
        </is>
      </c>
      <c r="L203" t="inlineStr">
        <is>
          <t>Jefferson, N.C. : McFarland &amp; Co., c2004.</t>
        </is>
      </c>
      <c r="M203" t="inlineStr">
        <is>
          <t>2004</t>
        </is>
      </c>
      <c r="O203" t="inlineStr">
        <is>
          <t>eng</t>
        </is>
      </c>
      <c r="P203" t="inlineStr">
        <is>
          <t>ncu</t>
        </is>
      </c>
      <c r="R203" t="inlineStr">
        <is>
          <t xml:space="preserve">HN </t>
        </is>
      </c>
      <c r="S203" t="n">
        <v>1</v>
      </c>
      <c r="T203" t="n">
        <v>1</v>
      </c>
      <c r="U203" t="inlineStr">
        <is>
          <t>2005-03-03</t>
        </is>
      </c>
      <c r="V203" t="inlineStr">
        <is>
          <t>2005-03-03</t>
        </is>
      </c>
      <c r="W203" t="inlineStr">
        <is>
          <t>2005-03-03</t>
        </is>
      </c>
      <c r="X203" t="inlineStr">
        <is>
          <t>2005-03-03</t>
        </is>
      </c>
      <c r="Y203" t="n">
        <v>204</v>
      </c>
      <c r="Z203" t="n">
        <v>171</v>
      </c>
      <c r="AA203" t="n">
        <v>188</v>
      </c>
      <c r="AB203" t="n">
        <v>3</v>
      </c>
      <c r="AC203" t="n">
        <v>3</v>
      </c>
      <c r="AD203" t="n">
        <v>9</v>
      </c>
      <c r="AE203" t="n">
        <v>9</v>
      </c>
      <c r="AF203" t="n">
        <v>2</v>
      </c>
      <c r="AG203" t="n">
        <v>2</v>
      </c>
      <c r="AH203" t="n">
        <v>3</v>
      </c>
      <c r="AI203" t="n">
        <v>3</v>
      </c>
      <c r="AJ203" t="n">
        <v>5</v>
      </c>
      <c r="AK203" t="n">
        <v>5</v>
      </c>
      <c r="AL203" t="n">
        <v>2</v>
      </c>
      <c r="AM203" t="n">
        <v>2</v>
      </c>
      <c r="AN203" t="n">
        <v>0</v>
      </c>
      <c r="AO203" t="n">
        <v>0</v>
      </c>
      <c r="AP203" t="inlineStr">
        <is>
          <t>No</t>
        </is>
      </c>
      <c r="AQ203" t="inlineStr">
        <is>
          <t>No</t>
        </is>
      </c>
      <c r="AS203">
        <f>HYPERLINK("https://creighton-primo.hosted.exlibrisgroup.com/primo-explore/search?tab=default_tab&amp;search_scope=EVERYTHING&amp;vid=01CRU&amp;lang=en_US&amp;offset=0&amp;query=any,contains,991004465329702656","Catalog Record")</f>
        <v/>
      </c>
      <c r="AT203">
        <f>HYPERLINK("http://www.worldcat.org/oclc/53253638","WorldCat Record")</f>
        <v/>
      </c>
      <c r="AU203" t="inlineStr">
        <is>
          <t>770951:eng</t>
        </is>
      </c>
      <c r="AV203" t="inlineStr">
        <is>
          <t>53253638</t>
        </is>
      </c>
      <c r="AW203" t="inlineStr">
        <is>
          <t>991004465329702656</t>
        </is>
      </c>
      <c r="AX203" t="inlineStr">
        <is>
          <t>991004465329702656</t>
        </is>
      </c>
      <c r="AY203" t="inlineStr">
        <is>
          <t>2265341800002656</t>
        </is>
      </c>
      <c r="AZ203" t="inlineStr">
        <is>
          <t>BOOK</t>
        </is>
      </c>
      <c r="BB203" t="inlineStr">
        <is>
          <t>9780786416721</t>
        </is>
      </c>
      <c r="BC203" t="inlineStr">
        <is>
          <t>32285005029979</t>
        </is>
      </c>
      <c r="BD203" t="inlineStr">
        <is>
          <t>893800992</t>
        </is>
      </c>
    </row>
    <row r="204">
      <c r="A204" t="inlineStr">
        <is>
          <t>No</t>
        </is>
      </c>
      <c r="B204" t="inlineStr">
        <is>
          <t>HN380.7.A8 S87 1998</t>
        </is>
      </c>
      <c r="C204" t="inlineStr">
        <is>
          <t>0                      HN 0380700A  8                  S  87          1998</t>
        </is>
      </c>
      <c r="D204" t="inlineStr">
        <is>
          <t>Surviving post-socialism : local strategies and regional responses in eastern Europe and the former Soviet Union / edited by Sue Bridger and Frances Pine.</t>
        </is>
      </c>
      <c r="F204" t="inlineStr">
        <is>
          <t>No</t>
        </is>
      </c>
      <c r="G204" t="inlineStr">
        <is>
          <t>1</t>
        </is>
      </c>
      <c r="H204" t="inlineStr">
        <is>
          <t>No</t>
        </is>
      </c>
      <c r="I204" t="inlineStr">
        <is>
          <t>No</t>
        </is>
      </c>
      <c r="J204" t="inlineStr">
        <is>
          <t>0</t>
        </is>
      </c>
      <c r="L204" t="inlineStr">
        <is>
          <t>London ; New York : Routledge, 1998.</t>
        </is>
      </c>
      <c r="M204" t="inlineStr">
        <is>
          <t>1998</t>
        </is>
      </c>
      <c r="O204" t="inlineStr">
        <is>
          <t>eng</t>
        </is>
      </c>
      <c r="P204" t="inlineStr">
        <is>
          <t>enk</t>
        </is>
      </c>
      <c r="Q204" t="inlineStr">
        <is>
          <t>Routledge studies of societies in transition ; 4</t>
        </is>
      </c>
      <c r="R204" t="inlineStr">
        <is>
          <t xml:space="preserve">HN </t>
        </is>
      </c>
      <c r="S204" t="n">
        <v>1</v>
      </c>
      <c r="T204" t="n">
        <v>1</v>
      </c>
      <c r="U204" t="inlineStr">
        <is>
          <t>1999-01-19</t>
        </is>
      </c>
      <c r="V204" t="inlineStr">
        <is>
          <t>1999-01-19</t>
        </is>
      </c>
      <c r="W204" t="inlineStr">
        <is>
          <t>1998-12-14</t>
        </is>
      </c>
      <c r="X204" t="inlineStr">
        <is>
          <t>1998-12-14</t>
        </is>
      </c>
      <c r="Y204" t="n">
        <v>190</v>
      </c>
      <c r="Z204" t="n">
        <v>112</v>
      </c>
      <c r="AA204" t="n">
        <v>132</v>
      </c>
      <c r="AB204" t="n">
        <v>2</v>
      </c>
      <c r="AC204" t="n">
        <v>2</v>
      </c>
      <c r="AD204" t="n">
        <v>5</v>
      </c>
      <c r="AE204" t="n">
        <v>5</v>
      </c>
      <c r="AF204" t="n">
        <v>0</v>
      </c>
      <c r="AG204" t="n">
        <v>0</v>
      </c>
      <c r="AH204" t="n">
        <v>2</v>
      </c>
      <c r="AI204" t="n">
        <v>2</v>
      </c>
      <c r="AJ204" t="n">
        <v>4</v>
      </c>
      <c r="AK204" t="n">
        <v>4</v>
      </c>
      <c r="AL204" t="n">
        <v>1</v>
      </c>
      <c r="AM204" t="n">
        <v>1</v>
      </c>
      <c r="AN204" t="n">
        <v>0</v>
      </c>
      <c r="AO204" t="n">
        <v>0</v>
      </c>
      <c r="AP204" t="inlineStr">
        <is>
          <t>No</t>
        </is>
      </c>
      <c r="AQ204" t="inlineStr">
        <is>
          <t>No</t>
        </is>
      </c>
      <c r="AS204">
        <f>HYPERLINK("https://creighton-primo.hosted.exlibrisgroup.com/primo-explore/search?tab=default_tab&amp;search_scope=EVERYTHING&amp;vid=01CRU&amp;lang=en_US&amp;offset=0&amp;query=any,contains,991002787009702656","Catalog Record")</f>
        <v/>
      </c>
      <c r="AT204">
        <f>HYPERLINK("http://www.worldcat.org/oclc/36590633","WorldCat Record")</f>
        <v/>
      </c>
      <c r="AU204" t="inlineStr">
        <is>
          <t>836923513:eng</t>
        </is>
      </c>
      <c r="AV204" t="inlineStr">
        <is>
          <t>36590633</t>
        </is>
      </c>
      <c r="AW204" t="inlineStr">
        <is>
          <t>991002787009702656</t>
        </is>
      </c>
      <c r="AX204" t="inlineStr">
        <is>
          <t>991002787009702656</t>
        </is>
      </c>
      <c r="AY204" t="inlineStr">
        <is>
          <t>2261205520002656</t>
        </is>
      </c>
      <c r="AZ204" t="inlineStr">
        <is>
          <t>BOOK</t>
        </is>
      </c>
      <c r="BB204" t="inlineStr">
        <is>
          <t>9780415158503</t>
        </is>
      </c>
      <c r="BC204" t="inlineStr">
        <is>
          <t>32285003506101</t>
        </is>
      </c>
      <c r="BD204" t="inlineStr">
        <is>
          <t>893904084</t>
        </is>
      </c>
    </row>
    <row r="205">
      <c r="A205" t="inlineStr">
        <is>
          <t>No</t>
        </is>
      </c>
      <c r="B205" t="inlineStr">
        <is>
          <t>HN380.7.Z9 E42 2000</t>
        </is>
      </c>
      <c r="C205" t="inlineStr">
        <is>
          <t>0                      HN 0380700Z  9                  E  42          2000</t>
        </is>
      </c>
      <c r="D205" t="inlineStr">
        <is>
          <t>Elites after state socialism : theories and analysis / edited by John Higley and György Lengyel.</t>
        </is>
      </c>
      <c r="F205" t="inlineStr">
        <is>
          <t>No</t>
        </is>
      </c>
      <c r="G205" t="inlineStr">
        <is>
          <t>1</t>
        </is>
      </c>
      <c r="H205" t="inlineStr">
        <is>
          <t>No</t>
        </is>
      </c>
      <c r="I205" t="inlineStr">
        <is>
          <t>No</t>
        </is>
      </c>
      <c r="J205" t="inlineStr">
        <is>
          <t>0</t>
        </is>
      </c>
      <c r="L205" t="inlineStr">
        <is>
          <t>Lanham, Md. : Rowman &amp; Littlefield, c2000.</t>
        </is>
      </c>
      <c r="M205" t="inlineStr">
        <is>
          <t>2000</t>
        </is>
      </c>
      <c r="O205" t="inlineStr">
        <is>
          <t>eng</t>
        </is>
      </c>
      <c r="P205" t="inlineStr">
        <is>
          <t>mdu</t>
        </is>
      </c>
      <c r="R205" t="inlineStr">
        <is>
          <t xml:space="preserve">HN </t>
        </is>
      </c>
      <c r="S205" t="n">
        <v>2</v>
      </c>
      <c r="T205" t="n">
        <v>2</v>
      </c>
      <c r="U205" t="inlineStr">
        <is>
          <t>2005-04-21</t>
        </is>
      </c>
      <c r="V205" t="inlineStr">
        <is>
          <t>2005-04-21</t>
        </is>
      </c>
      <c r="W205" t="inlineStr">
        <is>
          <t>2001-01-17</t>
        </is>
      </c>
      <c r="X205" t="inlineStr">
        <is>
          <t>2001-01-17</t>
        </is>
      </c>
      <c r="Y205" t="n">
        <v>197</v>
      </c>
      <c r="Z205" t="n">
        <v>139</v>
      </c>
      <c r="AA205" t="n">
        <v>140</v>
      </c>
      <c r="AB205" t="n">
        <v>2</v>
      </c>
      <c r="AC205" t="n">
        <v>2</v>
      </c>
      <c r="AD205" t="n">
        <v>7</v>
      </c>
      <c r="AE205" t="n">
        <v>7</v>
      </c>
      <c r="AF205" t="n">
        <v>0</v>
      </c>
      <c r="AG205" t="n">
        <v>0</v>
      </c>
      <c r="AH205" t="n">
        <v>4</v>
      </c>
      <c r="AI205" t="n">
        <v>4</v>
      </c>
      <c r="AJ205" t="n">
        <v>3</v>
      </c>
      <c r="AK205" t="n">
        <v>3</v>
      </c>
      <c r="AL205" t="n">
        <v>1</v>
      </c>
      <c r="AM205" t="n">
        <v>1</v>
      </c>
      <c r="AN205" t="n">
        <v>0</v>
      </c>
      <c r="AO205" t="n">
        <v>0</v>
      </c>
      <c r="AP205" t="inlineStr">
        <is>
          <t>No</t>
        </is>
      </c>
      <c r="AQ205" t="inlineStr">
        <is>
          <t>No</t>
        </is>
      </c>
      <c r="AS205">
        <f>HYPERLINK("https://creighton-primo.hosted.exlibrisgroup.com/primo-explore/search?tab=default_tab&amp;search_scope=EVERYTHING&amp;vid=01CRU&amp;lang=en_US&amp;offset=0&amp;query=any,contains,991003356429702656","Catalog Record")</f>
        <v/>
      </c>
      <c r="AT205">
        <f>HYPERLINK("http://www.worldcat.org/oclc/42421033","WorldCat Record")</f>
        <v/>
      </c>
      <c r="AU205" t="inlineStr">
        <is>
          <t>836967394:eng</t>
        </is>
      </c>
      <c r="AV205" t="inlineStr">
        <is>
          <t>42421033</t>
        </is>
      </c>
      <c r="AW205" t="inlineStr">
        <is>
          <t>991003356429702656</t>
        </is>
      </c>
      <c r="AX205" t="inlineStr">
        <is>
          <t>991003356429702656</t>
        </is>
      </c>
      <c r="AY205" t="inlineStr">
        <is>
          <t>2269501570002656</t>
        </is>
      </c>
      <c r="AZ205" t="inlineStr">
        <is>
          <t>BOOK</t>
        </is>
      </c>
      <c r="BB205" t="inlineStr">
        <is>
          <t>9780847698967</t>
        </is>
      </c>
      <c r="BC205" t="inlineStr">
        <is>
          <t>32285004284682</t>
        </is>
      </c>
      <c r="BD205" t="inlineStr">
        <is>
          <t>893342490</t>
        </is>
      </c>
    </row>
    <row r="206">
      <c r="A206" t="inlineStr">
        <is>
          <t>No</t>
        </is>
      </c>
      <c r="B206" t="inlineStr">
        <is>
          <t>HN380.M4 P4</t>
        </is>
      </c>
      <c r="C206" t="inlineStr">
        <is>
          <t>0                      HN 0380000M  4                  P  4</t>
        </is>
      </c>
      <c r="D206" t="inlineStr">
        <is>
          <t>Honour and shame : the values of Mediterranean society / edited by J.G. Péristiany.</t>
        </is>
      </c>
      <c r="F206" t="inlineStr">
        <is>
          <t>No</t>
        </is>
      </c>
      <c r="G206" t="inlineStr">
        <is>
          <t>1</t>
        </is>
      </c>
      <c r="H206" t="inlineStr">
        <is>
          <t>No</t>
        </is>
      </c>
      <c r="I206" t="inlineStr">
        <is>
          <t>No</t>
        </is>
      </c>
      <c r="J206" t="inlineStr">
        <is>
          <t>0</t>
        </is>
      </c>
      <c r="K206" t="inlineStr">
        <is>
          <t>Peristiany, John G. (John George), 1911-1987.</t>
        </is>
      </c>
      <c r="L206" t="inlineStr">
        <is>
          <t>[Chicago] : University of Chicago Press, c1966, 1974 printing.</t>
        </is>
      </c>
      <c r="M206" t="inlineStr">
        <is>
          <t>1966</t>
        </is>
      </c>
      <c r="O206" t="inlineStr">
        <is>
          <t>eng</t>
        </is>
      </c>
      <c r="P206" t="inlineStr">
        <is>
          <t>ilu</t>
        </is>
      </c>
      <c r="Q206" t="inlineStr">
        <is>
          <t>The nature of human society series</t>
        </is>
      </c>
      <c r="R206" t="inlineStr">
        <is>
          <t xml:space="preserve">HN </t>
        </is>
      </c>
      <c r="S206" t="n">
        <v>12</v>
      </c>
      <c r="T206" t="n">
        <v>12</v>
      </c>
      <c r="U206" t="inlineStr">
        <is>
          <t>2009-02-23</t>
        </is>
      </c>
      <c r="V206" t="inlineStr">
        <is>
          <t>2009-02-23</t>
        </is>
      </c>
      <c r="W206" t="inlineStr">
        <is>
          <t>1993-04-23</t>
        </is>
      </c>
      <c r="X206" t="inlineStr">
        <is>
          <t>1993-04-23</t>
        </is>
      </c>
      <c r="Y206" t="n">
        <v>499</v>
      </c>
      <c r="Z206" t="n">
        <v>457</v>
      </c>
      <c r="AA206" t="n">
        <v>547</v>
      </c>
      <c r="AB206" t="n">
        <v>2</v>
      </c>
      <c r="AC206" t="n">
        <v>3</v>
      </c>
      <c r="AD206" t="n">
        <v>22</v>
      </c>
      <c r="AE206" t="n">
        <v>26</v>
      </c>
      <c r="AF206" t="n">
        <v>5</v>
      </c>
      <c r="AG206" t="n">
        <v>5</v>
      </c>
      <c r="AH206" t="n">
        <v>8</v>
      </c>
      <c r="AI206" t="n">
        <v>9</v>
      </c>
      <c r="AJ206" t="n">
        <v>11</v>
      </c>
      <c r="AK206" t="n">
        <v>13</v>
      </c>
      <c r="AL206" t="n">
        <v>1</v>
      </c>
      <c r="AM206" t="n">
        <v>2</v>
      </c>
      <c r="AN206" t="n">
        <v>2</v>
      </c>
      <c r="AO206" t="n">
        <v>2</v>
      </c>
      <c r="AP206" t="inlineStr">
        <is>
          <t>No</t>
        </is>
      </c>
      <c r="AQ206" t="inlineStr">
        <is>
          <t>Yes</t>
        </is>
      </c>
      <c r="AR206">
        <f>HYPERLINK("http://catalog.hathitrust.org/Record/001350849","HathiTrust Record")</f>
        <v/>
      </c>
      <c r="AS206">
        <f>HYPERLINK("https://creighton-primo.hosted.exlibrisgroup.com/primo-explore/search?tab=default_tab&amp;search_scope=EVERYTHING&amp;vid=01CRU&amp;lang=en_US&amp;offset=0&amp;query=any,contains,991002821429702656","Catalog Record")</f>
        <v/>
      </c>
      <c r="AT206">
        <f>HYPERLINK("http://www.worldcat.org/oclc/466814","WorldCat Record")</f>
        <v/>
      </c>
      <c r="AU206" t="inlineStr">
        <is>
          <t>350448750:eng</t>
        </is>
      </c>
      <c r="AV206" t="inlineStr">
        <is>
          <t>466814</t>
        </is>
      </c>
      <c r="AW206" t="inlineStr">
        <is>
          <t>991002821429702656</t>
        </is>
      </c>
      <c r="AX206" t="inlineStr">
        <is>
          <t>991002821429702656</t>
        </is>
      </c>
      <c r="AY206" t="inlineStr">
        <is>
          <t>2263933510002656</t>
        </is>
      </c>
      <c r="AZ206" t="inlineStr">
        <is>
          <t>BOOK</t>
        </is>
      </c>
      <c r="BC206" t="inlineStr">
        <is>
          <t>32285001624138</t>
        </is>
      </c>
      <c r="BD206" t="inlineStr">
        <is>
          <t>893616623</t>
        </is>
      </c>
    </row>
    <row r="207">
      <c r="A207" t="inlineStr">
        <is>
          <t>No</t>
        </is>
      </c>
      <c r="B207" t="inlineStr">
        <is>
          <t>HN380.Z9 M65 2004</t>
        </is>
      </c>
      <c r="C207" t="inlineStr">
        <is>
          <t>0                      HN 0380000Z  9                  M  65          2004</t>
        </is>
      </c>
      <c r="D207" t="inlineStr">
        <is>
          <t>Libertine enlightenment : sex, liberty and licence in the eighteenth century / edited by Peter Cryle and Lisa O'Connell.</t>
        </is>
      </c>
      <c r="F207" t="inlineStr">
        <is>
          <t>No</t>
        </is>
      </c>
      <c r="G207" t="inlineStr">
        <is>
          <t>1</t>
        </is>
      </c>
      <c r="H207" t="inlineStr">
        <is>
          <t>No</t>
        </is>
      </c>
      <c r="I207" t="inlineStr">
        <is>
          <t>No</t>
        </is>
      </c>
      <c r="J207" t="inlineStr">
        <is>
          <t>0</t>
        </is>
      </c>
      <c r="L207" t="inlineStr">
        <is>
          <t>New York : Palgrave Macmillan, 2004.</t>
        </is>
      </c>
      <c r="M207" t="inlineStr">
        <is>
          <t>2004</t>
        </is>
      </c>
      <c r="O207" t="inlineStr">
        <is>
          <t>eng</t>
        </is>
      </c>
      <c r="P207" t="inlineStr">
        <is>
          <t>nyu</t>
        </is>
      </c>
      <c r="R207" t="inlineStr">
        <is>
          <t xml:space="preserve">HN </t>
        </is>
      </c>
      <c r="S207" t="n">
        <v>2</v>
      </c>
      <c r="T207" t="n">
        <v>2</v>
      </c>
      <c r="U207" t="inlineStr">
        <is>
          <t>2006-10-25</t>
        </is>
      </c>
      <c r="V207" t="inlineStr">
        <is>
          <t>2006-10-25</t>
        </is>
      </c>
      <c r="W207" t="inlineStr">
        <is>
          <t>2006-03-15</t>
        </is>
      </c>
      <c r="X207" t="inlineStr">
        <is>
          <t>2006-03-15</t>
        </is>
      </c>
      <c r="Y207" t="n">
        <v>128</v>
      </c>
      <c r="Z207" t="n">
        <v>100</v>
      </c>
      <c r="AA207" t="n">
        <v>156</v>
      </c>
      <c r="AB207" t="n">
        <v>3</v>
      </c>
      <c r="AC207" t="n">
        <v>3</v>
      </c>
      <c r="AD207" t="n">
        <v>7</v>
      </c>
      <c r="AE207" t="n">
        <v>11</v>
      </c>
      <c r="AF207" t="n">
        <v>3</v>
      </c>
      <c r="AG207" t="n">
        <v>4</v>
      </c>
      <c r="AH207" t="n">
        <v>1</v>
      </c>
      <c r="AI207" t="n">
        <v>3</v>
      </c>
      <c r="AJ207" t="n">
        <v>3</v>
      </c>
      <c r="AK207" t="n">
        <v>7</v>
      </c>
      <c r="AL207" t="n">
        <v>2</v>
      </c>
      <c r="AM207" t="n">
        <v>2</v>
      </c>
      <c r="AN207" t="n">
        <v>0</v>
      </c>
      <c r="AO207" t="n">
        <v>0</v>
      </c>
      <c r="AP207" t="inlineStr">
        <is>
          <t>No</t>
        </is>
      </c>
      <c r="AQ207" t="inlineStr">
        <is>
          <t>No</t>
        </is>
      </c>
      <c r="AS207">
        <f>HYPERLINK("https://creighton-primo.hosted.exlibrisgroup.com/primo-explore/search?tab=default_tab&amp;search_scope=EVERYTHING&amp;vid=01CRU&amp;lang=en_US&amp;offset=0&amp;query=any,contains,991004758439702656","Catalog Record")</f>
        <v/>
      </c>
      <c r="AT207">
        <f>HYPERLINK("http://www.worldcat.org/oclc/52418287","WorldCat Record")</f>
        <v/>
      </c>
      <c r="AU207" t="inlineStr">
        <is>
          <t>478481542:eng</t>
        </is>
      </c>
      <c r="AV207" t="inlineStr">
        <is>
          <t>52418287</t>
        </is>
      </c>
      <c r="AW207" t="inlineStr">
        <is>
          <t>991004758439702656</t>
        </is>
      </c>
      <c r="AX207" t="inlineStr">
        <is>
          <t>991004758439702656</t>
        </is>
      </c>
      <c r="AY207" t="inlineStr">
        <is>
          <t>2263096480002656</t>
        </is>
      </c>
      <c r="AZ207" t="inlineStr">
        <is>
          <t>BOOK</t>
        </is>
      </c>
      <c r="BB207" t="inlineStr">
        <is>
          <t>9781403917638</t>
        </is>
      </c>
      <c r="BC207" t="inlineStr">
        <is>
          <t>32285005165468</t>
        </is>
      </c>
      <c r="BD207" t="inlineStr">
        <is>
          <t>893417987</t>
        </is>
      </c>
    </row>
    <row r="208">
      <c r="A208" t="inlineStr">
        <is>
          <t>No</t>
        </is>
      </c>
      <c r="B208" t="inlineStr">
        <is>
          <t>HN380.Z9 S64414 1986</t>
        </is>
      </c>
      <c r="C208" t="inlineStr">
        <is>
          <t>0                      HN 0380000Z  9                  S  64414       1986</t>
        </is>
      </c>
      <c r="D208" t="inlineStr">
        <is>
          <t>Industrialisation and social inequality in 19th century Europe / Hartmut Kaelble ; translated from the German by Bruce Little.</t>
        </is>
      </c>
      <c r="F208" t="inlineStr">
        <is>
          <t>No</t>
        </is>
      </c>
      <c r="G208" t="inlineStr">
        <is>
          <t>1</t>
        </is>
      </c>
      <c r="H208" t="inlineStr">
        <is>
          <t>No</t>
        </is>
      </c>
      <c r="I208" t="inlineStr">
        <is>
          <t>No</t>
        </is>
      </c>
      <c r="J208" t="inlineStr">
        <is>
          <t>0</t>
        </is>
      </c>
      <c r="K208" t="inlineStr">
        <is>
          <t>Kaelble, Hartmut.</t>
        </is>
      </c>
      <c r="L208" t="inlineStr">
        <is>
          <t>New York : St. Martin's Press, 1986.</t>
        </is>
      </c>
      <c r="M208" t="inlineStr">
        <is>
          <t>1986</t>
        </is>
      </c>
      <c r="O208" t="inlineStr">
        <is>
          <t>eng</t>
        </is>
      </c>
      <c r="P208" t="inlineStr">
        <is>
          <t>nyu</t>
        </is>
      </c>
      <c r="R208" t="inlineStr">
        <is>
          <t xml:space="preserve">HN </t>
        </is>
      </c>
      <c r="S208" t="n">
        <v>6</v>
      </c>
      <c r="T208" t="n">
        <v>6</v>
      </c>
      <c r="U208" t="inlineStr">
        <is>
          <t>1996-03-30</t>
        </is>
      </c>
      <c r="V208" t="inlineStr">
        <is>
          <t>1996-03-30</t>
        </is>
      </c>
      <c r="W208" t="inlineStr">
        <is>
          <t>1992-10-09</t>
        </is>
      </c>
      <c r="X208" t="inlineStr">
        <is>
          <t>1992-10-09</t>
        </is>
      </c>
      <c r="Y208" t="n">
        <v>248</v>
      </c>
      <c r="Z208" t="n">
        <v>213</v>
      </c>
      <c r="AA208" t="n">
        <v>287</v>
      </c>
      <c r="AB208" t="n">
        <v>3</v>
      </c>
      <c r="AC208" t="n">
        <v>3</v>
      </c>
      <c r="AD208" t="n">
        <v>15</v>
      </c>
      <c r="AE208" t="n">
        <v>15</v>
      </c>
      <c r="AF208" t="n">
        <v>6</v>
      </c>
      <c r="AG208" t="n">
        <v>6</v>
      </c>
      <c r="AH208" t="n">
        <v>4</v>
      </c>
      <c r="AI208" t="n">
        <v>4</v>
      </c>
      <c r="AJ208" t="n">
        <v>8</v>
      </c>
      <c r="AK208" t="n">
        <v>8</v>
      </c>
      <c r="AL208" t="n">
        <v>2</v>
      </c>
      <c r="AM208" t="n">
        <v>2</v>
      </c>
      <c r="AN208" t="n">
        <v>0</v>
      </c>
      <c r="AO208" t="n">
        <v>0</v>
      </c>
      <c r="AP208" t="inlineStr">
        <is>
          <t>No</t>
        </is>
      </c>
      <c r="AQ208" t="inlineStr">
        <is>
          <t>No</t>
        </is>
      </c>
      <c r="AS208">
        <f>HYPERLINK("https://creighton-primo.hosted.exlibrisgroup.com/primo-explore/search?tab=default_tab&amp;search_scope=EVERYTHING&amp;vid=01CRU&amp;lang=en_US&amp;offset=0&amp;query=any,contains,991000650489702656","Catalog Record")</f>
        <v/>
      </c>
      <c r="AT208">
        <f>HYPERLINK("http://www.worldcat.org/oclc/12162655","WorldCat Record")</f>
        <v/>
      </c>
      <c r="AU208" t="inlineStr">
        <is>
          <t>4910617:eng</t>
        </is>
      </c>
      <c r="AV208" t="inlineStr">
        <is>
          <t>12162655</t>
        </is>
      </c>
      <c r="AW208" t="inlineStr">
        <is>
          <t>991000650489702656</t>
        </is>
      </c>
      <c r="AX208" t="inlineStr">
        <is>
          <t>991000650489702656</t>
        </is>
      </c>
      <c r="AY208" t="inlineStr">
        <is>
          <t>2271941750002656</t>
        </is>
      </c>
      <c r="AZ208" t="inlineStr">
        <is>
          <t>BOOK</t>
        </is>
      </c>
      <c r="BB208" t="inlineStr">
        <is>
          <t>9780312415709</t>
        </is>
      </c>
      <c r="BC208" t="inlineStr">
        <is>
          <t>32285001356715</t>
        </is>
      </c>
      <c r="BD208" t="inlineStr">
        <is>
          <t>893339755</t>
        </is>
      </c>
    </row>
    <row r="209">
      <c r="A209" t="inlineStr">
        <is>
          <t>No</t>
        </is>
      </c>
      <c r="B209" t="inlineStr">
        <is>
          <t>HN380.Z9 V537 2001</t>
        </is>
      </c>
      <c r="C209" t="inlineStr">
        <is>
          <t>0                      HN 0380000Z  9                  V  537         2001</t>
        </is>
      </c>
      <c r="D209" t="inlineStr">
        <is>
          <t>Violence in early modern Europe, [1500-1800] / Julius R. Ruff.</t>
        </is>
      </c>
      <c r="F209" t="inlineStr">
        <is>
          <t>No</t>
        </is>
      </c>
      <c r="G209" t="inlineStr">
        <is>
          <t>1</t>
        </is>
      </c>
      <c r="H209" t="inlineStr">
        <is>
          <t>No</t>
        </is>
      </c>
      <c r="I209" t="inlineStr">
        <is>
          <t>No</t>
        </is>
      </c>
      <c r="J209" t="inlineStr">
        <is>
          <t>0</t>
        </is>
      </c>
      <c r="K209" t="inlineStr">
        <is>
          <t>Ruff, Julius R. (Julius Ralph)</t>
        </is>
      </c>
      <c r="L209" t="inlineStr">
        <is>
          <t>Cambridge : New York : Cambridge University Press, 2001.</t>
        </is>
      </c>
      <c r="M209" t="inlineStr">
        <is>
          <t>2001</t>
        </is>
      </c>
      <c r="O209" t="inlineStr">
        <is>
          <t>eng</t>
        </is>
      </c>
      <c r="P209" t="inlineStr">
        <is>
          <t>enk</t>
        </is>
      </c>
      <c r="Q209" t="inlineStr">
        <is>
          <t>New approaches to European history</t>
        </is>
      </c>
      <c r="R209" t="inlineStr">
        <is>
          <t xml:space="preserve">HN </t>
        </is>
      </c>
      <c r="S209" t="n">
        <v>3</v>
      </c>
      <c r="T209" t="n">
        <v>3</v>
      </c>
      <c r="U209" t="inlineStr">
        <is>
          <t>2008-09-14</t>
        </is>
      </c>
      <c r="V209" t="inlineStr">
        <is>
          <t>2008-09-14</t>
        </is>
      </c>
      <c r="W209" t="inlineStr">
        <is>
          <t>2003-02-26</t>
        </is>
      </c>
      <c r="X209" t="inlineStr">
        <is>
          <t>2003-02-26</t>
        </is>
      </c>
      <c r="Y209" t="n">
        <v>406</v>
      </c>
      <c r="Z209" t="n">
        <v>267</v>
      </c>
      <c r="AA209" t="n">
        <v>272</v>
      </c>
      <c r="AB209" t="n">
        <v>2</v>
      </c>
      <c r="AC209" t="n">
        <v>2</v>
      </c>
      <c r="AD209" t="n">
        <v>15</v>
      </c>
      <c r="AE209" t="n">
        <v>15</v>
      </c>
      <c r="AF209" t="n">
        <v>2</v>
      </c>
      <c r="AG209" t="n">
        <v>2</v>
      </c>
      <c r="AH209" t="n">
        <v>7</v>
      </c>
      <c r="AI209" t="n">
        <v>7</v>
      </c>
      <c r="AJ209" t="n">
        <v>8</v>
      </c>
      <c r="AK209" t="n">
        <v>8</v>
      </c>
      <c r="AL209" t="n">
        <v>1</v>
      </c>
      <c r="AM209" t="n">
        <v>1</v>
      </c>
      <c r="AN209" t="n">
        <v>0</v>
      </c>
      <c r="AO209" t="n">
        <v>0</v>
      </c>
      <c r="AP209" t="inlineStr">
        <is>
          <t>No</t>
        </is>
      </c>
      <c r="AQ209" t="inlineStr">
        <is>
          <t>No</t>
        </is>
      </c>
      <c r="AS209">
        <f>HYPERLINK("https://creighton-primo.hosted.exlibrisgroup.com/primo-explore/search?tab=default_tab&amp;search_scope=EVERYTHING&amp;vid=01CRU&amp;lang=en_US&amp;offset=0&amp;query=any,contains,991003993249702656","Catalog Record")</f>
        <v/>
      </c>
      <c r="AT209">
        <f>HYPERLINK("http://www.worldcat.org/oclc/45487442","WorldCat Record")</f>
        <v/>
      </c>
      <c r="AU209" t="inlineStr">
        <is>
          <t>10596159064:eng</t>
        </is>
      </c>
      <c r="AV209" t="inlineStr">
        <is>
          <t>45487442</t>
        </is>
      </c>
      <c r="AW209" t="inlineStr">
        <is>
          <t>991003993249702656</t>
        </is>
      </c>
      <c r="AX209" t="inlineStr">
        <is>
          <t>991003993249702656</t>
        </is>
      </c>
      <c r="AY209" t="inlineStr">
        <is>
          <t>2271690910002656</t>
        </is>
      </c>
      <c r="AZ209" t="inlineStr">
        <is>
          <t>BOOK</t>
        </is>
      </c>
      <c r="BB209" t="inlineStr">
        <is>
          <t>9780521591195</t>
        </is>
      </c>
      <c r="BC209" t="inlineStr">
        <is>
          <t>32285004681036</t>
        </is>
      </c>
      <c r="BD209" t="inlineStr">
        <is>
          <t>893699686</t>
        </is>
      </c>
    </row>
    <row r="210">
      <c r="A210" t="inlineStr">
        <is>
          <t>No</t>
        </is>
      </c>
      <c r="B210" t="inlineStr">
        <is>
          <t>HN382 .S65 1977</t>
        </is>
      </c>
      <c r="C210" t="inlineStr">
        <is>
          <t>0                      HN 0382000S  65          1977</t>
        </is>
      </c>
      <c r="D210" t="inlineStr">
        <is>
          <t>Social control in nineteenth century Britain / edited by A. P. Donajgrodzki. --</t>
        </is>
      </c>
      <c r="F210" t="inlineStr">
        <is>
          <t>No</t>
        </is>
      </c>
      <c r="G210" t="inlineStr">
        <is>
          <t>1</t>
        </is>
      </c>
      <c r="H210" t="inlineStr">
        <is>
          <t>No</t>
        </is>
      </c>
      <c r="I210" t="inlineStr">
        <is>
          <t>No</t>
        </is>
      </c>
      <c r="J210" t="inlineStr">
        <is>
          <t>0</t>
        </is>
      </c>
      <c r="L210" t="inlineStr">
        <is>
          <t>London : Croom Helm ; Totowa, N.J. : Rowman and Littlefield, c1977.</t>
        </is>
      </c>
      <c r="M210" t="inlineStr">
        <is>
          <t>1977</t>
        </is>
      </c>
      <c r="O210" t="inlineStr">
        <is>
          <t>eng</t>
        </is>
      </c>
      <c r="P210" t="inlineStr">
        <is>
          <t>enk</t>
        </is>
      </c>
      <c r="R210" t="inlineStr">
        <is>
          <t xml:space="preserve">HN </t>
        </is>
      </c>
      <c r="S210" t="n">
        <v>1</v>
      </c>
      <c r="T210" t="n">
        <v>1</v>
      </c>
      <c r="U210" t="inlineStr">
        <is>
          <t>2007-12-12</t>
        </is>
      </c>
      <c r="V210" t="inlineStr">
        <is>
          <t>2007-12-12</t>
        </is>
      </c>
      <c r="W210" t="inlineStr">
        <is>
          <t>1992-10-09</t>
        </is>
      </c>
      <c r="X210" t="inlineStr">
        <is>
          <t>1992-10-09</t>
        </is>
      </c>
      <c r="Y210" t="n">
        <v>440</v>
      </c>
      <c r="Z210" t="n">
        <v>277</v>
      </c>
      <c r="AA210" t="n">
        <v>282</v>
      </c>
      <c r="AB210" t="n">
        <v>4</v>
      </c>
      <c r="AC210" t="n">
        <v>4</v>
      </c>
      <c r="AD210" t="n">
        <v>13</v>
      </c>
      <c r="AE210" t="n">
        <v>13</v>
      </c>
      <c r="AF210" t="n">
        <v>4</v>
      </c>
      <c r="AG210" t="n">
        <v>4</v>
      </c>
      <c r="AH210" t="n">
        <v>2</v>
      </c>
      <c r="AI210" t="n">
        <v>2</v>
      </c>
      <c r="AJ210" t="n">
        <v>7</v>
      </c>
      <c r="AK210" t="n">
        <v>7</v>
      </c>
      <c r="AL210" t="n">
        <v>3</v>
      </c>
      <c r="AM210" t="n">
        <v>3</v>
      </c>
      <c r="AN210" t="n">
        <v>0</v>
      </c>
      <c r="AO210" t="n">
        <v>0</v>
      </c>
      <c r="AP210" t="inlineStr">
        <is>
          <t>No</t>
        </is>
      </c>
      <c r="AQ210" t="inlineStr">
        <is>
          <t>No</t>
        </is>
      </c>
      <c r="AS210">
        <f>HYPERLINK("https://creighton-primo.hosted.exlibrisgroup.com/primo-explore/search?tab=default_tab&amp;search_scope=EVERYTHING&amp;vid=01CRU&amp;lang=en_US&amp;offset=0&amp;query=any,contains,991004342429702656","Catalog Record")</f>
        <v/>
      </c>
      <c r="AT210">
        <f>HYPERLINK("http://www.worldcat.org/oclc/3090113","WorldCat Record")</f>
        <v/>
      </c>
      <c r="AU210" t="inlineStr">
        <is>
          <t>8115399:eng</t>
        </is>
      </c>
      <c r="AV210" t="inlineStr">
        <is>
          <t>3090113</t>
        </is>
      </c>
      <c r="AW210" t="inlineStr">
        <is>
          <t>991004342429702656</t>
        </is>
      </c>
      <c r="AX210" t="inlineStr">
        <is>
          <t>991004342429702656</t>
        </is>
      </c>
      <c r="AY210" t="inlineStr">
        <is>
          <t>2260571910002656</t>
        </is>
      </c>
      <c r="AZ210" t="inlineStr">
        <is>
          <t>BOOK</t>
        </is>
      </c>
      <c r="BB210" t="inlineStr">
        <is>
          <t>9780874718805</t>
        </is>
      </c>
      <c r="BC210" t="inlineStr">
        <is>
          <t>32285001356756</t>
        </is>
      </c>
      <c r="BD210" t="inlineStr">
        <is>
          <t>893706286</t>
        </is>
      </c>
    </row>
    <row r="211">
      <c r="A211" t="inlineStr">
        <is>
          <t>No</t>
        </is>
      </c>
      <c r="B211" t="inlineStr">
        <is>
          <t>HN383 .M23 1979</t>
        </is>
      </c>
      <c r="C211" t="inlineStr">
        <is>
          <t>0                      HN 0383000M  23          1979</t>
        </is>
      </c>
      <c r="D211" t="inlineStr">
        <is>
          <t>The origins of English individualism : the family, property, and social transition / Alan Macfarlane.</t>
        </is>
      </c>
      <c r="F211" t="inlineStr">
        <is>
          <t>No</t>
        </is>
      </c>
      <c r="G211" t="inlineStr">
        <is>
          <t>1</t>
        </is>
      </c>
      <c r="H211" t="inlineStr">
        <is>
          <t>No</t>
        </is>
      </c>
      <c r="I211" t="inlineStr">
        <is>
          <t>No</t>
        </is>
      </c>
      <c r="J211" t="inlineStr">
        <is>
          <t>0</t>
        </is>
      </c>
      <c r="K211" t="inlineStr">
        <is>
          <t>Macfarlane, Alan.</t>
        </is>
      </c>
      <c r="L211" t="inlineStr">
        <is>
          <t>New York : Cambridge University Press, 1979, c1978.</t>
        </is>
      </c>
      <c r="M211" t="inlineStr">
        <is>
          <t>1979</t>
        </is>
      </c>
      <c r="O211" t="inlineStr">
        <is>
          <t>eng</t>
        </is>
      </c>
      <c r="P211" t="inlineStr">
        <is>
          <t>nyu</t>
        </is>
      </c>
      <c r="R211" t="inlineStr">
        <is>
          <t xml:space="preserve">HN </t>
        </is>
      </c>
      <c r="S211" t="n">
        <v>2</v>
      </c>
      <c r="T211" t="n">
        <v>2</v>
      </c>
      <c r="U211" t="inlineStr">
        <is>
          <t>2009-03-17</t>
        </is>
      </c>
      <c r="V211" t="inlineStr">
        <is>
          <t>2009-03-17</t>
        </is>
      </c>
      <c r="W211" t="inlineStr">
        <is>
          <t>1992-10-09</t>
        </is>
      </c>
      <c r="X211" t="inlineStr">
        <is>
          <t>1992-10-09</t>
        </is>
      </c>
      <c r="Y211" t="n">
        <v>531</v>
      </c>
      <c r="Z211" t="n">
        <v>495</v>
      </c>
      <c r="AA211" t="n">
        <v>609</v>
      </c>
      <c r="AB211" t="n">
        <v>1</v>
      </c>
      <c r="AC211" t="n">
        <v>4</v>
      </c>
      <c r="AD211" t="n">
        <v>24</v>
      </c>
      <c r="AE211" t="n">
        <v>32</v>
      </c>
      <c r="AF211" t="n">
        <v>7</v>
      </c>
      <c r="AG211" t="n">
        <v>10</v>
      </c>
      <c r="AH211" t="n">
        <v>8</v>
      </c>
      <c r="AI211" t="n">
        <v>10</v>
      </c>
      <c r="AJ211" t="n">
        <v>15</v>
      </c>
      <c r="AK211" t="n">
        <v>17</v>
      </c>
      <c r="AL211" t="n">
        <v>0</v>
      </c>
      <c r="AM211" t="n">
        <v>3</v>
      </c>
      <c r="AN211" t="n">
        <v>0</v>
      </c>
      <c r="AO211" t="n">
        <v>0</v>
      </c>
      <c r="AP211" t="inlineStr">
        <is>
          <t>No</t>
        </is>
      </c>
      <c r="AQ211" t="inlineStr">
        <is>
          <t>No</t>
        </is>
      </c>
      <c r="AS211">
        <f>HYPERLINK("https://creighton-primo.hosted.exlibrisgroup.com/primo-explore/search?tab=default_tab&amp;search_scope=EVERYTHING&amp;vid=01CRU&amp;lang=en_US&amp;offset=0&amp;query=any,contains,991004674529702656","Catalog Record")</f>
        <v/>
      </c>
      <c r="AT211">
        <f>HYPERLINK("http://www.worldcat.org/oclc/4529665","WorldCat Record")</f>
        <v/>
      </c>
      <c r="AU211" t="inlineStr">
        <is>
          <t>14788830:eng</t>
        </is>
      </c>
      <c r="AV211" t="inlineStr">
        <is>
          <t>4529665</t>
        </is>
      </c>
      <c r="AW211" t="inlineStr">
        <is>
          <t>991004674529702656</t>
        </is>
      </c>
      <c r="AX211" t="inlineStr">
        <is>
          <t>991004674529702656</t>
        </is>
      </c>
      <c r="AY211" t="inlineStr">
        <is>
          <t>2266320980002656</t>
        </is>
      </c>
      <c r="AZ211" t="inlineStr">
        <is>
          <t>BOOK</t>
        </is>
      </c>
      <c r="BB211" t="inlineStr">
        <is>
          <t>9780521225878</t>
        </is>
      </c>
      <c r="BC211" t="inlineStr">
        <is>
          <t>32285001356764</t>
        </is>
      </c>
      <c r="BD211" t="inlineStr">
        <is>
          <t>893612629</t>
        </is>
      </c>
    </row>
    <row r="212">
      <c r="A212" t="inlineStr">
        <is>
          <t>No</t>
        </is>
      </c>
      <c r="B212" t="inlineStr">
        <is>
          <t>HN385 .A88</t>
        </is>
      </c>
      <c r="C212" t="inlineStr">
        <is>
          <t>0                      HN 0385000A  88</t>
        </is>
      </c>
      <c r="D212" t="inlineStr">
        <is>
          <t>Victorian people : in life and in literature / [by] Gillian Avery.</t>
        </is>
      </c>
      <c r="F212" t="inlineStr">
        <is>
          <t>No</t>
        </is>
      </c>
      <c r="G212" t="inlineStr">
        <is>
          <t>1</t>
        </is>
      </c>
      <c r="H212" t="inlineStr">
        <is>
          <t>No</t>
        </is>
      </c>
      <c r="I212" t="inlineStr">
        <is>
          <t>No</t>
        </is>
      </c>
      <c r="J212" t="inlineStr">
        <is>
          <t>0</t>
        </is>
      </c>
      <c r="K212" t="inlineStr">
        <is>
          <t>Avery, Gillian, 1926-2016.</t>
        </is>
      </c>
      <c r="L212" t="inlineStr">
        <is>
          <t>New York : Holt, Rinehart and Winston, [1970]</t>
        </is>
      </c>
      <c r="M212" t="inlineStr">
        <is>
          <t>1970</t>
        </is>
      </c>
      <c r="N212" t="inlineStr">
        <is>
          <t>[1st ed.]</t>
        </is>
      </c>
      <c r="O212" t="inlineStr">
        <is>
          <t>eng</t>
        </is>
      </c>
      <c r="P212" t="inlineStr">
        <is>
          <t>nyu</t>
        </is>
      </c>
      <c r="R212" t="inlineStr">
        <is>
          <t xml:space="preserve">HN </t>
        </is>
      </c>
      <c r="S212" t="n">
        <v>1</v>
      </c>
      <c r="T212" t="n">
        <v>1</v>
      </c>
      <c r="U212" t="inlineStr">
        <is>
          <t>2003-11-30</t>
        </is>
      </c>
      <c r="V212" t="inlineStr">
        <is>
          <t>2003-11-30</t>
        </is>
      </c>
      <c r="W212" t="inlineStr">
        <is>
          <t>1995-04-24</t>
        </is>
      </c>
      <c r="X212" t="inlineStr">
        <is>
          <t>1995-04-24</t>
        </is>
      </c>
      <c r="Y212" t="n">
        <v>576</v>
      </c>
      <c r="Z212" t="n">
        <v>537</v>
      </c>
      <c r="AA212" t="n">
        <v>607</v>
      </c>
      <c r="AB212" t="n">
        <v>11</v>
      </c>
      <c r="AC212" t="n">
        <v>11</v>
      </c>
      <c r="AD212" t="n">
        <v>10</v>
      </c>
      <c r="AE212" t="n">
        <v>13</v>
      </c>
      <c r="AF212" t="n">
        <v>1</v>
      </c>
      <c r="AG212" t="n">
        <v>2</v>
      </c>
      <c r="AH212" t="n">
        <v>1</v>
      </c>
      <c r="AI212" t="n">
        <v>2</v>
      </c>
      <c r="AJ212" t="n">
        <v>3</v>
      </c>
      <c r="AK212" t="n">
        <v>4</v>
      </c>
      <c r="AL212" t="n">
        <v>7</v>
      </c>
      <c r="AM212" t="n">
        <v>7</v>
      </c>
      <c r="AN212" t="n">
        <v>0</v>
      </c>
      <c r="AO212" t="n">
        <v>0</v>
      </c>
      <c r="AP212" t="inlineStr">
        <is>
          <t>No</t>
        </is>
      </c>
      <c r="AQ212" t="inlineStr">
        <is>
          <t>Yes</t>
        </is>
      </c>
      <c r="AR212">
        <f>HYPERLINK("http://catalog.hathitrust.org/Record/001108211","HathiTrust Record")</f>
        <v/>
      </c>
      <c r="AS212">
        <f>HYPERLINK("https://creighton-primo.hosted.exlibrisgroup.com/primo-explore/search?tab=default_tab&amp;search_scope=EVERYTHING&amp;vid=01CRU&amp;lang=en_US&amp;offset=0&amp;query=any,contains,991000640109702656","Catalog Record")</f>
        <v/>
      </c>
      <c r="AT212">
        <f>HYPERLINK("http://www.worldcat.org/oclc/109269","WorldCat Record")</f>
        <v/>
      </c>
      <c r="AU212" t="inlineStr">
        <is>
          <t>1221333:eng</t>
        </is>
      </c>
      <c r="AV212" t="inlineStr">
        <is>
          <t>109269</t>
        </is>
      </c>
      <c r="AW212" t="inlineStr">
        <is>
          <t>991000640109702656</t>
        </is>
      </c>
      <c r="AX212" t="inlineStr">
        <is>
          <t>991000640109702656</t>
        </is>
      </c>
      <c r="AY212" t="inlineStr">
        <is>
          <t>2255257770002656</t>
        </is>
      </c>
      <c r="AZ212" t="inlineStr">
        <is>
          <t>BOOK</t>
        </is>
      </c>
      <c r="BB212" t="inlineStr">
        <is>
          <t>9780030666551</t>
        </is>
      </c>
      <c r="BC212" t="inlineStr">
        <is>
          <t>32285002028222</t>
        </is>
      </c>
      <c r="BD212" t="inlineStr">
        <is>
          <t>893444409</t>
        </is>
      </c>
    </row>
    <row r="213">
      <c r="A213" t="inlineStr">
        <is>
          <t>No</t>
        </is>
      </c>
      <c r="B213" t="inlineStr">
        <is>
          <t>HN385 .B47</t>
        </is>
      </c>
      <c r="C213" t="inlineStr">
        <is>
          <t>0                      HN 0385000B  47</t>
        </is>
      </c>
      <c r="D213" t="inlineStr">
        <is>
          <t>Mid-Victorian Britain, 1851-1875 [by] Geoffrey Best.</t>
        </is>
      </c>
      <c r="F213" t="inlineStr">
        <is>
          <t>No</t>
        </is>
      </c>
      <c r="G213" t="inlineStr">
        <is>
          <t>1</t>
        </is>
      </c>
      <c r="H213" t="inlineStr">
        <is>
          <t>No</t>
        </is>
      </c>
      <c r="I213" t="inlineStr">
        <is>
          <t>No</t>
        </is>
      </c>
      <c r="J213" t="inlineStr">
        <is>
          <t>0</t>
        </is>
      </c>
      <c r="K213" t="inlineStr">
        <is>
          <t>Best, Geoffrey, 1928-</t>
        </is>
      </c>
      <c r="L213" t="inlineStr">
        <is>
          <t>London, Weidenfeld and Nicolson, 1971.</t>
        </is>
      </c>
      <c r="M213" t="inlineStr">
        <is>
          <t>1971</t>
        </is>
      </c>
      <c r="O213" t="inlineStr">
        <is>
          <t>eng</t>
        </is>
      </c>
      <c r="P213" t="inlineStr">
        <is>
          <t>enk</t>
        </is>
      </c>
      <c r="Q213" t="inlineStr">
        <is>
          <t>The History of British society</t>
        </is>
      </c>
      <c r="R213" t="inlineStr">
        <is>
          <t xml:space="preserve">HN </t>
        </is>
      </c>
      <c r="S213" t="n">
        <v>1</v>
      </c>
      <c r="T213" t="n">
        <v>1</v>
      </c>
      <c r="U213" t="inlineStr">
        <is>
          <t>2009-03-06</t>
        </is>
      </c>
      <c r="V213" t="inlineStr">
        <is>
          <t>2009-03-06</t>
        </is>
      </c>
      <c r="W213" t="inlineStr">
        <is>
          <t>1997-08-06</t>
        </is>
      </c>
      <c r="X213" t="inlineStr">
        <is>
          <t>1997-08-06</t>
        </is>
      </c>
      <c r="Y213" t="n">
        <v>391</v>
      </c>
      <c r="Z213" t="n">
        <v>176</v>
      </c>
      <c r="AA213" t="n">
        <v>730</v>
      </c>
      <c r="AB213" t="n">
        <v>2</v>
      </c>
      <c r="AC213" t="n">
        <v>5</v>
      </c>
      <c r="AD213" t="n">
        <v>9</v>
      </c>
      <c r="AE213" t="n">
        <v>31</v>
      </c>
      <c r="AF213" t="n">
        <v>1</v>
      </c>
      <c r="AG213" t="n">
        <v>11</v>
      </c>
      <c r="AH213" t="n">
        <v>3</v>
      </c>
      <c r="AI213" t="n">
        <v>6</v>
      </c>
      <c r="AJ213" t="n">
        <v>7</v>
      </c>
      <c r="AK213" t="n">
        <v>21</v>
      </c>
      <c r="AL213" t="n">
        <v>1</v>
      </c>
      <c r="AM213" t="n">
        <v>4</v>
      </c>
      <c r="AN213" t="n">
        <v>0</v>
      </c>
      <c r="AO213" t="n">
        <v>0</v>
      </c>
      <c r="AP213" t="inlineStr">
        <is>
          <t>No</t>
        </is>
      </c>
      <c r="AQ213" t="inlineStr">
        <is>
          <t>No</t>
        </is>
      </c>
      <c r="AS213">
        <f>HYPERLINK("https://creighton-primo.hosted.exlibrisgroup.com/primo-explore/search?tab=default_tab&amp;search_scope=EVERYTHING&amp;vid=01CRU&amp;lang=en_US&amp;offset=0&amp;query=any,contains,991000884089702656","Catalog Record")</f>
        <v/>
      </c>
      <c r="AT213">
        <f>HYPERLINK("http://www.worldcat.org/oclc/152506","WorldCat Record")</f>
        <v/>
      </c>
      <c r="AU213" t="inlineStr">
        <is>
          <t>131954613:eng</t>
        </is>
      </c>
      <c r="AV213" t="inlineStr">
        <is>
          <t>152506</t>
        </is>
      </c>
      <c r="AW213" t="inlineStr">
        <is>
          <t>991000884089702656</t>
        </is>
      </c>
      <c r="AX213" t="inlineStr">
        <is>
          <t>991000884089702656</t>
        </is>
      </c>
      <c r="AY213" t="inlineStr">
        <is>
          <t>2271765230002656</t>
        </is>
      </c>
      <c r="AZ213" t="inlineStr">
        <is>
          <t>BOOK</t>
        </is>
      </c>
      <c r="BB213" t="inlineStr">
        <is>
          <t>9780297002765</t>
        </is>
      </c>
      <c r="BC213" t="inlineStr">
        <is>
          <t>32285003085155</t>
        </is>
      </c>
      <c r="BD213" t="inlineStr">
        <is>
          <t>893515704</t>
        </is>
      </c>
    </row>
    <row r="214">
      <c r="A214" t="inlineStr">
        <is>
          <t>No</t>
        </is>
      </c>
      <c r="B214" t="inlineStr">
        <is>
          <t>HN385 .B7577 1985, v...</t>
        </is>
      </c>
      <c r="C214" t="inlineStr">
        <is>
          <t>0                      HN 0385000B  7577        1985                                        v...</t>
        </is>
      </c>
      <c r="D214" t="inlineStr">
        <is>
          <t>The collected essays of Asa Briggs / Asa Briggs.</t>
        </is>
      </c>
      <c r="E214" t="inlineStr">
        <is>
          <t>V.1</t>
        </is>
      </c>
      <c r="F214" t="inlineStr">
        <is>
          <t>Yes</t>
        </is>
      </c>
      <c r="G214" t="inlineStr">
        <is>
          <t>1</t>
        </is>
      </c>
      <c r="H214" t="inlineStr">
        <is>
          <t>No</t>
        </is>
      </c>
      <c r="I214" t="inlineStr">
        <is>
          <t>No</t>
        </is>
      </c>
      <c r="J214" t="inlineStr">
        <is>
          <t>0</t>
        </is>
      </c>
      <c r="K214" t="inlineStr">
        <is>
          <t>Briggs, Asa, 1921-2016.</t>
        </is>
      </c>
      <c r="L214" t="inlineStr">
        <is>
          <t>Urbana : University of Illinois Press, c1985-</t>
        </is>
      </c>
      <c r="M214" t="inlineStr">
        <is>
          <t>1985</t>
        </is>
      </c>
      <c r="O214" t="inlineStr">
        <is>
          <t>eng</t>
        </is>
      </c>
      <c r="P214" t="inlineStr">
        <is>
          <t>ilu</t>
        </is>
      </c>
      <c r="R214" t="inlineStr">
        <is>
          <t xml:space="preserve">HN </t>
        </is>
      </c>
      <c r="S214" t="n">
        <v>1</v>
      </c>
      <c r="T214" t="n">
        <v>2</v>
      </c>
      <c r="U214" t="inlineStr">
        <is>
          <t>2005-11-15</t>
        </is>
      </c>
      <c r="V214" t="inlineStr">
        <is>
          <t>2005-11-15</t>
        </is>
      </c>
      <c r="W214" t="inlineStr">
        <is>
          <t>1992-10-13</t>
        </is>
      </c>
      <c r="X214" t="inlineStr">
        <is>
          <t>1992-10-13</t>
        </is>
      </c>
      <c r="Y214" t="n">
        <v>352</v>
      </c>
      <c r="Z214" t="n">
        <v>319</v>
      </c>
      <c r="AA214" t="n">
        <v>364</v>
      </c>
      <c r="AB214" t="n">
        <v>1</v>
      </c>
      <c r="AC214" t="n">
        <v>3</v>
      </c>
      <c r="AD214" t="n">
        <v>15</v>
      </c>
      <c r="AE214" t="n">
        <v>18</v>
      </c>
      <c r="AF214" t="n">
        <v>6</v>
      </c>
      <c r="AG214" t="n">
        <v>6</v>
      </c>
      <c r="AH214" t="n">
        <v>7</v>
      </c>
      <c r="AI214" t="n">
        <v>7</v>
      </c>
      <c r="AJ214" t="n">
        <v>8</v>
      </c>
      <c r="AK214" t="n">
        <v>9</v>
      </c>
      <c r="AL214" t="n">
        <v>0</v>
      </c>
      <c r="AM214" t="n">
        <v>2</v>
      </c>
      <c r="AN214" t="n">
        <v>0</v>
      </c>
      <c r="AO214" t="n">
        <v>0</v>
      </c>
      <c r="AP214" t="inlineStr">
        <is>
          <t>No</t>
        </is>
      </c>
      <c r="AQ214" t="inlineStr">
        <is>
          <t>Yes</t>
        </is>
      </c>
      <c r="AR214">
        <f>HYPERLINK("http://catalog.hathitrust.org/Record/000572181","HathiTrust Record")</f>
        <v/>
      </c>
      <c r="AS214">
        <f>HYPERLINK("https://creighton-primo.hosted.exlibrisgroup.com/primo-explore/search?tab=default_tab&amp;search_scope=EVERYTHING&amp;vid=01CRU&amp;lang=en_US&amp;offset=0&amp;query=any,contains,991000548809702656","Catalog Record")</f>
        <v/>
      </c>
      <c r="AT214">
        <f>HYPERLINK("http://www.worldcat.org/oclc/11523703","WorldCat Record")</f>
        <v/>
      </c>
      <c r="AU214" t="inlineStr">
        <is>
          <t>4029376:eng</t>
        </is>
      </c>
      <c r="AV214" t="inlineStr">
        <is>
          <t>11523703</t>
        </is>
      </c>
      <c r="AW214" t="inlineStr">
        <is>
          <t>991000548809702656</t>
        </is>
      </c>
      <c r="AX214" t="inlineStr">
        <is>
          <t>991000548809702656</t>
        </is>
      </c>
      <c r="AY214" t="inlineStr">
        <is>
          <t>2268325030002656</t>
        </is>
      </c>
      <c r="AZ214" t="inlineStr">
        <is>
          <t>BOOK</t>
        </is>
      </c>
      <c r="BB214" t="inlineStr">
        <is>
          <t>9780710800947</t>
        </is>
      </c>
      <c r="BC214" t="inlineStr">
        <is>
          <t>32285001356798</t>
        </is>
      </c>
      <c r="BD214" t="inlineStr">
        <is>
          <t>893413467</t>
        </is>
      </c>
    </row>
    <row r="215">
      <c r="A215" t="inlineStr">
        <is>
          <t>No</t>
        </is>
      </c>
      <c r="B215" t="inlineStr">
        <is>
          <t>HN385 .B7577 1985, v...</t>
        </is>
      </c>
      <c r="C215" t="inlineStr">
        <is>
          <t>0                      HN 0385000B  7577        1985                                        v...</t>
        </is>
      </c>
      <c r="D215" t="inlineStr">
        <is>
          <t>The collected essays of Asa Briggs / Asa Briggs.</t>
        </is>
      </c>
      <c r="E215" t="inlineStr">
        <is>
          <t>V.2</t>
        </is>
      </c>
      <c r="F215" t="inlineStr">
        <is>
          <t>Yes</t>
        </is>
      </c>
      <c r="G215" t="inlineStr">
        <is>
          <t>1</t>
        </is>
      </c>
      <c r="H215" t="inlineStr">
        <is>
          <t>No</t>
        </is>
      </c>
      <c r="I215" t="inlineStr">
        <is>
          <t>No</t>
        </is>
      </c>
      <c r="J215" t="inlineStr">
        <is>
          <t>0</t>
        </is>
      </c>
      <c r="K215" t="inlineStr">
        <is>
          <t>Briggs, Asa, 1921-2016.</t>
        </is>
      </c>
      <c r="L215" t="inlineStr">
        <is>
          <t>Urbana : University of Illinois Press, c1985-</t>
        </is>
      </c>
      <c r="M215" t="inlineStr">
        <is>
          <t>1985</t>
        </is>
      </c>
      <c r="O215" t="inlineStr">
        <is>
          <t>eng</t>
        </is>
      </c>
      <c r="P215" t="inlineStr">
        <is>
          <t>ilu</t>
        </is>
      </c>
      <c r="R215" t="inlineStr">
        <is>
          <t xml:space="preserve">HN </t>
        </is>
      </c>
      <c r="S215" t="n">
        <v>1</v>
      </c>
      <c r="T215" t="n">
        <v>2</v>
      </c>
      <c r="U215" t="inlineStr">
        <is>
          <t>2005-11-15</t>
        </is>
      </c>
      <c r="V215" t="inlineStr">
        <is>
          <t>2005-11-15</t>
        </is>
      </c>
      <c r="W215" t="inlineStr">
        <is>
          <t>1992-10-13</t>
        </is>
      </c>
      <c r="X215" t="inlineStr">
        <is>
          <t>1992-10-13</t>
        </is>
      </c>
      <c r="Y215" t="n">
        <v>352</v>
      </c>
      <c r="Z215" t="n">
        <v>319</v>
      </c>
      <c r="AA215" t="n">
        <v>364</v>
      </c>
      <c r="AB215" t="n">
        <v>1</v>
      </c>
      <c r="AC215" t="n">
        <v>3</v>
      </c>
      <c r="AD215" t="n">
        <v>15</v>
      </c>
      <c r="AE215" t="n">
        <v>18</v>
      </c>
      <c r="AF215" t="n">
        <v>6</v>
      </c>
      <c r="AG215" t="n">
        <v>6</v>
      </c>
      <c r="AH215" t="n">
        <v>7</v>
      </c>
      <c r="AI215" t="n">
        <v>7</v>
      </c>
      <c r="AJ215" t="n">
        <v>8</v>
      </c>
      <c r="AK215" t="n">
        <v>9</v>
      </c>
      <c r="AL215" t="n">
        <v>0</v>
      </c>
      <c r="AM215" t="n">
        <v>2</v>
      </c>
      <c r="AN215" t="n">
        <v>0</v>
      </c>
      <c r="AO215" t="n">
        <v>0</v>
      </c>
      <c r="AP215" t="inlineStr">
        <is>
          <t>No</t>
        </is>
      </c>
      <c r="AQ215" t="inlineStr">
        <is>
          <t>Yes</t>
        </is>
      </c>
      <c r="AR215">
        <f>HYPERLINK("http://catalog.hathitrust.org/Record/000572181","HathiTrust Record")</f>
        <v/>
      </c>
      <c r="AS215">
        <f>HYPERLINK("https://creighton-primo.hosted.exlibrisgroup.com/primo-explore/search?tab=default_tab&amp;search_scope=EVERYTHING&amp;vid=01CRU&amp;lang=en_US&amp;offset=0&amp;query=any,contains,991000548809702656","Catalog Record")</f>
        <v/>
      </c>
      <c r="AT215">
        <f>HYPERLINK("http://www.worldcat.org/oclc/11523703","WorldCat Record")</f>
        <v/>
      </c>
      <c r="AU215" t="inlineStr">
        <is>
          <t>4029376:eng</t>
        </is>
      </c>
      <c r="AV215" t="inlineStr">
        <is>
          <t>11523703</t>
        </is>
      </c>
      <c r="AW215" t="inlineStr">
        <is>
          <t>991000548809702656</t>
        </is>
      </c>
      <c r="AX215" t="inlineStr">
        <is>
          <t>991000548809702656</t>
        </is>
      </c>
      <c r="AY215" t="inlineStr">
        <is>
          <t>2268325030002656</t>
        </is>
      </c>
      <c r="AZ215" t="inlineStr">
        <is>
          <t>BOOK</t>
        </is>
      </c>
      <c r="BB215" t="inlineStr">
        <is>
          <t>9780710800947</t>
        </is>
      </c>
      <c r="BC215" t="inlineStr">
        <is>
          <t>32285001356806</t>
        </is>
      </c>
      <c r="BD215" t="inlineStr">
        <is>
          <t>893438358</t>
        </is>
      </c>
    </row>
    <row r="216">
      <c r="A216" t="inlineStr">
        <is>
          <t>No</t>
        </is>
      </c>
      <c r="B216" t="inlineStr">
        <is>
          <t>HN385 .F66 1973</t>
        </is>
      </c>
      <c r="C216" t="inlineStr">
        <is>
          <t>0                      HN 0385000F  66          1973</t>
        </is>
      </c>
      <c r="D216" t="inlineStr">
        <is>
          <t>The evolution of the British Welfare State : a history of social policy since the Industrial Revolution.</t>
        </is>
      </c>
      <c r="F216" t="inlineStr">
        <is>
          <t>No</t>
        </is>
      </c>
      <c r="G216" t="inlineStr">
        <is>
          <t>1</t>
        </is>
      </c>
      <c r="H216" t="inlineStr">
        <is>
          <t>No</t>
        </is>
      </c>
      <c r="I216" t="inlineStr">
        <is>
          <t>No</t>
        </is>
      </c>
      <c r="J216" t="inlineStr">
        <is>
          <t>0</t>
        </is>
      </c>
      <c r="K216" t="inlineStr">
        <is>
          <t>Fraser, Derek.</t>
        </is>
      </c>
      <c r="L216" t="inlineStr">
        <is>
          <t>New York : Barnes &amp; Noble, [c1973]</t>
        </is>
      </c>
      <c r="M216" t="inlineStr">
        <is>
          <t>1973</t>
        </is>
      </c>
      <c r="O216" t="inlineStr">
        <is>
          <t>eng</t>
        </is>
      </c>
      <c r="P216" t="inlineStr">
        <is>
          <t xml:space="preserve">xx </t>
        </is>
      </c>
      <c r="R216" t="inlineStr">
        <is>
          <t xml:space="preserve">HN </t>
        </is>
      </c>
      <c r="S216" t="n">
        <v>5</v>
      </c>
      <c r="T216" t="n">
        <v>5</v>
      </c>
      <c r="U216" t="inlineStr">
        <is>
          <t>2003-11-17</t>
        </is>
      </c>
      <c r="V216" t="inlineStr">
        <is>
          <t>2003-11-17</t>
        </is>
      </c>
      <c r="W216" t="inlineStr">
        <is>
          <t>1992-03-11</t>
        </is>
      </c>
      <c r="X216" t="inlineStr">
        <is>
          <t>1992-03-11</t>
        </is>
      </c>
      <c r="Y216" t="n">
        <v>235</v>
      </c>
      <c r="Z216" t="n">
        <v>221</v>
      </c>
      <c r="AA216" t="n">
        <v>225</v>
      </c>
      <c r="AB216" t="n">
        <v>1</v>
      </c>
      <c r="AC216" t="n">
        <v>1</v>
      </c>
      <c r="AD216" t="n">
        <v>7</v>
      </c>
      <c r="AE216" t="n">
        <v>7</v>
      </c>
      <c r="AF216" t="n">
        <v>4</v>
      </c>
      <c r="AG216" t="n">
        <v>4</v>
      </c>
      <c r="AH216" t="n">
        <v>0</v>
      </c>
      <c r="AI216" t="n">
        <v>0</v>
      </c>
      <c r="AJ216" t="n">
        <v>4</v>
      </c>
      <c r="AK216" t="n">
        <v>4</v>
      </c>
      <c r="AL216" t="n">
        <v>0</v>
      </c>
      <c r="AM216" t="n">
        <v>0</v>
      </c>
      <c r="AN216" t="n">
        <v>0</v>
      </c>
      <c r="AO216" t="n">
        <v>0</v>
      </c>
      <c r="AP216" t="inlineStr">
        <is>
          <t>No</t>
        </is>
      </c>
      <c r="AQ216" t="inlineStr">
        <is>
          <t>Yes</t>
        </is>
      </c>
      <c r="AR216">
        <f>HYPERLINK("http://catalog.hathitrust.org/Record/009910866","HathiTrust Record")</f>
        <v/>
      </c>
      <c r="AS216">
        <f>HYPERLINK("https://creighton-primo.hosted.exlibrisgroup.com/primo-explore/search?tab=default_tab&amp;search_scope=EVERYTHING&amp;vid=01CRU&amp;lang=en_US&amp;offset=0&amp;query=any,contains,991003668609702656","Catalog Record")</f>
        <v/>
      </c>
      <c r="AT216">
        <f>HYPERLINK("http://www.worldcat.org/oclc/804485","WorldCat Record")</f>
        <v/>
      </c>
      <c r="AU216" t="inlineStr">
        <is>
          <t>5575977709:eng</t>
        </is>
      </c>
      <c r="AV216" t="inlineStr">
        <is>
          <t>804485</t>
        </is>
      </c>
      <c r="AW216" t="inlineStr">
        <is>
          <t>991003668609702656</t>
        </is>
      </c>
      <c r="AX216" t="inlineStr">
        <is>
          <t>991003668609702656</t>
        </is>
      </c>
      <c r="AY216" t="inlineStr">
        <is>
          <t>2265101810002656</t>
        </is>
      </c>
      <c r="AZ216" t="inlineStr">
        <is>
          <t>BOOK</t>
        </is>
      </c>
      <c r="BB216" t="inlineStr">
        <is>
          <t>9780333111826</t>
        </is>
      </c>
      <c r="BC216" t="inlineStr">
        <is>
          <t>32285000995943</t>
        </is>
      </c>
      <c r="BD216" t="inlineStr">
        <is>
          <t>893258692</t>
        </is>
      </c>
    </row>
    <row r="217">
      <c r="A217" t="inlineStr">
        <is>
          <t>No</t>
        </is>
      </c>
      <c r="B217" t="inlineStr">
        <is>
          <t>HN385 .H38 1978</t>
        </is>
      </c>
      <c r="C217" t="inlineStr">
        <is>
          <t>0                      HN 0385000H  38          1978</t>
        </is>
      </c>
      <c r="D217" t="inlineStr">
        <is>
          <t>The development of the welfare state in Britain, 1880-1975 / J. R. Hay.</t>
        </is>
      </c>
      <c r="F217" t="inlineStr">
        <is>
          <t>No</t>
        </is>
      </c>
      <c r="G217" t="inlineStr">
        <is>
          <t>1</t>
        </is>
      </c>
      <c r="H217" t="inlineStr">
        <is>
          <t>No</t>
        </is>
      </c>
      <c r="I217" t="inlineStr">
        <is>
          <t>No</t>
        </is>
      </c>
      <c r="J217" t="inlineStr">
        <is>
          <t>0</t>
        </is>
      </c>
      <c r="K217" t="inlineStr">
        <is>
          <t>Hay, J. R. (J. Roy)</t>
        </is>
      </c>
      <c r="L217" t="inlineStr">
        <is>
          <t>New York : St. Martin's Press, 1978.</t>
        </is>
      </c>
      <c r="M217" t="inlineStr">
        <is>
          <t>1978</t>
        </is>
      </c>
      <c r="O217" t="inlineStr">
        <is>
          <t>eng</t>
        </is>
      </c>
      <c r="P217" t="inlineStr">
        <is>
          <t>nyu</t>
        </is>
      </c>
      <c r="Q217" t="inlineStr">
        <is>
          <t>Documents of modern history</t>
        </is>
      </c>
      <c r="R217" t="inlineStr">
        <is>
          <t xml:space="preserve">HN </t>
        </is>
      </c>
      <c r="S217" t="n">
        <v>1</v>
      </c>
      <c r="T217" t="n">
        <v>1</v>
      </c>
      <c r="U217" t="inlineStr">
        <is>
          <t>2005-11-12</t>
        </is>
      </c>
      <c r="V217" t="inlineStr">
        <is>
          <t>2005-11-12</t>
        </is>
      </c>
      <c r="W217" t="inlineStr">
        <is>
          <t>2000-11-13</t>
        </is>
      </c>
      <c r="X217" t="inlineStr">
        <is>
          <t>2000-11-13</t>
        </is>
      </c>
      <c r="Y217" t="n">
        <v>264</v>
      </c>
      <c r="Z217" t="n">
        <v>233</v>
      </c>
      <c r="AA217" t="n">
        <v>234</v>
      </c>
      <c r="AB217" t="n">
        <v>3</v>
      </c>
      <c r="AC217" t="n">
        <v>3</v>
      </c>
      <c r="AD217" t="n">
        <v>9</v>
      </c>
      <c r="AE217" t="n">
        <v>9</v>
      </c>
      <c r="AF217" t="n">
        <v>4</v>
      </c>
      <c r="AG217" t="n">
        <v>4</v>
      </c>
      <c r="AH217" t="n">
        <v>3</v>
      </c>
      <c r="AI217" t="n">
        <v>3</v>
      </c>
      <c r="AJ217" t="n">
        <v>5</v>
      </c>
      <c r="AK217" t="n">
        <v>5</v>
      </c>
      <c r="AL217" t="n">
        <v>2</v>
      </c>
      <c r="AM217" t="n">
        <v>2</v>
      </c>
      <c r="AN217" t="n">
        <v>0</v>
      </c>
      <c r="AO217" t="n">
        <v>0</v>
      </c>
      <c r="AP217" t="inlineStr">
        <is>
          <t>No</t>
        </is>
      </c>
      <c r="AQ217" t="inlineStr">
        <is>
          <t>No</t>
        </is>
      </c>
      <c r="AS217">
        <f>HYPERLINK("https://creighton-primo.hosted.exlibrisgroup.com/primo-explore/search?tab=default_tab&amp;search_scope=EVERYTHING&amp;vid=01CRU&amp;lang=en_US&amp;offset=0&amp;query=any,contains,991003346239702656","Catalog Record")</f>
        <v/>
      </c>
      <c r="AT217">
        <f>HYPERLINK("http://www.worldcat.org/oclc/3609115","WorldCat Record")</f>
        <v/>
      </c>
      <c r="AU217" t="inlineStr">
        <is>
          <t>3901098152:eng</t>
        </is>
      </c>
      <c r="AV217" t="inlineStr">
        <is>
          <t>3609115</t>
        </is>
      </c>
      <c r="AW217" t="inlineStr">
        <is>
          <t>991003346239702656</t>
        </is>
      </c>
      <c r="AX217" t="inlineStr">
        <is>
          <t>991003346239702656</t>
        </is>
      </c>
      <c r="AY217" t="inlineStr">
        <is>
          <t>2271674210002656</t>
        </is>
      </c>
      <c r="AZ217" t="inlineStr">
        <is>
          <t>BOOK</t>
        </is>
      </c>
      <c r="BB217" t="inlineStr">
        <is>
          <t>9780312197490</t>
        </is>
      </c>
      <c r="BC217" t="inlineStr">
        <is>
          <t>32285004265608</t>
        </is>
      </c>
      <c r="BD217" t="inlineStr">
        <is>
          <t>893227980</t>
        </is>
      </c>
    </row>
    <row r="218">
      <c r="A218" t="inlineStr">
        <is>
          <t>No</t>
        </is>
      </c>
      <c r="B218" t="inlineStr">
        <is>
          <t>HN385 .J69 1980</t>
        </is>
      </c>
      <c r="C218" t="inlineStr">
        <is>
          <t>0                      HN 0385000J  69          1980</t>
        </is>
      </c>
      <c r="D218" t="inlineStr">
        <is>
          <t>Work, society and politics : the culture of the factory in later Victorian England / Patrick Joyce.</t>
        </is>
      </c>
      <c r="F218" t="inlineStr">
        <is>
          <t>No</t>
        </is>
      </c>
      <c r="G218" t="inlineStr">
        <is>
          <t>1</t>
        </is>
      </c>
      <c r="H218" t="inlineStr">
        <is>
          <t>No</t>
        </is>
      </c>
      <c r="I218" t="inlineStr">
        <is>
          <t>No</t>
        </is>
      </c>
      <c r="J218" t="inlineStr">
        <is>
          <t>0</t>
        </is>
      </c>
      <c r="K218" t="inlineStr">
        <is>
          <t>Joyce, Patrick.</t>
        </is>
      </c>
      <c r="L218" t="inlineStr">
        <is>
          <t>New Brunswick, N. J. : Rutgers University Press, 1980.</t>
        </is>
      </c>
      <c r="M218" t="inlineStr">
        <is>
          <t>1980</t>
        </is>
      </c>
      <c r="O218" t="inlineStr">
        <is>
          <t>eng</t>
        </is>
      </c>
      <c r="P218" t="inlineStr">
        <is>
          <t>nju</t>
        </is>
      </c>
      <c r="R218" t="inlineStr">
        <is>
          <t xml:space="preserve">HN </t>
        </is>
      </c>
      <c r="S218" t="n">
        <v>5</v>
      </c>
      <c r="T218" t="n">
        <v>5</v>
      </c>
      <c r="U218" t="inlineStr">
        <is>
          <t>2005-04-11</t>
        </is>
      </c>
      <c r="V218" t="inlineStr">
        <is>
          <t>2005-04-11</t>
        </is>
      </c>
      <c r="W218" t="inlineStr">
        <is>
          <t>1990-03-27</t>
        </is>
      </c>
      <c r="X218" t="inlineStr">
        <is>
          <t>1990-03-27</t>
        </is>
      </c>
      <c r="Y218" t="n">
        <v>478</v>
      </c>
      <c r="Z218" t="n">
        <v>404</v>
      </c>
      <c r="AA218" t="n">
        <v>497</v>
      </c>
      <c r="AB218" t="n">
        <v>3</v>
      </c>
      <c r="AC218" t="n">
        <v>4</v>
      </c>
      <c r="AD218" t="n">
        <v>18</v>
      </c>
      <c r="AE218" t="n">
        <v>25</v>
      </c>
      <c r="AF218" t="n">
        <v>7</v>
      </c>
      <c r="AG218" t="n">
        <v>11</v>
      </c>
      <c r="AH218" t="n">
        <v>6</v>
      </c>
      <c r="AI218" t="n">
        <v>6</v>
      </c>
      <c r="AJ218" t="n">
        <v>9</v>
      </c>
      <c r="AK218" t="n">
        <v>13</v>
      </c>
      <c r="AL218" t="n">
        <v>2</v>
      </c>
      <c r="AM218" t="n">
        <v>3</v>
      </c>
      <c r="AN218" t="n">
        <v>0</v>
      </c>
      <c r="AO218" t="n">
        <v>0</v>
      </c>
      <c r="AP218" t="inlineStr">
        <is>
          <t>No</t>
        </is>
      </c>
      <c r="AQ218" t="inlineStr">
        <is>
          <t>Yes</t>
        </is>
      </c>
      <c r="AR218">
        <f>HYPERLINK("http://catalog.hathitrust.org/Record/008320827","HathiTrust Record")</f>
        <v/>
      </c>
      <c r="AS218">
        <f>HYPERLINK("https://creighton-primo.hosted.exlibrisgroup.com/primo-explore/search?tab=default_tab&amp;search_scope=EVERYTHING&amp;vid=01CRU&amp;lang=en_US&amp;offset=0&amp;query=any,contains,991005042479702656","Catalog Record")</f>
        <v/>
      </c>
      <c r="AT218">
        <f>HYPERLINK("http://www.worldcat.org/oclc/6808987","WorldCat Record")</f>
        <v/>
      </c>
      <c r="AU218" t="inlineStr">
        <is>
          <t>5220547:eng</t>
        </is>
      </c>
      <c r="AV218" t="inlineStr">
        <is>
          <t>6808987</t>
        </is>
      </c>
      <c r="AW218" t="inlineStr">
        <is>
          <t>991005042479702656</t>
        </is>
      </c>
      <c r="AX218" t="inlineStr">
        <is>
          <t>991005042479702656</t>
        </is>
      </c>
      <c r="AY218" t="inlineStr">
        <is>
          <t>2263091910002656</t>
        </is>
      </c>
      <c r="AZ218" t="inlineStr">
        <is>
          <t>BOOK</t>
        </is>
      </c>
      <c r="BB218" t="inlineStr">
        <is>
          <t>9780813508993</t>
        </is>
      </c>
      <c r="BC218" t="inlineStr">
        <is>
          <t>32285000097484</t>
        </is>
      </c>
      <c r="BD218" t="inlineStr">
        <is>
          <t>893902021</t>
        </is>
      </c>
    </row>
    <row r="219">
      <c r="A219" t="inlineStr">
        <is>
          <t>No</t>
        </is>
      </c>
      <c r="B219" t="inlineStr">
        <is>
          <t>HN385 .L38 1966</t>
        </is>
      </c>
      <c r="C219" t="inlineStr">
        <is>
          <t>0                      HN 0385000L  38          1966</t>
        </is>
      </c>
      <c r="D219" t="inlineStr">
        <is>
          <t>Rural England, 1086-1135 : a study of social and agrarian conditions / by Reginald Lennard.</t>
        </is>
      </c>
      <c r="F219" t="inlineStr">
        <is>
          <t>No</t>
        </is>
      </c>
      <c r="G219" t="inlineStr">
        <is>
          <t>1</t>
        </is>
      </c>
      <c r="H219" t="inlineStr">
        <is>
          <t>No</t>
        </is>
      </c>
      <c r="I219" t="inlineStr">
        <is>
          <t>No</t>
        </is>
      </c>
      <c r="J219" t="inlineStr">
        <is>
          <t>0</t>
        </is>
      </c>
      <c r="K219" t="inlineStr">
        <is>
          <t>Lennard, Reginald Vivian, 1885-1967.</t>
        </is>
      </c>
      <c r="L219" t="inlineStr">
        <is>
          <t>Oxford : Clarendon Press, 1966, c1959.</t>
        </is>
      </c>
      <c r="M219" t="inlineStr">
        <is>
          <t>1966</t>
        </is>
      </c>
      <c r="N219" t="inlineStr">
        <is>
          <t>2d impression.</t>
        </is>
      </c>
      <c r="O219" t="inlineStr">
        <is>
          <t>eng</t>
        </is>
      </c>
      <c r="P219" t="inlineStr">
        <is>
          <t>enk</t>
        </is>
      </c>
      <c r="R219" t="inlineStr">
        <is>
          <t xml:space="preserve">HN </t>
        </is>
      </c>
      <c r="S219" t="n">
        <v>1</v>
      </c>
      <c r="T219" t="n">
        <v>1</v>
      </c>
      <c r="U219" t="inlineStr">
        <is>
          <t>1998-07-31</t>
        </is>
      </c>
      <c r="V219" t="inlineStr">
        <is>
          <t>1998-07-31</t>
        </is>
      </c>
      <c r="W219" t="inlineStr">
        <is>
          <t>1992-10-13</t>
        </is>
      </c>
      <c r="X219" t="inlineStr">
        <is>
          <t>1992-10-13</t>
        </is>
      </c>
      <c r="Y219" t="n">
        <v>74</v>
      </c>
      <c r="Z219" t="n">
        <v>55</v>
      </c>
      <c r="AA219" t="n">
        <v>902</v>
      </c>
      <c r="AB219" t="n">
        <v>1</v>
      </c>
      <c r="AC219" t="n">
        <v>26</v>
      </c>
      <c r="AD219" t="n">
        <v>2</v>
      </c>
      <c r="AE219" t="n">
        <v>38</v>
      </c>
      <c r="AF219" t="n">
        <v>1</v>
      </c>
      <c r="AG219" t="n">
        <v>11</v>
      </c>
      <c r="AH219" t="n">
        <v>1</v>
      </c>
      <c r="AI219" t="n">
        <v>5</v>
      </c>
      <c r="AJ219" t="n">
        <v>1</v>
      </c>
      <c r="AK219" t="n">
        <v>18</v>
      </c>
      <c r="AL219" t="n">
        <v>0</v>
      </c>
      <c r="AM219" t="n">
        <v>11</v>
      </c>
      <c r="AN219" t="n">
        <v>0</v>
      </c>
      <c r="AO219" t="n">
        <v>1</v>
      </c>
      <c r="AP219" t="inlineStr">
        <is>
          <t>No</t>
        </is>
      </c>
      <c r="AQ219" t="inlineStr">
        <is>
          <t>No</t>
        </is>
      </c>
      <c r="AS219">
        <f>HYPERLINK("https://creighton-primo.hosted.exlibrisgroup.com/primo-explore/search?tab=default_tab&amp;search_scope=EVERYTHING&amp;vid=01CRU&amp;lang=en_US&amp;offset=0&amp;query=any,contains,991004636709702656","Catalog Record")</f>
        <v/>
      </c>
      <c r="AT219">
        <f>HYPERLINK("http://www.worldcat.org/oclc/4419769","WorldCat Record")</f>
        <v/>
      </c>
      <c r="AU219" t="inlineStr">
        <is>
          <t>432720150:eng</t>
        </is>
      </c>
      <c r="AV219" t="inlineStr">
        <is>
          <t>4419769</t>
        </is>
      </c>
      <c r="AW219" t="inlineStr">
        <is>
          <t>991004636709702656</t>
        </is>
      </c>
      <c r="AX219" t="inlineStr">
        <is>
          <t>991004636709702656</t>
        </is>
      </c>
      <c r="AY219" t="inlineStr">
        <is>
          <t>2257703540002656</t>
        </is>
      </c>
      <c r="AZ219" t="inlineStr">
        <is>
          <t>BOOK</t>
        </is>
      </c>
      <c r="BC219" t="inlineStr">
        <is>
          <t>32285001356830</t>
        </is>
      </c>
      <c r="BD219" t="inlineStr">
        <is>
          <t>893536128</t>
        </is>
      </c>
    </row>
    <row r="220">
      <c r="A220" t="inlineStr">
        <is>
          <t>No</t>
        </is>
      </c>
      <c r="B220" t="inlineStr">
        <is>
          <t>HN385 .M26</t>
        </is>
      </c>
      <c r="C220" t="inlineStr">
        <is>
          <t>0                      HN 0385000M  26</t>
        </is>
      </c>
      <c r="D220" t="inlineStr">
        <is>
          <t>Secularization and moral change: the Riddell Memorial Lectures, 36th series, delivered at the University of Newcastle upon Tyne on 11, 12 and 13 November 1964, by Alasdair MacIntyre.</t>
        </is>
      </c>
      <c r="F220" t="inlineStr">
        <is>
          <t>No</t>
        </is>
      </c>
      <c r="G220" t="inlineStr">
        <is>
          <t>1</t>
        </is>
      </c>
      <c r="H220" t="inlineStr">
        <is>
          <t>No</t>
        </is>
      </c>
      <c r="I220" t="inlineStr">
        <is>
          <t>No</t>
        </is>
      </c>
      <c r="J220" t="inlineStr">
        <is>
          <t>0</t>
        </is>
      </c>
      <c r="K220" t="inlineStr">
        <is>
          <t>MacIntyre, Alasdair C.</t>
        </is>
      </c>
      <c r="L220" t="inlineStr">
        <is>
          <t>London, Oxford U.P., 1967.</t>
        </is>
      </c>
      <c r="M220" t="inlineStr">
        <is>
          <t>1967</t>
        </is>
      </c>
      <c r="O220" t="inlineStr">
        <is>
          <t>eng</t>
        </is>
      </c>
      <c r="P220" t="inlineStr">
        <is>
          <t>enk</t>
        </is>
      </c>
      <c r="Q220" t="inlineStr">
        <is>
          <t>Newcastle-upon-Tyne. University. Publications</t>
        </is>
      </c>
      <c r="R220" t="inlineStr">
        <is>
          <t xml:space="preserve">HN </t>
        </is>
      </c>
      <c r="S220" t="n">
        <v>1</v>
      </c>
      <c r="T220" t="n">
        <v>1</v>
      </c>
      <c r="U220" t="inlineStr">
        <is>
          <t>2004-07-27</t>
        </is>
      </c>
      <c r="V220" t="inlineStr">
        <is>
          <t>2004-07-27</t>
        </is>
      </c>
      <c r="W220" t="inlineStr">
        <is>
          <t>1997-08-06</t>
        </is>
      </c>
      <c r="X220" t="inlineStr">
        <is>
          <t>1997-08-06</t>
        </is>
      </c>
      <c r="Y220" t="n">
        <v>379</v>
      </c>
      <c r="Z220" t="n">
        <v>299</v>
      </c>
      <c r="AA220" t="n">
        <v>301</v>
      </c>
      <c r="AB220" t="n">
        <v>3</v>
      </c>
      <c r="AC220" t="n">
        <v>3</v>
      </c>
      <c r="AD220" t="n">
        <v>15</v>
      </c>
      <c r="AE220" t="n">
        <v>15</v>
      </c>
      <c r="AF220" t="n">
        <v>1</v>
      </c>
      <c r="AG220" t="n">
        <v>1</v>
      </c>
      <c r="AH220" t="n">
        <v>4</v>
      </c>
      <c r="AI220" t="n">
        <v>4</v>
      </c>
      <c r="AJ220" t="n">
        <v>11</v>
      </c>
      <c r="AK220" t="n">
        <v>11</v>
      </c>
      <c r="AL220" t="n">
        <v>2</v>
      </c>
      <c r="AM220" t="n">
        <v>2</v>
      </c>
      <c r="AN220" t="n">
        <v>0</v>
      </c>
      <c r="AO220" t="n">
        <v>0</v>
      </c>
      <c r="AP220" t="inlineStr">
        <is>
          <t>No</t>
        </is>
      </c>
      <c r="AQ220" t="inlineStr">
        <is>
          <t>Yes</t>
        </is>
      </c>
      <c r="AR220">
        <f>HYPERLINK("http://catalog.hathitrust.org/Record/000975384","HathiTrust Record")</f>
        <v/>
      </c>
      <c r="AS220">
        <f>HYPERLINK("https://creighton-primo.hosted.exlibrisgroup.com/primo-explore/search?tab=default_tab&amp;search_scope=EVERYTHING&amp;vid=01CRU&amp;lang=en_US&amp;offset=0&amp;query=any,contains,991003331359702656","Catalog Record")</f>
        <v/>
      </c>
      <c r="AT220">
        <f>HYPERLINK("http://www.worldcat.org/oclc/862294","WorldCat Record")</f>
        <v/>
      </c>
      <c r="AU220" t="inlineStr">
        <is>
          <t>10200793119:eng</t>
        </is>
      </c>
      <c r="AV220" t="inlineStr">
        <is>
          <t>862294</t>
        </is>
      </c>
      <c r="AW220" t="inlineStr">
        <is>
          <t>991003331359702656</t>
        </is>
      </c>
      <c r="AX220" t="inlineStr">
        <is>
          <t>991003331359702656</t>
        </is>
      </c>
      <c r="AY220" t="inlineStr">
        <is>
          <t>2262322660002656</t>
        </is>
      </c>
      <c r="AZ220" t="inlineStr">
        <is>
          <t>BOOK</t>
        </is>
      </c>
      <c r="BC220" t="inlineStr">
        <is>
          <t>32285003085262</t>
        </is>
      </c>
      <c r="BD220" t="inlineStr">
        <is>
          <t>893780873</t>
        </is>
      </c>
    </row>
    <row r="221">
      <c r="A221" t="inlineStr">
        <is>
          <t>No</t>
        </is>
      </c>
      <c r="B221" t="inlineStr">
        <is>
          <t>HN385 .M488</t>
        </is>
      </c>
      <c r="C221" t="inlineStr">
        <is>
          <t>0                      HN 0385000M  488</t>
        </is>
      </c>
      <c r="D221" t="inlineStr">
        <is>
          <t>Medieval England : rural society and economic change, 1086-1348 / Edward Miller and John Hatcher.</t>
        </is>
      </c>
      <c r="F221" t="inlineStr">
        <is>
          <t>No</t>
        </is>
      </c>
      <c r="G221" t="inlineStr">
        <is>
          <t>1</t>
        </is>
      </c>
      <c r="H221" t="inlineStr">
        <is>
          <t>No</t>
        </is>
      </c>
      <c r="I221" t="inlineStr">
        <is>
          <t>No</t>
        </is>
      </c>
      <c r="J221" t="inlineStr">
        <is>
          <t>0</t>
        </is>
      </c>
      <c r="K221" t="inlineStr">
        <is>
          <t>Miller, Edward, 1915-2000.</t>
        </is>
      </c>
      <c r="L221" t="inlineStr">
        <is>
          <t>London ; New York : Longman, 1978.</t>
        </is>
      </c>
      <c r="M221" t="inlineStr">
        <is>
          <t>1978</t>
        </is>
      </c>
      <c r="O221" t="inlineStr">
        <is>
          <t>eng</t>
        </is>
      </c>
      <c r="P221" t="inlineStr">
        <is>
          <t>enk</t>
        </is>
      </c>
      <c r="Q221" t="inlineStr">
        <is>
          <t>Social and economic history of England</t>
        </is>
      </c>
      <c r="R221" t="inlineStr">
        <is>
          <t xml:space="preserve">HN </t>
        </is>
      </c>
      <c r="S221" t="n">
        <v>1</v>
      </c>
      <c r="T221" t="n">
        <v>1</v>
      </c>
      <c r="U221" t="inlineStr">
        <is>
          <t>1993-10-26</t>
        </is>
      </c>
      <c r="V221" t="inlineStr">
        <is>
          <t>1993-10-26</t>
        </is>
      </c>
      <c r="W221" t="inlineStr">
        <is>
          <t>1992-03-04</t>
        </is>
      </c>
      <c r="X221" t="inlineStr">
        <is>
          <t>1992-03-04</t>
        </is>
      </c>
      <c r="Y221" t="n">
        <v>496</v>
      </c>
      <c r="Z221" t="n">
        <v>260</v>
      </c>
      <c r="AA221" t="n">
        <v>302</v>
      </c>
      <c r="AB221" t="n">
        <v>3</v>
      </c>
      <c r="AC221" t="n">
        <v>3</v>
      </c>
      <c r="AD221" t="n">
        <v>18</v>
      </c>
      <c r="AE221" t="n">
        <v>19</v>
      </c>
      <c r="AF221" t="n">
        <v>2</v>
      </c>
      <c r="AG221" t="n">
        <v>2</v>
      </c>
      <c r="AH221" t="n">
        <v>4</v>
      </c>
      <c r="AI221" t="n">
        <v>4</v>
      </c>
      <c r="AJ221" t="n">
        <v>14</v>
      </c>
      <c r="AK221" t="n">
        <v>15</v>
      </c>
      <c r="AL221" t="n">
        <v>2</v>
      </c>
      <c r="AM221" t="n">
        <v>2</v>
      </c>
      <c r="AN221" t="n">
        <v>0</v>
      </c>
      <c r="AO221" t="n">
        <v>0</v>
      </c>
      <c r="AP221" t="inlineStr">
        <is>
          <t>No</t>
        </is>
      </c>
      <c r="AQ221" t="inlineStr">
        <is>
          <t>Yes</t>
        </is>
      </c>
      <c r="AR221">
        <f>HYPERLINK("http://catalog.hathitrust.org/Record/000293637","HathiTrust Record")</f>
        <v/>
      </c>
      <c r="AS221">
        <f>HYPERLINK("https://creighton-primo.hosted.exlibrisgroup.com/primo-explore/search?tab=default_tab&amp;search_scope=EVERYTHING&amp;vid=01CRU&amp;lang=en_US&amp;offset=0&amp;query=any,contains,991004363689702656","Catalog Record")</f>
        <v/>
      </c>
      <c r="AT221">
        <f>HYPERLINK("http://www.worldcat.org/oclc/3168528","WorldCat Record")</f>
        <v/>
      </c>
      <c r="AU221" t="inlineStr">
        <is>
          <t>145392016:eng</t>
        </is>
      </c>
      <c r="AV221" t="inlineStr">
        <is>
          <t>3168528</t>
        </is>
      </c>
      <c r="AW221" t="inlineStr">
        <is>
          <t>991004363689702656</t>
        </is>
      </c>
      <c r="AX221" t="inlineStr">
        <is>
          <t>991004363689702656</t>
        </is>
      </c>
      <c r="AY221" t="inlineStr">
        <is>
          <t>2263055520002656</t>
        </is>
      </c>
      <c r="AZ221" t="inlineStr">
        <is>
          <t>BOOK</t>
        </is>
      </c>
      <c r="BB221" t="inlineStr">
        <is>
          <t>9780582482180</t>
        </is>
      </c>
      <c r="BC221" t="inlineStr">
        <is>
          <t>32285000991645</t>
        </is>
      </c>
      <c r="BD221" t="inlineStr">
        <is>
          <t>893788609</t>
        </is>
      </c>
    </row>
    <row r="222">
      <c r="A222" t="inlineStr">
        <is>
          <t>No</t>
        </is>
      </c>
      <c r="B222" t="inlineStr">
        <is>
          <t>HN385 .O82</t>
        </is>
      </c>
      <c r="C222" t="inlineStr">
        <is>
          <t>0                      HN 0385000O  82</t>
        </is>
      </c>
      <c r="D222" t="inlineStr">
        <is>
          <t>The silent revolution; the industrial revolution in England as a source of cultural change, by John W. Osborne.</t>
        </is>
      </c>
      <c r="F222" t="inlineStr">
        <is>
          <t>No</t>
        </is>
      </c>
      <c r="G222" t="inlineStr">
        <is>
          <t>1</t>
        </is>
      </c>
      <c r="H222" t="inlineStr">
        <is>
          <t>No</t>
        </is>
      </c>
      <c r="I222" t="inlineStr">
        <is>
          <t>No</t>
        </is>
      </c>
      <c r="J222" t="inlineStr">
        <is>
          <t>0</t>
        </is>
      </c>
      <c r="K222" t="inlineStr">
        <is>
          <t>Osborne, John Walter, 1927-</t>
        </is>
      </c>
      <c r="L222" t="inlineStr">
        <is>
          <t>New York, Scribner [1970]</t>
        </is>
      </c>
      <c r="M222" t="inlineStr">
        <is>
          <t>1970</t>
        </is>
      </c>
      <c r="O222" t="inlineStr">
        <is>
          <t>eng</t>
        </is>
      </c>
      <c r="P222" t="inlineStr">
        <is>
          <t>nyu</t>
        </is>
      </c>
      <c r="R222" t="inlineStr">
        <is>
          <t xml:space="preserve">HN </t>
        </is>
      </c>
      <c r="S222" t="n">
        <v>2</v>
      </c>
      <c r="T222" t="n">
        <v>2</v>
      </c>
      <c r="U222" t="inlineStr">
        <is>
          <t>2006-11-08</t>
        </is>
      </c>
      <c r="V222" t="inlineStr">
        <is>
          <t>2006-11-08</t>
        </is>
      </c>
      <c r="W222" t="inlineStr">
        <is>
          <t>1997-08-06</t>
        </is>
      </c>
      <c r="X222" t="inlineStr">
        <is>
          <t>1997-08-06</t>
        </is>
      </c>
      <c r="Y222" t="n">
        <v>589</v>
      </c>
      <c r="Z222" t="n">
        <v>511</v>
      </c>
      <c r="AA222" t="n">
        <v>513</v>
      </c>
      <c r="AB222" t="n">
        <v>4</v>
      </c>
      <c r="AC222" t="n">
        <v>4</v>
      </c>
      <c r="AD222" t="n">
        <v>23</v>
      </c>
      <c r="AE222" t="n">
        <v>23</v>
      </c>
      <c r="AF222" t="n">
        <v>8</v>
      </c>
      <c r="AG222" t="n">
        <v>8</v>
      </c>
      <c r="AH222" t="n">
        <v>3</v>
      </c>
      <c r="AI222" t="n">
        <v>3</v>
      </c>
      <c r="AJ222" t="n">
        <v>14</v>
      </c>
      <c r="AK222" t="n">
        <v>14</v>
      </c>
      <c r="AL222" t="n">
        <v>3</v>
      </c>
      <c r="AM222" t="n">
        <v>3</v>
      </c>
      <c r="AN222" t="n">
        <v>0</v>
      </c>
      <c r="AO222" t="n">
        <v>0</v>
      </c>
      <c r="AP222" t="inlineStr">
        <is>
          <t>No</t>
        </is>
      </c>
      <c r="AQ222" t="inlineStr">
        <is>
          <t>Yes</t>
        </is>
      </c>
      <c r="AR222">
        <f>HYPERLINK("http://catalog.hathitrust.org/Record/000975392","HathiTrust Record")</f>
        <v/>
      </c>
      <c r="AS222">
        <f>HYPERLINK("https://creighton-primo.hosted.exlibrisgroup.com/primo-explore/search?tab=default_tab&amp;search_scope=EVERYTHING&amp;vid=01CRU&amp;lang=en_US&amp;offset=0&amp;query=any,contains,991000604229702656","Catalog Record")</f>
        <v/>
      </c>
      <c r="AT222">
        <f>HYPERLINK("http://www.worldcat.org/oclc/98547","WorldCat Record")</f>
        <v/>
      </c>
      <c r="AU222" t="inlineStr">
        <is>
          <t>1329576:eng</t>
        </is>
      </c>
      <c r="AV222" t="inlineStr">
        <is>
          <t>98547</t>
        </is>
      </c>
      <c r="AW222" t="inlineStr">
        <is>
          <t>991000604229702656</t>
        </is>
      </c>
      <c r="AX222" t="inlineStr">
        <is>
          <t>991000604229702656</t>
        </is>
      </c>
      <c r="AY222" t="inlineStr">
        <is>
          <t>2271931380002656</t>
        </is>
      </c>
      <c r="AZ222" t="inlineStr">
        <is>
          <t>BOOK</t>
        </is>
      </c>
      <c r="BC222" t="inlineStr">
        <is>
          <t>32285003085312</t>
        </is>
      </c>
      <c r="BD222" t="inlineStr">
        <is>
          <t>893689850</t>
        </is>
      </c>
    </row>
    <row r="223">
      <c r="A223" t="inlineStr">
        <is>
          <t>No</t>
        </is>
      </c>
      <c r="B223" t="inlineStr">
        <is>
          <t>HN385 .T444</t>
        </is>
      </c>
      <c r="C223" t="inlineStr">
        <is>
          <t>0                      HN 0385000T  444</t>
        </is>
      </c>
      <c r="D223" t="inlineStr">
        <is>
          <t>Responses to industrialisation : the British experience, 1780-1850 / Malcolm I. Thomis.</t>
        </is>
      </c>
      <c r="F223" t="inlineStr">
        <is>
          <t>No</t>
        </is>
      </c>
      <c r="G223" t="inlineStr">
        <is>
          <t>1</t>
        </is>
      </c>
      <c r="H223" t="inlineStr">
        <is>
          <t>No</t>
        </is>
      </c>
      <c r="I223" t="inlineStr">
        <is>
          <t>No</t>
        </is>
      </c>
      <c r="J223" t="inlineStr">
        <is>
          <t>0</t>
        </is>
      </c>
      <c r="K223" t="inlineStr">
        <is>
          <t>Thomis, Malcolm I.</t>
        </is>
      </c>
      <c r="L223" t="inlineStr">
        <is>
          <t>Newton Abbot, Eng. : David &amp; Charles ; Hamden, Conn. : Archon Books, 1976.</t>
        </is>
      </c>
      <c r="M223" t="inlineStr">
        <is>
          <t>1976</t>
        </is>
      </c>
      <c r="O223" t="inlineStr">
        <is>
          <t>eng</t>
        </is>
      </c>
      <c r="P223" t="inlineStr">
        <is>
          <t>enk</t>
        </is>
      </c>
      <c r="R223" t="inlineStr">
        <is>
          <t xml:space="preserve">HN </t>
        </is>
      </c>
      <c r="S223" t="n">
        <v>4</v>
      </c>
      <c r="T223" t="n">
        <v>4</v>
      </c>
      <c r="U223" t="inlineStr">
        <is>
          <t>1998-04-26</t>
        </is>
      </c>
      <c r="V223" t="inlineStr">
        <is>
          <t>1998-04-26</t>
        </is>
      </c>
      <c r="W223" t="inlineStr">
        <is>
          <t>1997-02-05</t>
        </is>
      </c>
      <c r="X223" t="inlineStr">
        <is>
          <t>1997-02-05</t>
        </is>
      </c>
      <c r="Y223" t="n">
        <v>430</v>
      </c>
      <c r="Z223" t="n">
        <v>298</v>
      </c>
      <c r="AA223" t="n">
        <v>304</v>
      </c>
      <c r="AB223" t="n">
        <v>3</v>
      </c>
      <c r="AC223" t="n">
        <v>3</v>
      </c>
      <c r="AD223" t="n">
        <v>13</v>
      </c>
      <c r="AE223" t="n">
        <v>13</v>
      </c>
      <c r="AF223" t="n">
        <v>5</v>
      </c>
      <c r="AG223" t="n">
        <v>5</v>
      </c>
      <c r="AH223" t="n">
        <v>2</v>
      </c>
      <c r="AI223" t="n">
        <v>2</v>
      </c>
      <c r="AJ223" t="n">
        <v>7</v>
      </c>
      <c r="AK223" t="n">
        <v>7</v>
      </c>
      <c r="AL223" t="n">
        <v>2</v>
      </c>
      <c r="AM223" t="n">
        <v>2</v>
      </c>
      <c r="AN223" t="n">
        <v>0</v>
      </c>
      <c r="AO223" t="n">
        <v>0</v>
      </c>
      <c r="AP223" t="inlineStr">
        <is>
          <t>No</t>
        </is>
      </c>
      <c r="AQ223" t="inlineStr">
        <is>
          <t>No</t>
        </is>
      </c>
      <c r="AS223">
        <f>HYPERLINK("https://creighton-primo.hosted.exlibrisgroup.com/primo-explore/search?tab=default_tab&amp;search_scope=EVERYTHING&amp;vid=01CRU&amp;lang=en_US&amp;offset=0&amp;query=any,contains,991003970729702656","Catalog Record")</f>
        <v/>
      </c>
      <c r="AT223">
        <f>HYPERLINK("http://www.worldcat.org/oclc/1992137","WorldCat Record")</f>
        <v/>
      </c>
      <c r="AU223" t="inlineStr">
        <is>
          <t>309382748:eng</t>
        </is>
      </c>
      <c r="AV223" t="inlineStr">
        <is>
          <t>1992137</t>
        </is>
      </c>
      <c r="AW223" t="inlineStr">
        <is>
          <t>991003970729702656</t>
        </is>
      </c>
      <c r="AX223" t="inlineStr">
        <is>
          <t>991003970729702656</t>
        </is>
      </c>
      <c r="AY223" t="inlineStr">
        <is>
          <t>2262205160002656</t>
        </is>
      </c>
      <c r="AZ223" t="inlineStr">
        <is>
          <t>BOOK</t>
        </is>
      </c>
      <c r="BB223" t="inlineStr">
        <is>
          <t>9780208015884</t>
        </is>
      </c>
      <c r="BC223" t="inlineStr">
        <is>
          <t>32285002423332</t>
        </is>
      </c>
      <c r="BD223" t="inlineStr">
        <is>
          <t>893875532</t>
        </is>
      </c>
    </row>
    <row r="224">
      <c r="A224" t="inlineStr">
        <is>
          <t>No</t>
        </is>
      </c>
      <c r="B224" t="inlineStr">
        <is>
          <t>HN385 .T45</t>
        </is>
      </c>
      <c r="C224" t="inlineStr">
        <is>
          <t>0                      HN 0385000T  45</t>
        </is>
      </c>
      <c r="D224" t="inlineStr">
        <is>
          <t>English landed society in the nineteenth century / by F.M.L. Thompson.</t>
        </is>
      </c>
      <c r="F224" t="inlineStr">
        <is>
          <t>No</t>
        </is>
      </c>
      <c r="G224" t="inlineStr">
        <is>
          <t>1</t>
        </is>
      </c>
      <c r="H224" t="inlineStr">
        <is>
          <t>No</t>
        </is>
      </c>
      <c r="I224" t="inlineStr">
        <is>
          <t>No</t>
        </is>
      </c>
      <c r="J224" t="inlineStr">
        <is>
          <t>0</t>
        </is>
      </c>
      <c r="K224" t="inlineStr">
        <is>
          <t>Thompson, F. M. L. (Francis Michael Longstreth)</t>
        </is>
      </c>
      <c r="L224" t="inlineStr">
        <is>
          <t>London : Routledge &amp; Kegan Paul ; Toronto : University of Toronto Press, c1963.</t>
        </is>
      </c>
      <c r="M224" t="inlineStr">
        <is>
          <t>1963</t>
        </is>
      </c>
      <c r="O224" t="inlineStr">
        <is>
          <t>eng</t>
        </is>
      </c>
      <c r="P224" t="inlineStr">
        <is>
          <t>enk</t>
        </is>
      </c>
      <c r="Q224" t="inlineStr">
        <is>
          <t>Studies in social history</t>
        </is>
      </c>
      <c r="R224" t="inlineStr">
        <is>
          <t xml:space="preserve">HN </t>
        </is>
      </c>
      <c r="S224" t="n">
        <v>2</v>
      </c>
      <c r="T224" t="n">
        <v>2</v>
      </c>
      <c r="U224" t="inlineStr">
        <is>
          <t>1998-04-26</t>
        </is>
      </c>
      <c r="V224" t="inlineStr">
        <is>
          <t>1998-04-26</t>
        </is>
      </c>
      <c r="W224" t="inlineStr">
        <is>
          <t>1992-02-19</t>
        </is>
      </c>
      <c r="X224" t="inlineStr">
        <is>
          <t>1992-02-19</t>
        </is>
      </c>
      <c r="Y224" t="n">
        <v>764</v>
      </c>
      <c r="Z224" t="n">
        <v>536</v>
      </c>
      <c r="AA224" t="n">
        <v>562</v>
      </c>
      <c r="AB224" t="n">
        <v>6</v>
      </c>
      <c r="AC224" t="n">
        <v>7</v>
      </c>
      <c r="AD224" t="n">
        <v>30</v>
      </c>
      <c r="AE224" t="n">
        <v>32</v>
      </c>
      <c r="AF224" t="n">
        <v>10</v>
      </c>
      <c r="AG224" t="n">
        <v>10</v>
      </c>
      <c r="AH224" t="n">
        <v>7</v>
      </c>
      <c r="AI224" t="n">
        <v>7</v>
      </c>
      <c r="AJ224" t="n">
        <v>16</v>
      </c>
      <c r="AK224" t="n">
        <v>17</v>
      </c>
      <c r="AL224" t="n">
        <v>5</v>
      </c>
      <c r="AM224" t="n">
        <v>6</v>
      </c>
      <c r="AN224" t="n">
        <v>0</v>
      </c>
      <c r="AO224" t="n">
        <v>0</v>
      </c>
      <c r="AP224" t="inlineStr">
        <is>
          <t>No</t>
        </is>
      </c>
      <c r="AQ224" t="inlineStr">
        <is>
          <t>No</t>
        </is>
      </c>
      <c r="AS224">
        <f>HYPERLINK("https://creighton-primo.hosted.exlibrisgroup.com/primo-explore/search?tab=default_tab&amp;search_scope=EVERYTHING&amp;vid=01CRU&amp;lang=en_US&amp;offset=0&amp;query=any,contains,991002002659702656","Catalog Record")</f>
        <v/>
      </c>
      <c r="AT224">
        <f>HYPERLINK("http://www.worldcat.org/oclc/256923","WorldCat Record")</f>
        <v/>
      </c>
      <c r="AU224" t="inlineStr">
        <is>
          <t>1356442:eng</t>
        </is>
      </c>
      <c r="AV224" t="inlineStr">
        <is>
          <t>256923</t>
        </is>
      </c>
      <c r="AW224" t="inlineStr">
        <is>
          <t>991002002659702656</t>
        </is>
      </c>
      <c r="AX224" t="inlineStr">
        <is>
          <t>991002002659702656</t>
        </is>
      </c>
      <c r="AY224" t="inlineStr">
        <is>
          <t>2272259550002656</t>
        </is>
      </c>
      <c r="AZ224" t="inlineStr">
        <is>
          <t>BOOK</t>
        </is>
      </c>
      <c r="BC224" t="inlineStr">
        <is>
          <t>32285000971266</t>
        </is>
      </c>
      <c r="BD224" t="inlineStr">
        <is>
          <t>893256757</t>
        </is>
      </c>
    </row>
    <row r="225">
      <c r="A225" t="inlineStr">
        <is>
          <t>No</t>
        </is>
      </c>
      <c r="B225" t="inlineStr">
        <is>
          <t>HN385.5 .C37 1989</t>
        </is>
      </c>
      <c r="C225" t="inlineStr">
        <is>
          <t>0                      HN 0385500C  37          1989</t>
        </is>
      </c>
      <c r="D225" t="inlineStr">
        <is>
          <t>United Kingdom? : class, race and gender since the war / E. Ellis Cashmore.</t>
        </is>
      </c>
      <c r="F225" t="inlineStr">
        <is>
          <t>No</t>
        </is>
      </c>
      <c r="G225" t="inlineStr">
        <is>
          <t>1</t>
        </is>
      </c>
      <c r="H225" t="inlineStr">
        <is>
          <t>No</t>
        </is>
      </c>
      <c r="I225" t="inlineStr">
        <is>
          <t>No</t>
        </is>
      </c>
      <c r="J225" t="inlineStr">
        <is>
          <t>0</t>
        </is>
      </c>
      <c r="K225" t="inlineStr">
        <is>
          <t>Cashmore, Ellis.</t>
        </is>
      </c>
      <c r="L225" t="inlineStr">
        <is>
          <t>London ; Boston : Unwin Hyman, 1989.</t>
        </is>
      </c>
      <c r="M225" t="inlineStr">
        <is>
          <t>1989</t>
        </is>
      </c>
      <c r="O225" t="inlineStr">
        <is>
          <t>eng</t>
        </is>
      </c>
      <c r="P225" t="inlineStr">
        <is>
          <t>enk</t>
        </is>
      </c>
      <c r="R225" t="inlineStr">
        <is>
          <t xml:space="preserve">HN </t>
        </is>
      </c>
      <c r="S225" t="n">
        <v>4</v>
      </c>
      <c r="T225" t="n">
        <v>4</v>
      </c>
      <c r="U225" t="inlineStr">
        <is>
          <t>1996-04-04</t>
        </is>
      </c>
      <c r="V225" t="inlineStr">
        <is>
          <t>1996-04-04</t>
        </is>
      </c>
      <c r="W225" t="inlineStr">
        <is>
          <t>1990-01-14</t>
        </is>
      </c>
      <c r="X225" t="inlineStr">
        <is>
          <t>1990-01-14</t>
        </is>
      </c>
      <c r="Y225" t="n">
        <v>267</v>
      </c>
      <c r="Z225" t="n">
        <v>137</v>
      </c>
      <c r="AA225" t="n">
        <v>152</v>
      </c>
      <c r="AB225" t="n">
        <v>2</v>
      </c>
      <c r="AC225" t="n">
        <v>2</v>
      </c>
      <c r="AD225" t="n">
        <v>4</v>
      </c>
      <c r="AE225" t="n">
        <v>4</v>
      </c>
      <c r="AF225" t="n">
        <v>0</v>
      </c>
      <c r="AG225" t="n">
        <v>0</v>
      </c>
      <c r="AH225" t="n">
        <v>1</v>
      </c>
      <c r="AI225" t="n">
        <v>1</v>
      </c>
      <c r="AJ225" t="n">
        <v>2</v>
      </c>
      <c r="AK225" t="n">
        <v>2</v>
      </c>
      <c r="AL225" t="n">
        <v>1</v>
      </c>
      <c r="AM225" t="n">
        <v>1</v>
      </c>
      <c r="AN225" t="n">
        <v>0</v>
      </c>
      <c r="AO225" t="n">
        <v>0</v>
      </c>
      <c r="AP225" t="inlineStr">
        <is>
          <t>No</t>
        </is>
      </c>
      <c r="AQ225" t="inlineStr">
        <is>
          <t>Yes</t>
        </is>
      </c>
      <c r="AR225">
        <f>HYPERLINK("http://catalog.hathitrust.org/Record/001296808","HathiTrust Record")</f>
        <v/>
      </c>
      <c r="AS225">
        <f>HYPERLINK("https://creighton-primo.hosted.exlibrisgroup.com/primo-explore/search?tab=default_tab&amp;search_scope=EVERYTHING&amp;vid=01CRU&amp;lang=en_US&amp;offset=0&amp;query=any,contains,991001308989702656","Catalog Record")</f>
        <v/>
      </c>
      <c r="AT225">
        <f>HYPERLINK("http://www.worldcat.org/oclc/18135312","WorldCat Record")</f>
        <v/>
      </c>
      <c r="AU225" t="inlineStr">
        <is>
          <t>16931802:eng</t>
        </is>
      </c>
      <c r="AV225" t="inlineStr">
        <is>
          <t>18135312</t>
        </is>
      </c>
      <c r="AW225" t="inlineStr">
        <is>
          <t>991001308989702656</t>
        </is>
      </c>
      <c r="AX225" t="inlineStr">
        <is>
          <t>991001308989702656</t>
        </is>
      </c>
      <c r="AY225" t="inlineStr">
        <is>
          <t>2260503200002656</t>
        </is>
      </c>
      <c r="AZ225" t="inlineStr">
        <is>
          <t>BOOK</t>
        </is>
      </c>
      <c r="BB225" t="inlineStr">
        <is>
          <t>9780043050156</t>
        </is>
      </c>
      <c r="BC225" t="inlineStr">
        <is>
          <t>32285000027762</t>
        </is>
      </c>
      <c r="BD225" t="inlineStr">
        <is>
          <t>893408030</t>
        </is>
      </c>
    </row>
    <row r="226">
      <c r="A226" t="inlineStr">
        <is>
          <t>No</t>
        </is>
      </c>
      <c r="B226" t="inlineStr">
        <is>
          <t>HN388 .S58</t>
        </is>
      </c>
      <c r="C226" t="inlineStr">
        <is>
          <t>0                      HN 0388000S  58</t>
        </is>
      </c>
      <c r="D226" t="inlineStr">
        <is>
          <t>Social change in the industrial revolution / by Neil J. Smelser. --</t>
        </is>
      </c>
      <c r="F226" t="inlineStr">
        <is>
          <t>No</t>
        </is>
      </c>
      <c r="G226" t="inlineStr">
        <is>
          <t>1</t>
        </is>
      </c>
      <c r="H226" t="inlineStr">
        <is>
          <t>No</t>
        </is>
      </c>
      <c r="I226" t="inlineStr">
        <is>
          <t>No</t>
        </is>
      </c>
      <c r="J226" t="inlineStr">
        <is>
          <t>0</t>
        </is>
      </c>
      <c r="K226" t="inlineStr">
        <is>
          <t>Smelser, Neil J.</t>
        </is>
      </c>
      <c r="L226" t="inlineStr">
        <is>
          <t>Chicago : The University of Chicago Press, 1959.</t>
        </is>
      </c>
      <c r="M226" t="inlineStr">
        <is>
          <t>1959</t>
        </is>
      </c>
      <c r="O226" t="inlineStr">
        <is>
          <t>eng</t>
        </is>
      </c>
      <c r="P226" t="inlineStr">
        <is>
          <t>ilu</t>
        </is>
      </c>
      <c r="R226" t="inlineStr">
        <is>
          <t xml:space="preserve">HN </t>
        </is>
      </c>
      <c r="S226" t="n">
        <v>16</v>
      </c>
      <c r="T226" t="n">
        <v>16</v>
      </c>
      <c r="U226" t="inlineStr">
        <is>
          <t>2006-11-08</t>
        </is>
      </c>
      <c r="V226" t="inlineStr">
        <is>
          <t>2006-11-08</t>
        </is>
      </c>
      <c r="W226" t="inlineStr">
        <is>
          <t>1992-10-13</t>
        </is>
      </c>
      <c r="X226" t="inlineStr">
        <is>
          <t>1992-10-13</t>
        </is>
      </c>
      <c r="Y226" t="n">
        <v>761</v>
      </c>
      <c r="Z226" t="n">
        <v>696</v>
      </c>
      <c r="AA226" t="n">
        <v>735</v>
      </c>
      <c r="AB226" t="n">
        <v>3</v>
      </c>
      <c r="AC226" t="n">
        <v>3</v>
      </c>
      <c r="AD226" t="n">
        <v>33</v>
      </c>
      <c r="AE226" t="n">
        <v>33</v>
      </c>
      <c r="AF226" t="n">
        <v>13</v>
      </c>
      <c r="AG226" t="n">
        <v>13</v>
      </c>
      <c r="AH226" t="n">
        <v>8</v>
      </c>
      <c r="AI226" t="n">
        <v>8</v>
      </c>
      <c r="AJ226" t="n">
        <v>19</v>
      </c>
      <c r="AK226" t="n">
        <v>19</v>
      </c>
      <c r="AL226" t="n">
        <v>2</v>
      </c>
      <c r="AM226" t="n">
        <v>2</v>
      </c>
      <c r="AN226" t="n">
        <v>0</v>
      </c>
      <c r="AO226" t="n">
        <v>0</v>
      </c>
      <c r="AP226" t="inlineStr">
        <is>
          <t>No</t>
        </is>
      </c>
      <c r="AQ226" t="inlineStr">
        <is>
          <t>No</t>
        </is>
      </c>
      <c r="AS226">
        <f>HYPERLINK("https://creighton-primo.hosted.exlibrisgroup.com/primo-explore/search?tab=default_tab&amp;search_scope=EVERYTHING&amp;vid=01CRU&amp;lang=en_US&amp;offset=0&amp;query=any,contains,991002002569702656","Catalog Record")</f>
        <v/>
      </c>
      <c r="AT226">
        <f>HYPERLINK("http://www.worldcat.org/oclc/259719","WorldCat Record")</f>
        <v/>
      </c>
      <c r="AU226" t="inlineStr">
        <is>
          <t>4160682746:eng</t>
        </is>
      </c>
      <c r="AV226" t="inlineStr">
        <is>
          <t>259719</t>
        </is>
      </c>
      <c r="AW226" t="inlineStr">
        <is>
          <t>991002002569702656</t>
        </is>
      </c>
      <c r="AX226" t="inlineStr">
        <is>
          <t>991002002569702656</t>
        </is>
      </c>
      <c r="AY226" t="inlineStr">
        <is>
          <t>2272248400002656</t>
        </is>
      </c>
      <c r="AZ226" t="inlineStr">
        <is>
          <t>BOOK</t>
        </is>
      </c>
      <c r="BC226" t="inlineStr">
        <is>
          <t>32285001356921</t>
        </is>
      </c>
      <c r="BD226" t="inlineStr">
        <is>
          <t>893444910</t>
        </is>
      </c>
    </row>
    <row r="227">
      <c r="A227" t="inlineStr">
        <is>
          <t>No</t>
        </is>
      </c>
      <c r="B227" t="inlineStr">
        <is>
          <t>HN389 .C48 2002</t>
        </is>
      </c>
      <c r="C227" t="inlineStr">
        <is>
          <t>0                      HN 0389000C  48          2002</t>
        </is>
      </c>
      <c r="D227" t="inlineStr">
        <is>
          <t>Utopia of usurers / by G.K. Chesterton.</t>
        </is>
      </c>
      <c r="F227" t="inlineStr">
        <is>
          <t>No</t>
        </is>
      </c>
      <c r="G227" t="inlineStr">
        <is>
          <t>1</t>
        </is>
      </c>
      <c r="H227" t="inlineStr">
        <is>
          <t>No</t>
        </is>
      </c>
      <c r="I227" t="inlineStr">
        <is>
          <t>No</t>
        </is>
      </c>
      <c r="J227" t="inlineStr">
        <is>
          <t>0</t>
        </is>
      </c>
      <c r="K227" t="inlineStr">
        <is>
          <t>Chesterton, G. K. (Gilbert Keith), 1874-1936.</t>
        </is>
      </c>
      <c r="L227" t="inlineStr">
        <is>
          <t>Norfolk, VA : IHS Press, 2002.</t>
        </is>
      </c>
      <c r="M227" t="inlineStr">
        <is>
          <t>2002</t>
        </is>
      </c>
      <c r="O227" t="inlineStr">
        <is>
          <t>eng</t>
        </is>
      </c>
      <c r="P227" t="inlineStr">
        <is>
          <t>vau</t>
        </is>
      </c>
      <c r="R227" t="inlineStr">
        <is>
          <t xml:space="preserve">HN </t>
        </is>
      </c>
      <c r="S227" t="n">
        <v>2</v>
      </c>
      <c r="T227" t="n">
        <v>2</v>
      </c>
      <c r="U227" t="inlineStr">
        <is>
          <t>2008-01-21</t>
        </is>
      </c>
      <c r="V227" t="inlineStr">
        <is>
          <t>2008-01-21</t>
        </is>
      </c>
      <c r="W227" t="inlineStr">
        <is>
          <t>2003-02-20</t>
        </is>
      </c>
      <c r="X227" t="inlineStr">
        <is>
          <t>2003-02-20</t>
        </is>
      </c>
      <c r="Y227" t="n">
        <v>41</v>
      </c>
      <c r="Z227" t="n">
        <v>35</v>
      </c>
      <c r="AA227" t="n">
        <v>41</v>
      </c>
      <c r="AB227" t="n">
        <v>1</v>
      </c>
      <c r="AC227" t="n">
        <v>1</v>
      </c>
      <c r="AD227" t="n">
        <v>2</v>
      </c>
      <c r="AE227" t="n">
        <v>2</v>
      </c>
      <c r="AF227" t="n">
        <v>1</v>
      </c>
      <c r="AG227" t="n">
        <v>1</v>
      </c>
      <c r="AH227" t="n">
        <v>1</v>
      </c>
      <c r="AI227" t="n">
        <v>1</v>
      </c>
      <c r="AJ227" t="n">
        <v>1</v>
      </c>
      <c r="AK227" t="n">
        <v>1</v>
      </c>
      <c r="AL227" t="n">
        <v>0</v>
      </c>
      <c r="AM227" t="n">
        <v>0</v>
      </c>
      <c r="AN227" t="n">
        <v>0</v>
      </c>
      <c r="AO227" t="n">
        <v>0</v>
      </c>
      <c r="AP227" t="inlineStr">
        <is>
          <t>No</t>
        </is>
      </c>
      <c r="AQ227" t="inlineStr">
        <is>
          <t>No</t>
        </is>
      </c>
      <c r="AS227">
        <f>HYPERLINK("https://creighton-primo.hosted.exlibrisgroup.com/primo-explore/search?tab=default_tab&amp;search_scope=EVERYTHING&amp;vid=01CRU&amp;lang=en_US&amp;offset=0&amp;query=any,contains,991003927349702656","Catalog Record")</f>
        <v/>
      </c>
      <c r="AT227">
        <f>HYPERLINK("http://www.worldcat.org/oclc/50064455","WorldCat Record")</f>
        <v/>
      </c>
      <c r="AU227" t="inlineStr">
        <is>
          <t>1556368:eng</t>
        </is>
      </c>
      <c r="AV227" t="inlineStr">
        <is>
          <t>50064455</t>
        </is>
      </c>
      <c r="AW227" t="inlineStr">
        <is>
          <t>991003927349702656</t>
        </is>
      </c>
      <c r="AX227" t="inlineStr">
        <is>
          <t>991003927349702656</t>
        </is>
      </c>
      <c r="AY227" t="inlineStr">
        <is>
          <t>2272417560002656</t>
        </is>
      </c>
      <c r="AZ227" t="inlineStr">
        <is>
          <t>BOOK</t>
        </is>
      </c>
      <c r="BB227" t="inlineStr">
        <is>
          <t>9780971489431</t>
        </is>
      </c>
      <c r="BC227" t="inlineStr">
        <is>
          <t>32285004699806</t>
        </is>
      </c>
      <c r="BD227" t="inlineStr">
        <is>
          <t>893324729</t>
        </is>
      </c>
    </row>
    <row r="228">
      <c r="A228" t="inlineStr">
        <is>
          <t>No</t>
        </is>
      </c>
      <c r="B228" t="inlineStr">
        <is>
          <t>HN39.I7 B3 1972</t>
        </is>
      </c>
      <c r="C228" t="inlineStr">
        <is>
          <t>0                      HN 0039000I  7                  B  3           1972</t>
        </is>
      </c>
      <c r="D228" t="inlineStr">
        <is>
          <t>The Northern Ireland problem: a study in group relations, by Denis P. Barritt and Charles F. Carter.</t>
        </is>
      </c>
      <c r="F228" t="inlineStr">
        <is>
          <t>No</t>
        </is>
      </c>
      <c r="G228" t="inlineStr">
        <is>
          <t>1</t>
        </is>
      </c>
      <c r="H228" t="inlineStr">
        <is>
          <t>No</t>
        </is>
      </c>
      <c r="I228" t="inlineStr">
        <is>
          <t>No</t>
        </is>
      </c>
      <c r="J228" t="inlineStr">
        <is>
          <t>0</t>
        </is>
      </c>
      <c r="K228" t="inlineStr">
        <is>
          <t>Barritt, Denis P.</t>
        </is>
      </c>
      <c r="L228" t="inlineStr">
        <is>
          <t>London, New York, Oxford University Press, 1972.</t>
        </is>
      </c>
      <c r="M228" t="inlineStr">
        <is>
          <t>1972</t>
        </is>
      </c>
      <c r="N228" t="inlineStr">
        <is>
          <t>2nd ed.</t>
        </is>
      </c>
      <c r="O228" t="inlineStr">
        <is>
          <t>eng</t>
        </is>
      </c>
      <c r="P228" t="inlineStr">
        <is>
          <t>enk</t>
        </is>
      </c>
      <c r="Q228" t="inlineStr">
        <is>
          <t>Oxford paperbacks</t>
        </is>
      </c>
      <c r="R228" t="inlineStr">
        <is>
          <t xml:space="preserve">HN </t>
        </is>
      </c>
      <c r="S228" t="n">
        <v>3</v>
      </c>
      <c r="T228" t="n">
        <v>3</v>
      </c>
      <c r="U228" t="inlineStr">
        <is>
          <t>1999-12-03</t>
        </is>
      </c>
      <c r="V228" t="inlineStr">
        <is>
          <t>1999-12-03</t>
        </is>
      </c>
      <c r="W228" t="inlineStr">
        <is>
          <t>1997-08-04</t>
        </is>
      </c>
      <c r="X228" t="inlineStr">
        <is>
          <t>1997-08-04</t>
        </is>
      </c>
      <c r="Y228" t="n">
        <v>402</v>
      </c>
      <c r="Z228" t="n">
        <v>274</v>
      </c>
      <c r="AA228" t="n">
        <v>460</v>
      </c>
      <c r="AB228" t="n">
        <v>3</v>
      </c>
      <c r="AC228" t="n">
        <v>4</v>
      </c>
      <c r="AD228" t="n">
        <v>11</v>
      </c>
      <c r="AE228" t="n">
        <v>27</v>
      </c>
      <c r="AF228" t="n">
        <v>2</v>
      </c>
      <c r="AG228" t="n">
        <v>10</v>
      </c>
      <c r="AH228" t="n">
        <v>4</v>
      </c>
      <c r="AI228" t="n">
        <v>5</v>
      </c>
      <c r="AJ228" t="n">
        <v>5</v>
      </c>
      <c r="AK228" t="n">
        <v>15</v>
      </c>
      <c r="AL228" t="n">
        <v>2</v>
      </c>
      <c r="AM228" t="n">
        <v>3</v>
      </c>
      <c r="AN228" t="n">
        <v>1</v>
      </c>
      <c r="AO228" t="n">
        <v>2</v>
      </c>
      <c r="AP228" t="inlineStr">
        <is>
          <t>No</t>
        </is>
      </c>
      <c r="AQ228" t="inlineStr">
        <is>
          <t>No</t>
        </is>
      </c>
      <c r="AS228">
        <f>HYPERLINK("https://creighton-primo.hosted.exlibrisgroup.com/primo-explore/search?tab=default_tab&amp;search_scope=EVERYTHING&amp;vid=01CRU&amp;lang=en_US&amp;offset=0&amp;query=any,contains,991002898269702656","Catalog Record")</f>
        <v/>
      </c>
      <c r="AT228">
        <f>HYPERLINK("http://www.worldcat.org/oclc/515488","WorldCat Record")</f>
        <v/>
      </c>
      <c r="AU228" t="inlineStr">
        <is>
          <t>1493117:eng</t>
        </is>
      </c>
      <c r="AV228" t="inlineStr">
        <is>
          <t>515488</t>
        </is>
      </c>
      <c r="AW228" t="inlineStr">
        <is>
          <t>991002898269702656</t>
        </is>
      </c>
      <c r="AX228" t="inlineStr">
        <is>
          <t>991002898269702656</t>
        </is>
      </c>
      <c r="AY228" t="inlineStr">
        <is>
          <t>2263919580002656</t>
        </is>
      </c>
      <c r="AZ228" t="inlineStr">
        <is>
          <t>BOOK</t>
        </is>
      </c>
      <c r="BB228" t="inlineStr">
        <is>
          <t>9780192850584</t>
        </is>
      </c>
      <c r="BC228" t="inlineStr">
        <is>
          <t>32285003041380</t>
        </is>
      </c>
      <c r="BD228" t="inlineStr">
        <is>
          <t>893352581</t>
        </is>
      </c>
    </row>
    <row r="229">
      <c r="A229" t="inlineStr">
        <is>
          <t>No</t>
        </is>
      </c>
      <c r="B229" t="inlineStr">
        <is>
          <t>HN39.U6 H6 1940a</t>
        </is>
      </c>
      <c r="C229" t="inlineStr">
        <is>
          <t>0                      HN 0039000U  6                  H  6           1940a</t>
        </is>
      </c>
      <c r="D229" t="inlineStr">
        <is>
          <t>The rise of the social gospel in American Protestantism, 1865-1915 / by Charles Howard Hopkins.</t>
        </is>
      </c>
      <c r="F229" t="inlineStr">
        <is>
          <t>No</t>
        </is>
      </c>
      <c r="G229" t="inlineStr">
        <is>
          <t>1</t>
        </is>
      </c>
      <c r="H229" t="inlineStr">
        <is>
          <t>No</t>
        </is>
      </c>
      <c r="I229" t="inlineStr">
        <is>
          <t>No</t>
        </is>
      </c>
      <c r="J229" t="inlineStr">
        <is>
          <t>0</t>
        </is>
      </c>
      <c r="K229" t="inlineStr">
        <is>
          <t>Hopkins, Charles Howard, 1905-</t>
        </is>
      </c>
      <c r="L229" t="inlineStr">
        <is>
          <t>New Haven : Yale Universiy Press, 1967, c1940.</t>
        </is>
      </c>
      <c r="M229" t="inlineStr">
        <is>
          <t>1967</t>
        </is>
      </c>
      <c r="O229" t="inlineStr">
        <is>
          <t>eng</t>
        </is>
      </c>
      <c r="P229" t="inlineStr">
        <is>
          <t>ctu</t>
        </is>
      </c>
      <c r="Q229" t="inlineStr">
        <is>
          <t>Yale studies in religious education ; XIV</t>
        </is>
      </c>
      <c r="R229" t="inlineStr">
        <is>
          <t xml:space="preserve">HN </t>
        </is>
      </c>
      <c r="S229" t="n">
        <v>5</v>
      </c>
      <c r="T229" t="n">
        <v>5</v>
      </c>
      <c r="U229" t="inlineStr">
        <is>
          <t>2007-11-29</t>
        </is>
      </c>
      <c r="V229" t="inlineStr">
        <is>
          <t>2007-11-29</t>
        </is>
      </c>
      <c r="W229" t="inlineStr">
        <is>
          <t>1990-04-04</t>
        </is>
      </c>
      <c r="X229" t="inlineStr">
        <is>
          <t>1990-04-04</t>
        </is>
      </c>
      <c r="Y229" t="n">
        <v>271</v>
      </c>
      <c r="Z229" t="n">
        <v>232</v>
      </c>
      <c r="AA229" t="n">
        <v>1058</v>
      </c>
      <c r="AB229" t="n">
        <v>2</v>
      </c>
      <c r="AC229" t="n">
        <v>6</v>
      </c>
      <c r="AD229" t="n">
        <v>11</v>
      </c>
      <c r="AE229" t="n">
        <v>47</v>
      </c>
      <c r="AF229" t="n">
        <v>4</v>
      </c>
      <c r="AG229" t="n">
        <v>22</v>
      </c>
      <c r="AH229" t="n">
        <v>2</v>
      </c>
      <c r="AI229" t="n">
        <v>8</v>
      </c>
      <c r="AJ229" t="n">
        <v>6</v>
      </c>
      <c r="AK229" t="n">
        <v>24</v>
      </c>
      <c r="AL229" t="n">
        <v>1</v>
      </c>
      <c r="AM229" t="n">
        <v>5</v>
      </c>
      <c r="AN229" t="n">
        <v>0</v>
      </c>
      <c r="AO229" t="n">
        <v>0</v>
      </c>
      <c r="AP229" t="inlineStr">
        <is>
          <t>No</t>
        </is>
      </c>
      <c r="AQ229" t="inlineStr">
        <is>
          <t>Yes</t>
        </is>
      </c>
      <c r="AR229">
        <f>HYPERLINK("http://catalog.hathitrust.org/Record/102092483","HathiTrust Record")</f>
        <v/>
      </c>
      <c r="AS229">
        <f>HYPERLINK("https://creighton-primo.hosted.exlibrisgroup.com/primo-explore/search?tab=default_tab&amp;search_scope=EVERYTHING&amp;vid=01CRU&amp;lang=en_US&amp;offset=0&amp;query=any,contains,991000748899702656","Catalog Record")</f>
        <v/>
      </c>
      <c r="AT229">
        <f>HYPERLINK("http://www.worldcat.org/oclc/1424503","WorldCat Record")</f>
        <v/>
      </c>
      <c r="AU229" t="inlineStr">
        <is>
          <t>1858225:eng</t>
        </is>
      </c>
      <c r="AV229" t="inlineStr">
        <is>
          <t>1424503</t>
        </is>
      </c>
      <c r="AW229" t="inlineStr">
        <is>
          <t>991000748899702656</t>
        </is>
      </c>
      <c r="AX229" t="inlineStr">
        <is>
          <t>991000748899702656</t>
        </is>
      </c>
      <c r="AY229" t="inlineStr">
        <is>
          <t>2255201710002656</t>
        </is>
      </c>
      <c r="AZ229" t="inlineStr">
        <is>
          <t>BOOK</t>
        </is>
      </c>
      <c r="BC229" t="inlineStr">
        <is>
          <t>32285000101658</t>
        </is>
      </c>
      <c r="BD229" t="inlineStr">
        <is>
          <t>893714869</t>
        </is>
      </c>
    </row>
    <row r="230">
      <c r="A230" t="inlineStr">
        <is>
          <t>No</t>
        </is>
      </c>
      <c r="B230" t="inlineStr">
        <is>
          <t>HN39.U6 H8 1987</t>
        </is>
      </c>
      <c r="C230" t="inlineStr">
        <is>
          <t>0                      HN 0039000U  6                  H  8           1987</t>
        </is>
      </c>
      <c r="D230" t="inlineStr">
        <is>
          <t>Social revelation : profound challenge for Christian spirituality / James E. Hug.</t>
        </is>
      </c>
      <c r="F230" t="inlineStr">
        <is>
          <t>No</t>
        </is>
      </c>
      <c r="G230" t="inlineStr">
        <is>
          <t>1</t>
        </is>
      </c>
      <c r="H230" t="inlineStr">
        <is>
          <t>No</t>
        </is>
      </c>
      <c r="I230" t="inlineStr">
        <is>
          <t>No</t>
        </is>
      </c>
      <c r="J230" t="inlineStr">
        <is>
          <t>0</t>
        </is>
      </c>
      <c r="K230" t="inlineStr">
        <is>
          <t>Hug, James E.</t>
        </is>
      </c>
      <c r="L230" t="inlineStr">
        <is>
          <t>Washington, D.C. : Center of Concern, 1987.</t>
        </is>
      </c>
      <c r="M230" t="inlineStr">
        <is>
          <t>1987</t>
        </is>
      </c>
      <c r="O230" t="inlineStr">
        <is>
          <t>eng</t>
        </is>
      </c>
      <c r="P230" t="inlineStr">
        <is>
          <t>dcu</t>
        </is>
      </c>
      <c r="Q230" t="inlineStr">
        <is>
          <t>Energies for social transformation</t>
        </is>
      </c>
      <c r="R230" t="inlineStr">
        <is>
          <t xml:space="preserve">HN </t>
        </is>
      </c>
      <c r="S230" t="n">
        <v>4</v>
      </c>
      <c r="T230" t="n">
        <v>4</v>
      </c>
      <c r="U230" t="inlineStr">
        <is>
          <t>2003-04-11</t>
        </is>
      </c>
      <c r="V230" t="inlineStr">
        <is>
          <t>2003-04-11</t>
        </is>
      </c>
      <c r="W230" t="inlineStr">
        <is>
          <t>1991-05-15</t>
        </is>
      </c>
      <c r="X230" t="inlineStr">
        <is>
          <t>1991-05-15</t>
        </is>
      </c>
      <c r="Y230" t="n">
        <v>40</v>
      </c>
      <c r="Z230" t="n">
        <v>28</v>
      </c>
      <c r="AA230" t="n">
        <v>28</v>
      </c>
      <c r="AB230" t="n">
        <v>1</v>
      </c>
      <c r="AC230" t="n">
        <v>1</v>
      </c>
      <c r="AD230" t="n">
        <v>4</v>
      </c>
      <c r="AE230" t="n">
        <v>4</v>
      </c>
      <c r="AF230" t="n">
        <v>0</v>
      </c>
      <c r="AG230" t="n">
        <v>0</v>
      </c>
      <c r="AH230" t="n">
        <v>1</v>
      </c>
      <c r="AI230" t="n">
        <v>1</v>
      </c>
      <c r="AJ230" t="n">
        <v>3</v>
      </c>
      <c r="AK230" t="n">
        <v>3</v>
      </c>
      <c r="AL230" t="n">
        <v>0</v>
      </c>
      <c r="AM230" t="n">
        <v>0</v>
      </c>
      <c r="AN230" t="n">
        <v>0</v>
      </c>
      <c r="AO230" t="n">
        <v>0</v>
      </c>
      <c r="AP230" t="inlineStr">
        <is>
          <t>No</t>
        </is>
      </c>
      <c r="AQ230" t="inlineStr">
        <is>
          <t>No</t>
        </is>
      </c>
      <c r="AS230">
        <f>HYPERLINK("https://creighton-primo.hosted.exlibrisgroup.com/primo-explore/search?tab=default_tab&amp;search_scope=EVERYTHING&amp;vid=01CRU&amp;lang=en_US&amp;offset=0&amp;query=any,contains,991001879729702656","Catalog Record")</f>
        <v/>
      </c>
      <c r="AT230">
        <f>HYPERLINK("http://www.worldcat.org/oclc/23717700","WorldCat Record")</f>
        <v/>
      </c>
      <c r="AU230" t="inlineStr">
        <is>
          <t>25053302:eng</t>
        </is>
      </c>
      <c r="AV230" t="inlineStr">
        <is>
          <t>23717700</t>
        </is>
      </c>
      <c r="AW230" t="inlineStr">
        <is>
          <t>991001879729702656</t>
        </is>
      </c>
      <c r="AX230" t="inlineStr">
        <is>
          <t>991001879729702656</t>
        </is>
      </c>
      <c r="AY230" t="inlineStr">
        <is>
          <t>2259319140002656</t>
        </is>
      </c>
      <c r="AZ230" t="inlineStr">
        <is>
          <t>BOOK</t>
        </is>
      </c>
      <c r="BB230" t="inlineStr">
        <is>
          <t>9780934255059</t>
        </is>
      </c>
      <c r="BC230" t="inlineStr">
        <is>
          <t>32285000579465</t>
        </is>
      </c>
      <c r="BD230" t="inlineStr">
        <is>
          <t>893529303</t>
        </is>
      </c>
    </row>
    <row r="231">
      <c r="A231" t="inlineStr">
        <is>
          <t>No</t>
        </is>
      </c>
      <c r="B231" t="inlineStr">
        <is>
          <t>HN39.U6 R45 2007</t>
        </is>
      </c>
      <c r="C231" t="inlineStr">
        <is>
          <t>0                      HN 0039000U  6                  R  45          2007</t>
        </is>
      </c>
      <c r="D231" t="inlineStr">
        <is>
          <t>Religious interests in community conflict : beyond the culture wars / Paul A. Djupe and Laura R. Olson, editors.</t>
        </is>
      </c>
      <c r="F231" t="inlineStr">
        <is>
          <t>No</t>
        </is>
      </c>
      <c r="G231" t="inlineStr">
        <is>
          <t>1</t>
        </is>
      </c>
      <c r="H231" t="inlineStr">
        <is>
          <t>No</t>
        </is>
      </c>
      <c r="I231" t="inlineStr">
        <is>
          <t>No</t>
        </is>
      </c>
      <c r="J231" t="inlineStr">
        <is>
          <t>0</t>
        </is>
      </c>
      <c r="L231" t="inlineStr">
        <is>
          <t>Waco, Tex. : Baylor University Press, c2007.</t>
        </is>
      </c>
      <c r="M231" t="inlineStr">
        <is>
          <t>2007</t>
        </is>
      </c>
      <c r="O231" t="inlineStr">
        <is>
          <t>eng</t>
        </is>
      </c>
      <c r="P231" t="inlineStr">
        <is>
          <t>txu</t>
        </is>
      </c>
      <c r="R231" t="inlineStr">
        <is>
          <t xml:space="preserve">HN </t>
        </is>
      </c>
      <c r="S231" t="n">
        <v>1</v>
      </c>
      <c r="T231" t="n">
        <v>1</v>
      </c>
      <c r="U231" t="inlineStr">
        <is>
          <t>2008-05-15</t>
        </is>
      </c>
      <c r="V231" t="inlineStr">
        <is>
          <t>2008-05-15</t>
        </is>
      </c>
      <c r="W231" t="inlineStr">
        <is>
          <t>2008-05-15</t>
        </is>
      </c>
      <c r="X231" t="inlineStr">
        <is>
          <t>2008-05-15</t>
        </is>
      </c>
      <c r="Y231" t="n">
        <v>319</v>
      </c>
      <c r="Z231" t="n">
        <v>282</v>
      </c>
      <c r="AA231" t="n">
        <v>1099</v>
      </c>
      <c r="AB231" t="n">
        <v>1</v>
      </c>
      <c r="AC231" t="n">
        <v>15</v>
      </c>
      <c r="AD231" t="n">
        <v>16</v>
      </c>
      <c r="AE231" t="n">
        <v>42</v>
      </c>
      <c r="AF231" t="n">
        <v>9</v>
      </c>
      <c r="AG231" t="n">
        <v>15</v>
      </c>
      <c r="AH231" t="n">
        <v>4</v>
      </c>
      <c r="AI231" t="n">
        <v>8</v>
      </c>
      <c r="AJ231" t="n">
        <v>9</v>
      </c>
      <c r="AK231" t="n">
        <v>15</v>
      </c>
      <c r="AL231" t="n">
        <v>0</v>
      </c>
      <c r="AM231" t="n">
        <v>12</v>
      </c>
      <c r="AN231" t="n">
        <v>0</v>
      </c>
      <c r="AO231" t="n">
        <v>1</v>
      </c>
      <c r="AP231" t="inlineStr">
        <is>
          <t>No</t>
        </is>
      </c>
      <c r="AQ231" t="inlineStr">
        <is>
          <t>No</t>
        </is>
      </c>
      <c r="AS231">
        <f>HYPERLINK("https://creighton-primo.hosted.exlibrisgroup.com/primo-explore/search?tab=default_tab&amp;search_scope=EVERYTHING&amp;vid=01CRU&amp;lang=en_US&amp;offset=0&amp;query=any,contains,991005115319702656","Catalog Record")</f>
        <v/>
      </c>
      <c r="AT231">
        <f>HYPERLINK("http://www.worldcat.org/oclc/72699190","WorldCat Record")</f>
        <v/>
      </c>
      <c r="AU231" t="inlineStr">
        <is>
          <t>802252772:eng</t>
        </is>
      </c>
      <c r="AV231" t="inlineStr">
        <is>
          <t>72699190</t>
        </is>
      </c>
      <c r="AW231" t="inlineStr">
        <is>
          <t>991005115319702656</t>
        </is>
      </c>
      <c r="AX231" t="inlineStr">
        <is>
          <t>991005115319702656</t>
        </is>
      </c>
      <c r="AY231" t="inlineStr">
        <is>
          <t>2266901020002656</t>
        </is>
      </c>
      <c r="AZ231" t="inlineStr">
        <is>
          <t>BOOK</t>
        </is>
      </c>
      <c r="BB231" t="inlineStr">
        <is>
          <t>9781932792515</t>
        </is>
      </c>
      <c r="BC231" t="inlineStr">
        <is>
          <t>32285005408710</t>
        </is>
      </c>
      <c r="BD231" t="inlineStr">
        <is>
          <t>893613150</t>
        </is>
      </c>
    </row>
    <row r="232">
      <c r="A232" t="inlineStr">
        <is>
          <t>No</t>
        </is>
      </c>
      <c r="B232" t="inlineStr">
        <is>
          <t>HN390 .W5</t>
        </is>
      </c>
      <c r="C232" t="inlineStr">
        <is>
          <t>0                      HN 0390000W  5</t>
        </is>
      </c>
      <c r="D232" t="inlineStr">
        <is>
          <t>The coming of the welfare state, by Gertrude Williams.</t>
        </is>
      </c>
      <c r="F232" t="inlineStr">
        <is>
          <t>No</t>
        </is>
      </c>
      <c r="G232" t="inlineStr">
        <is>
          <t>1</t>
        </is>
      </c>
      <c r="H232" t="inlineStr">
        <is>
          <t>No</t>
        </is>
      </c>
      <c r="I232" t="inlineStr">
        <is>
          <t>No</t>
        </is>
      </c>
      <c r="J232" t="inlineStr">
        <is>
          <t>0</t>
        </is>
      </c>
      <c r="K232" t="inlineStr">
        <is>
          <t>Williams, Gertrude, 1897-1983.</t>
        </is>
      </c>
      <c r="L232" t="inlineStr">
        <is>
          <t>London, Allen &amp; Unwin, 1967.</t>
        </is>
      </c>
      <c r="M232" t="inlineStr">
        <is>
          <t>1967</t>
        </is>
      </c>
      <c r="O232" t="inlineStr">
        <is>
          <t>eng</t>
        </is>
      </c>
      <c r="P232" t="inlineStr">
        <is>
          <t>enk</t>
        </is>
      </c>
      <c r="Q232" t="inlineStr">
        <is>
          <t>20th century histories, no. 4</t>
        </is>
      </c>
      <c r="R232" t="inlineStr">
        <is>
          <t xml:space="preserve">HN </t>
        </is>
      </c>
      <c r="S232" t="n">
        <v>3</v>
      </c>
      <c r="T232" t="n">
        <v>3</v>
      </c>
      <c r="U232" t="inlineStr">
        <is>
          <t>1998-10-06</t>
        </is>
      </c>
      <c r="V232" t="inlineStr">
        <is>
          <t>1998-10-06</t>
        </is>
      </c>
      <c r="W232" t="inlineStr">
        <is>
          <t>1997-08-07</t>
        </is>
      </c>
      <c r="X232" t="inlineStr">
        <is>
          <t>1997-08-07</t>
        </is>
      </c>
      <c r="Y232" t="n">
        <v>329</v>
      </c>
      <c r="Z232" t="n">
        <v>213</v>
      </c>
      <c r="AA232" t="n">
        <v>214</v>
      </c>
      <c r="AB232" t="n">
        <v>3</v>
      </c>
      <c r="AC232" t="n">
        <v>3</v>
      </c>
      <c r="AD232" t="n">
        <v>15</v>
      </c>
      <c r="AE232" t="n">
        <v>15</v>
      </c>
      <c r="AF232" t="n">
        <v>4</v>
      </c>
      <c r="AG232" t="n">
        <v>4</v>
      </c>
      <c r="AH232" t="n">
        <v>3</v>
      </c>
      <c r="AI232" t="n">
        <v>3</v>
      </c>
      <c r="AJ232" t="n">
        <v>8</v>
      </c>
      <c r="AK232" t="n">
        <v>8</v>
      </c>
      <c r="AL232" t="n">
        <v>2</v>
      </c>
      <c r="AM232" t="n">
        <v>2</v>
      </c>
      <c r="AN232" t="n">
        <v>0</v>
      </c>
      <c r="AO232" t="n">
        <v>0</v>
      </c>
      <c r="AP232" t="inlineStr">
        <is>
          <t>No</t>
        </is>
      </c>
      <c r="AQ232" t="inlineStr">
        <is>
          <t>Yes</t>
        </is>
      </c>
      <c r="AR232">
        <f>HYPERLINK("http://catalog.hathitrust.org/Record/000975487","HathiTrust Record")</f>
        <v/>
      </c>
      <c r="AS232">
        <f>HYPERLINK("https://creighton-primo.hosted.exlibrisgroup.com/primo-explore/search?tab=default_tab&amp;search_scope=EVERYTHING&amp;vid=01CRU&amp;lang=en_US&amp;offset=0&amp;query=any,contains,991001955759702656","Catalog Record")</f>
        <v/>
      </c>
      <c r="AT232">
        <f>HYPERLINK("http://www.worldcat.org/oclc/253106","WorldCat Record")</f>
        <v/>
      </c>
      <c r="AU232" t="inlineStr">
        <is>
          <t>350462381:eng</t>
        </is>
      </c>
      <c r="AV232" t="inlineStr">
        <is>
          <t>253106</t>
        </is>
      </c>
      <c r="AW232" t="inlineStr">
        <is>
          <t>991001955759702656</t>
        </is>
      </c>
      <c r="AX232" t="inlineStr">
        <is>
          <t>991001955759702656</t>
        </is>
      </c>
      <c r="AY232" t="inlineStr">
        <is>
          <t>2267263990002656</t>
        </is>
      </c>
      <c r="AZ232" t="inlineStr">
        <is>
          <t>BOOK</t>
        </is>
      </c>
      <c r="BC232" t="inlineStr">
        <is>
          <t>32285003085650</t>
        </is>
      </c>
      <c r="BD232" t="inlineStr">
        <is>
          <t>893615516</t>
        </is>
      </c>
    </row>
    <row r="233">
      <c r="A233" t="inlineStr">
        <is>
          <t>No</t>
        </is>
      </c>
      <c r="B233" t="inlineStr">
        <is>
          <t>HN398.B5 R4</t>
        </is>
      </c>
      <c r="C233" t="inlineStr">
        <is>
          <t>0                      HN 0398000B  5                  R  4</t>
        </is>
      </c>
      <c r="D233" t="inlineStr">
        <is>
          <t>Race, community and conflict: a study of Sparkbrook [by] John Rex and Robert Moore with the assistance of Alan Shuttleworth [and] Jennifer Williams.</t>
        </is>
      </c>
      <c r="F233" t="inlineStr">
        <is>
          <t>No</t>
        </is>
      </c>
      <c r="G233" t="inlineStr">
        <is>
          <t>1</t>
        </is>
      </c>
      <c r="H233" t="inlineStr">
        <is>
          <t>No</t>
        </is>
      </c>
      <c r="I233" t="inlineStr">
        <is>
          <t>No</t>
        </is>
      </c>
      <c r="J233" t="inlineStr">
        <is>
          <t>0</t>
        </is>
      </c>
      <c r="K233" t="inlineStr">
        <is>
          <t>Rex, John.</t>
        </is>
      </c>
      <c r="L233" t="inlineStr">
        <is>
          <t>London, New York, published for the Institute of Race Relations by Oxford U.P., 1967.</t>
        </is>
      </c>
      <c r="M233" t="inlineStr">
        <is>
          <t>1967</t>
        </is>
      </c>
      <c r="O233" t="inlineStr">
        <is>
          <t>eng</t>
        </is>
      </c>
      <c r="P233" t="inlineStr">
        <is>
          <t>enk</t>
        </is>
      </c>
      <c r="R233" t="inlineStr">
        <is>
          <t xml:space="preserve">HN </t>
        </is>
      </c>
      <c r="S233" t="n">
        <v>1</v>
      </c>
      <c r="T233" t="n">
        <v>1</v>
      </c>
      <c r="U233" t="inlineStr">
        <is>
          <t>1998-04-15</t>
        </is>
      </c>
      <c r="V233" t="inlineStr">
        <is>
          <t>1998-04-15</t>
        </is>
      </c>
      <c r="W233" t="inlineStr">
        <is>
          <t>1997-08-07</t>
        </is>
      </c>
      <c r="X233" t="inlineStr">
        <is>
          <t>1997-08-07</t>
        </is>
      </c>
      <c r="Y233" t="n">
        <v>441</v>
      </c>
      <c r="Z233" t="n">
        <v>319</v>
      </c>
      <c r="AA233" t="n">
        <v>350</v>
      </c>
      <c r="AB233" t="n">
        <v>2</v>
      </c>
      <c r="AC233" t="n">
        <v>2</v>
      </c>
      <c r="AD233" t="n">
        <v>15</v>
      </c>
      <c r="AE233" t="n">
        <v>15</v>
      </c>
      <c r="AF233" t="n">
        <v>4</v>
      </c>
      <c r="AG233" t="n">
        <v>4</v>
      </c>
      <c r="AH233" t="n">
        <v>3</v>
      </c>
      <c r="AI233" t="n">
        <v>3</v>
      </c>
      <c r="AJ233" t="n">
        <v>11</v>
      </c>
      <c r="AK233" t="n">
        <v>11</v>
      </c>
      <c r="AL233" t="n">
        <v>1</v>
      </c>
      <c r="AM233" t="n">
        <v>1</v>
      </c>
      <c r="AN233" t="n">
        <v>0</v>
      </c>
      <c r="AO233" t="n">
        <v>0</v>
      </c>
      <c r="AP233" t="inlineStr">
        <is>
          <t>No</t>
        </is>
      </c>
      <c r="AQ233" t="inlineStr">
        <is>
          <t>Yes</t>
        </is>
      </c>
      <c r="AR233">
        <f>HYPERLINK("http://catalog.hathitrust.org/Record/000975492","HathiTrust Record")</f>
        <v/>
      </c>
      <c r="AS233">
        <f>HYPERLINK("https://creighton-primo.hosted.exlibrisgroup.com/primo-explore/search?tab=default_tab&amp;search_scope=EVERYTHING&amp;vid=01CRU&amp;lang=en_US&amp;offset=0&amp;query=any,contains,991002044279702656","Catalog Record")</f>
        <v/>
      </c>
      <c r="AT233">
        <f>HYPERLINK("http://www.worldcat.org/oclc/261269","WorldCat Record")</f>
        <v/>
      </c>
      <c r="AU233" t="inlineStr">
        <is>
          <t>1089793075:eng</t>
        </is>
      </c>
      <c r="AV233" t="inlineStr">
        <is>
          <t>261269</t>
        </is>
      </c>
      <c r="AW233" t="inlineStr">
        <is>
          <t>991002044279702656</t>
        </is>
      </c>
      <c r="AX233" t="inlineStr">
        <is>
          <t>991002044279702656</t>
        </is>
      </c>
      <c r="AY233" t="inlineStr">
        <is>
          <t>2265554560002656</t>
        </is>
      </c>
      <c r="AZ233" t="inlineStr">
        <is>
          <t>BOOK</t>
        </is>
      </c>
      <c r="BC233" t="inlineStr">
        <is>
          <t>32285003085668</t>
        </is>
      </c>
      <c r="BD233" t="inlineStr">
        <is>
          <t>893804164</t>
        </is>
      </c>
    </row>
    <row r="234">
      <c r="A234" t="inlineStr">
        <is>
          <t>No</t>
        </is>
      </c>
      <c r="B234" t="inlineStr">
        <is>
          <t>HN398.E5 P66 1982</t>
        </is>
      </c>
      <c r="C234" t="inlineStr">
        <is>
          <t>0                      HN 0398000E  5                  P  66          1982</t>
        </is>
      </c>
      <c r="D234" t="inlineStr">
        <is>
          <t>Popular culture and custom in nineteenth-century England / edited by Robert D. Storch.</t>
        </is>
      </c>
      <c r="F234" t="inlineStr">
        <is>
          <t>No</t>
        </is>
      </c>
      <c r="G234" t="inlineStr">
        <is>
          <t>1</t>
        </is>
      </c>
      <c r="H234" t="inlineStr">
        <is>
          <t>No</t>
        </is>
      </c>
      <c r="I234" t="inlineStr">
        <is>
          <t>No</t>
        </is>
      </c>
      <c r="J234" t="inlineStr">
        <is>
          <t>0</t>
        </is>
      </c>
      <c r="L234" t="inlineStr">
        <is>
          <t>London : Croom Helm ; New York : St. Martin's Press, 1982.</t>
        </is>
      </c>
      <c r="M234" t="inlineStr">
        <is>
          <t>1982</t>
        </is>
      </c>
      <c r="O234" t="inlineStr">
        <is>
          <t>eng</t>
        </is>
      </c>
      <c r="P234" t="inlineStr">
        <is>
          <t>enk</t>
        </is>
      </c>
      <c r="R234" t="inlineStr">
        <is>
          <t xml:space="preserve">HN </t>
        </is>
      </c>
      <c r="S234" t="n">
        <v>1</v>
      </c>
      <c r="T234" t="n">
        <v>1</v>
      </c>
      <c r="U234" t="inlineStr">
        <is>
          <t>2003-04-24</t>
        </is>
      </c>
      <c r="V234" t="inlineStr">
        <is>
          <t>2003-04-24</t>
        </is>
      </c>
      <c r="W234" t="inlineStr">
        <is>
          <t>1992-10-13</t>
        </is>
      </c>
      <c r="X234" t="inlineStr">
        <is>
          <t>1992-10-13</t>
        </is>
      </c>
      <c r="Y234" t="n">
        <v>640</v>
      </c>
      <c r="Z234" t="n">
        <v>464</v>
      </c>
      <c r="AA234" t="n">
        <v>485</v>
      </c>
      <c r="AB234" t="n">
        <v>3</v>
      </c>
      <c r="AC234" t="n">
        <v>3</v>
      </c>
      <c r="AD234" t="n">
        <v>16</v>
      </c>
      <c r="AE234" t="n">
        <v>16</v>
      </c>
      <c r="AF234" t="n">
        <v>3</v>
      </c>
      <c r="AG234" t="n">
        <v>3</v>
      </c>
      <c r="AH234" t="n">
        <v>6</v>
      </c>
      <c r="AI234" t="n">
        <v>6</v>
      </c>
      <c r="AJ234" t="n">
        <v>10</v>
      </c>
      <c r="AK234" t="n">
        <v>10</v>
      </c>
      <c r="AL234" t="n">
        <v>2</v>
      </c>
      <c r="AM234" t="n">
        <v>2</v>
      </c>
      <c r="AN234" t="n">
        <v>0</v>
      </c>
      <c r="AO234" t="n">
        <v>0</v>
      </c>
      <c r="AP234" t="inlineStr">
        <is>
          <t>No</t>
        </is>
      </c>
      <c r="AQ234" t="inlineStr">
        <is>
          <t>No</t>
        </is>
      </c>
      <c r="AS234">
        <f>HYPERLINK("https://creighton-primo.hosted.exlibrisgroup.com/primo-explore/search?tab=default_tab&amp;search_scope=EVERYTHING&amp;vid=01CRU&amp;lang=en_US&amp;offset=0&amp;query=any,contains,991005229719702656","Catalog Record")</f>
        <v/>
      </c>
      <c r="AT234">
        <f>HYPERLINK("http://www.worldcat.org/oclc/8306701","WorldCat Record")</f>
        <v/>
      </c>
      <c r="AU234" t="inlineStr">
        <is>
          <t>443678:eng</t>
        </is>
      </c>
      <c r="AV234" t="inlineStr">
        <is>
          <t>8306701</t>
        </is>
      </c>
      <c r="AW234" t="inlineStr">
        <is>
          <t>991005229719702656</t>
        </is>
      </c>
      <c r="AX234" t="inlineStr">
        <is>
          <t>991005229719702656</t>
        </is>
      </c>
      <c r="AY234" t="inlineStr">
        <is>
          <t>2269295130002656</t>
        </is>
      </c>
      <c r="AZ234" t="inlineStr">
        <is>
          <t>BOOK</t>
        </is>
      </c>
      <c r="BB234" t="inlineStr">
        <is>
          <t>9780312630331</t>
        </is>
      </c>
      <c r="BC234" t="inlineStr">
        <is>
          <t>32285001356970</t>
        </is>
      </c>
      <c r="BD234" t="inlineStr">
        <is>
          <t>893326422</t>
        </is>
      </c>
    </row>
    <row r="235">
      <c r="A235" t="inlineStr">
        <is>
          <t>No</t>
        </is>
      </c>
      <c r="B235" t="inlineStr">
        <is>
          <t>HN398.E5 T48 1993</t>
        </is>
      </c>
      <c r="C235" t="inlineStr">
        <is>
          <t>0                      HN 0398000E  5                  T  48          1993</t>
        </is>
      </c>
      <c r="D235" t="inlineStr">
        <is>
          <t>Customs in common / E.P. Thompson.</t>
        </is>
      </c>
      <c r="F235" t="inlineStr">
        <is>
          <t>No</t>
        </is>
      </c>
      <c r="G235" t="inlineStr">
        <is>
          <t>1</t>
        </is>
      </c>
      <c r="H235" t="inlineStr">
        <is>
          <t>No</t>
        </is>
      </c>
      <c r="I235" t="inlineStr">
        <is>
          <t>No</t>
        </is>
      </c>
      <c r="J235" t="inlineStr">
        <is>
          <t>0</t>
        </is>
      </c>
      <c r="K235" t="inlineStr">
        <is>
          <t>Thompson, E. P. (Edward Palmer), 1924-1993.</t>
        </is>
      </c>
      <c r="L235" t="inlineStr">
        <is>
          <t>New York : New Press : Distributed by W.W. Norton, c1993.</t>
        </is>
      </c>
      <c r="M235" t="inlineStr">
        <is>
          <t>1993</t>
        </is>
      </c>
      <c r="O235" t="inlineStr">
        <is>
          <t>eng</t>
        </is>
      </c>
      <c r="P235" t="inlineStr">
        <is>
          <t>nyu</t>
        </is>
      </c>
      <c r="R235" t="inlineStr">
        <is>
          <t xml:space="preserve">HN </t>
        </is>
      </c>
      <c r="S235" t="n">
        <v>1</v>
      </c>
      <c r="T235" t="n">
        <v>1</v>
      </c>
      <c r="U235" t="inlineStr">
        <is>
          <t>2005-10-27</t>
        </is>
      </c>
      <c r="V235" t="inlineStr">
        <is>
          <t>2005-10-27</t>
        </is>
      </c>
      <c r="W235" t="inlineStr">
        <is>
          <t>2005-10-27</t>
        </is>
      </c>
      <c r="X235" t="inlineStr">
        <is>
          <t>2005-10-27</t>
        </is>
      </c>
      <c r="Y235" t="n">
        <v>154</v>
      </c>
      <c r="Z235" t="n">
        <v>105</v>
      </c>
      <c r="AA235" t="n">
        <v>541</v>
      </c>
      <c r="AB235" t="n">
        <v>1</v>
      </c>
      <c r="AC235" t="n">
        <v>3</v>
      </c>
      <c r="AD235" t="n">
        <v>6</v>
      </c>
      <c r="AE235" t="n">
        <v>30</v>
      </c>
      <c r="AF235" t="n">
        <v>3</v>
      </c>
      <c r="AG235" t="n">
        <v>11</v>
      </c>
      <c r="AH235" t="n">
        <v>1</v>
      </c>
      <c r="AI235" t="n">
        <v>10</v>
      </c>
      <c r="AJ235" t="n">
        <v>4</v>
      </c>
      <c r="AK235" t="n">
        <v>16</v>
      </c>
      <c r="AL235" t="n">
        <v>0</v>
      </c>
      <c r="AM235" t="n">
        <v>2</v>
      </c>
      <c r="AN235" t="n">
        <v>0</v>
      </c>
      <c r="AO235" t="n">
        <v>0</v>
      </c>
      <c r="AP235" t="inlineStr">
        <is>
          <t>No</t>
        </is>
      </c>
      <c r="AQ235" t="inlineStr">
        <is>
          <t>No</t>
        </is>
      </c>
      <c r="AS235">
        <f>HYPERLINK("https://creighton-primo.hosted.exlibrisgroup.com/primo-explore/search?tab=default_tab&amp;search_scope=EVERYTHING&amp;vid=01CRU&amp;lang=en_US&amp;offset=0&amp;query=any,contains,991004685979702656","Catalog Record")</f>
        <v/>
      </c>
      <c r="AT235">
        <f>HYPERLINK("http://www.worldcat.org/oclc/30559109","WorldCat Record")</f>
        <v/>
      </c>
      <c r="AU235" t="inlineStr">
        <is>
          <t>157285164:eng</t>
        </is>
      </c>
      <c r="AV235" t="inlineStr">
        <is>
          <t>30559109</t>
        </is>
      </c>
      <c r="AW235" t="inlineStr">
        <is>
          <t>991004685979702656</t>
        </is>
      </c>
      <c r="AX235" t="inlineStr">
        <is>
          <t>991004685979702656</t>
        </is>
      </c>
      <c r="AY235" t="inlineStr">
        <is>
          <t>2264193760002656</t>
        </is>
      </c>
      <c r="AZ235" t="inlineStr">
        <is>
          <t>BOOK</t>
        </is>
      </c>
      <c r="BB235" t="inlineStr">
        <is>
          <t>9781565840744</t>
        </is>
      </c>
      <c r="BC235" t="inlineStr">
        <is>
          <t>32285005143234</t>
        </is>
      </c>
      <c r="BD235" t="inlineStr">
        <is>
          <t>893424077</t>
        </is>
      </c>
    </row>
    <row r="236">
      <c r="A236" t="inlineStr">
        <is>
          <t>No</t>
        </is>
      </c>
      <c r="B236" t="inlineStr">
        <is>
          <t>HN398.E5 W35 1984</t>
        </is>
      </c>
      <c r="C236" t="inlineStr">
        <is>
          <t>0                      HN 0398000E  5                  W  35          1984</t>
        </is>
      </c>
      <c r="D236" t="inlineStr">
        <is>
          <t>English urban life, 1776-1851 / James Walvin.</t>
        </is>
      </c>
      <c r="F236" t="inlineStr">
        <is>
          <t>No</t>
        </is>
      </c>
      <c r="G236" t="inlineStr">
        <is>
          <t>1</t>
        </is>
      </c>
      <c r="H236" t="inlineStr">
        <is>
          <t>No</t>
        </is>
      </c>
      <c r="I236" t="inlineStr">
        <is>
          <t>No</t>
        </is>
      </c>
      <c r="J236" t="inlineStr">
        <is>
          <t>0</t>
        </is>
      </c>
      <c r="K236" t="inlineStr">
        <is>
          <t>Walvin, James.</t>
        </is>
      </c>
      <c r="L236" t="inlineStr">
        <is>
          <t>London ; Dover, N.H., USA : Hutchinson, 1984.</t>
        </is>
      </c>
      <c r="M236" t="inlineStr">
        <is>
          <t>1984</t>
        </is>
      </c>
      <c r="O236" t="inlineStr">
        <is>
          <t>eng</t>
        </is>
      </c>
      <c r="P236" t="inlineStr">
        <is>
          <t>enk</t>
        </is>
      </c>
      <c r="Q236" t="inlineStr">
        <is>
          <t>Hutchinson social history of England</t>
        </is>
      </c>
      <c r="R236" t="inlineStr">
        <is>
          <t xml:space="preserve">HN </t>
        </is>
      </c>
      <c r="S236" t="n">
        <v>5</v>
      </c>
      <c r="T236" t="n">
        <v>5</v>
      </c>
      <c r="U236" t="inlineStr">
        <is>
          <t>1997-10-29</t>
        </is>
      </c>
      <c r="V236" t="inlineStr">
        <is>
          <t>1997-10-29</t>
        </is>
      </c>
      <c r="W236" t="inlineStr">
        <is>
          <t>1990-05-01</t>
        </is>
      </c>
      <c r="X236" t="inlineStr">
        <is>
          <t>1990-05-01</t>
        </is>
      </c>
      <c r="Y236" t="n">
        <v>482</v>
      </c>
      <c r="Z236" t="n">
        <v>339</v>
      </c>
      <c r="AA236" t="n">
        <v>361</v>
      </c>
      <c r="AB236" t="n">
        <v>1</v>
      </c>
      <c r="AC236" t="n">
        <v>1</v>
      </c>
      <c r="AD236" t="n">
        <v>15</v>
      </c>
      <c r="AE236" t="n">
        <v>15</v>
      </c>
      <c r="AF236" t="n">
        <v>7</v>
      </c>
      <c r="AG236" t="n">
        <v>7</v>
      </c>
      <c r="AH236" t="n">
        <v>7</v>
      </c>
      <c r="AI236" t="n">
        <v>7</v>
      </c>
      <c r="AJ236" t="n">
        <v>7</v>
      </c>
      <c r="AK236" t="n">
        <v>7</v>
      </c>
      <c r="AL236" t="n">
        <v>0</v>
      </c>
      <c r="AM236" t="n">
        <v>0</v>
      </c>
      <c r="AN236" t="n">
        <v>0</v>
      </c>
      <c r="AO236" t="n">
        <v>0</v>
      </c>
      <c r="AP236" t="inlineStr">
        <is>
          <t>No</t>
        </is>
      </c>
      <c r="AQ236" t="inlineStr">
        <is>
          <t>No</t>
        </is>
      </c>
      <c r="AS236">
        <f>HYPERLINK("https://creighton-primo.hosted.exlibrisgroup.com/primo-explore/search?tab=default_tab&amp;search_scope=EVERYTHING&amp;vid=01CRU&amp;lang=en_US&amp;offset=0&amp;query=any,contains,991000464729702656","Catalog Record")</f>
        <v/>
      </c>
      <c r="AT236">
        <f>HYPERLINK("http://www.worldcat.org/oclc/10949868","WorldCat Record")</f>
        <v/>
      </c>
      <c r="AU236" t="inlineStr">
        <is>
          <t>3816064:eng</t>
        </is>
      </c>
      <c r="AV236" t="inlineStr">
        <is>
          <t>10949868</t>
        </is>
      </c>
      <c r="AW236" t="inlineStr">
        <is>
          <t>991000464729702656</t>
        </is>
      </c>
      <c r="AX236" t="inlineStr">
        <is>
          <t>991000464729702656</t>
        </is>
      </c>
      <c r="AY236" t="inlineStr">
        <is>
          <t>2271438930002656</t>
        </is>
      </c>
      <c r="AZ236" t="inlineStr">
        <is>
          <t>BOOK</t>
        </is>
      </c>
      <c r="BB236" t="inlineStr">
        <is>
          <t>9780091561512</t>
        </is>
      </c>
      <c r="BC236" t="inlineStr">
        <is>
          <t>32285000147016</t>
        </is>
      </c>
      <c r="BD236" t="inlineStr">
        <is>
          <t>893784233</t>
        </is>
      </c>
    </row>
    <row r="237">
      <c r="A237" t="inlineStr">
        <is>
          <t>No</t>
        </is>
      </c>
      <c r="B237" t="inlineStr">
        <is>
          <t>HN398.E5 W74 1982</t>
        </is>
      </c>
      <c r="C237" t="inlineStr">
        <is>
          <t>0                      HN 0398000E  5                  W  74          1982</t>
        </is>
      </c>
      <c r="D237" t="inlineStr">
        <is>
          <t>English society, 1580-1680 / Keith Wrightson.</t>
        </is>
      </c>
      <c r="F237" t="inlineStr">
        <is>
          <t>No</t>
        </is>
      </c>
      <c r="G237" t="inlineStr">
        <is>
          <t>1</t>
        </is>
      </c>
      <c r="H237" t="inlineStr">
        <is>
          <t>No</t>
        </is>
      </c>
      <c r="I237" t="inlineStr">
        <is>
          <t>No</t>
        </is>
      </c>
      <c r="J237" t="inlineStr">
        <is>
          <t>0</t>
        </is>
      </c>
      <c r="K237" t="inlineStr">
        <is>
          <t>Wrightson, Keith.</t>
        </is>
      </c>
      <c r="L237" t="inlineStr">
        <is>
          <t>New Brunswick, N.J. : Rutgers University Press, 1982.</t>
        </is>
      </c>
      <c r="M237" t="inlineStr">
        <is>
          <t>1982</t>
        </is>
      </c>
      <c r="O237" t="inlineStr">
        <is>
          <t>eng</t>
        </is>
      </c>
      <c r="P237" t="inlineStr">
        <is>
          <t>nju</t>
        </is>
      </c>
      <c r="R237" t="inlineStr">
        <is>
          <t xml:space="preserve">HN </t>
        </is>
      </c>
      <c r="S237" t="n">
        <v>2</v>
      </c>
      <c r="T237" t="n">
        <v>2</v>
      </c>
      <c r="U237" t="inlineStr">
        <is>
          <t>1999-01-04</t>
        </is>
      </c>
      <c r="V237" t="inlineStr">
        <is>
          <t>1999-01-04</t>
        </is>
      </c>
      <c r="W237" t="inlineStr">
        <is>
          <t>1992-10-13</t>
        </is>
      </c>
      <c r="X237" t="inlineStr">
        <is>
          <t>1992-10-13</t>
        </is>
      </c>
      <c r="Y237" t="n">
        <v>316</v>
      </c>
      <c r="Z237" t="n">
        <v>285</v>
      </c>
      <c r="AA237" t="n">
        <v>766</v>
      </c>
      <c r="AB237" t="n">
        <v>1</v>
      </c>
      <c r="AC237" t="n">
        <v>28</v>
      </c>
      <c r="AD237" t="n">
        <v>15</v>
      </c>
      <c r="AE237" t="n">
        <v>41</v>
      </c>
      <c r="AF237" t="n">
        <v>5</v>
      </c>
      <c r="AG237" t="n">
        <v>12</v>
      </c>
      <c r="AH237" t="n">
        <v>7</v>
      </c>
      <c r="AI237" t="n">
        <v>7</v>
      </c>
      <c r="AJ237" t="n">
        <v>9</v>
      </c>
      <c r="AK237" t="n">
        <v>18</v>
      </c>
      <c r="AL237" t="n">
        <v>0</v>
      </c>
      <c r="AM237" t="n">
        <v>13</v>
      </c>
      <c r="AN237" t="n">
        <v>0</v>
      </c>
      <c r="AO237" t="n">
        <v>0</v>
      </c>
      <c r="AP237" t="inlineStr">
        <is>
          <t>No</t>
        </is>
      </c>
      <c r="AQ237" t="inlineStr">
        <is>
          <t>No</t>
        </is>
      </c>
      <c r="AS237">
        <f>HYPERLINK("https://creighton-primo.hosted.exlibrisgroup.com/primo-explore/search?tab=default_tab&amp;search_scope=EVERYTHING&amp;vid=01CRU&amp;lang=en_US&amp;offset=0&amp;query=any,contains,991000031109702656","Catalog Record")</f>
        <v/>
      </c>
      <c r="AT237">
        <f>HYPERLINK("http://www.worldcat.org/oclc/8607226","WorldCat Record")</f>
        <v/>
      </c>
      <c r="AU237" t="inlineStr">
        <is>
          <t>2869444:eng</t>
        </is>
      </c>
      <c r="AV237" t="inlineStr">
        <is>
          <t>8607226</t>
        </is>
      </c>
      <c r="AW237" t="inlineStr">
        <is>
          <t>991000031109702656</t>
        </is>
      </c>
      <c r="AX237" t="inlineStr">
        <is>
          <t>991000031109702656</t>
        </is>
      </c>
      <c r="AY237" t="inlineStr">
        <is>
          <t>2263619980002656</t>
        </is>
      </c>
      <c r="AZ237" t="inlineStr">
        <is>
          <t>BOOK</t>
        </is>
      </c>
      <c r="BB237" t="inlineStr">
        <is>
          <t>9780813509518</t>
        </is>
      </c>
      <c r="BC237" t="inlineStr">
        <is>
          <t>32285001356996</t>
        </is>
      </c>
      <c r="BD237" t="inlineStr">
        <is>
          <t>893437941</t>
        </is>
      </c>
    </row>
    <row r="238">
      <c r="A238" t="inlineStr">
        <is>
          <t>No</t>
        </is>
      </c>
      <c r="B238" t="inlineStr">
        <is>
          <t>HN398.M3 D38</t>
        </is>
      </c>
      <c r="C238" t="inlineStr">
        <is>
          <t>0                      HN 0398000M  3                  D  38</t>
        </is>
      </c>
      <c r="D238" t="inlineStr">
        <is>
          <t>Lordship and society in the March of Wales, 1282-1400 / R. R. Davies.</t>
        </is>
      </c>
      <c r="F238" t="inlineStr">
        <is>
          <t>No</t>
        </is>
      </c>
      <c r="G238" t="inlineStr">
        <is>
          <t>1</t>
        </is>
      </c>
      <c r="H238" t="inlineStr">
        <is>
          <t>No</t>
        </is>
      </c>
      <c r="I238" t="inlineStr">
        <is>
          <t>No</t>
        </is>
      </c>
      <c r="J238" t="inlineStr">
        <is>
          <t>0</t>
        </is>
      </c>
      <c r="K238" t="inlineStr">
        <is>
          <t>Davies, R. R.</t>
        </is>
      </c>
      <c r="L238" t="inlineStr">
        <is>
          <t>Oxford [Eng.] : Clarendon Press, 1978.</t>
        </is>
      </c>
      <c r="M238" t="inlineStr">
        <is>
          <t>1978</t>
        </is>
      </c>
      <c r="O238" t="inlineStr">
        <is>
          <t>eng</t>
        </is>
      </c>
      <c r="P238" t="inlineStr">
        <is>
          <t>enk</t>
        </is>
      </c>
      <c r="R238" t="inlineStr">
        <is>
          <t xml:space="preserve">HN </t>
        </is>
      </c>
      <c r="S238" t="n">
        <v>2</v>
      </c>
      <c r="T238" t="n">
        <v>2</v>
      </c>
      <c r="U238" t="inlineStr">
        <is>
          <t>1993-09-18</t>
        </is>
      </c>
      <c r="V238" t="inlineStr">
        <is>
          <t>1993-09-18</t>
        </is>
      </c>
      <c r="W238" t="inlineStr">
        <is>
          <t>1992-10-13</t>
        </is>
      </c>
      <c r="X238" t="inlineStr">
        <is>
          <t>1992-10-13</t>
        </is>
      </c>
      <c r="Y238" t="n">
        <v>360</v>
      </c>
      <c r="Z238" t="n">
        <v>237</v>
      </c>
      <c r="AA238" t="n">
        <v>239</v>
      </c>
      <c r="AB238" t="n">
        <v>3</v>
      </c>
      <c r="AC238" t="n">
        <v>3</v>
      </c>
      <c r="AD238" t="n">
        <v>11</v>
      </c>
      <c r="AE238" t="n">
        <v>11</v>
      </c>
      <c r="AF238" t="n">
        <v>0</v>
      </c>
      <c r="AG238" t="n">
        <v>0</v>
      </c>
      <c r="AH238" t="n">
        <v>4</v>
      </c>
      <c r="AI238" t="n">
        <v>4</v>
      </c>
      <c r="AJ238" t="n">
        <v>8</v>
      </c>
      <c r="AK238" t="n">
        <v>8</v>
      </c>
      <c r="AL238" t="n">
        <v>2</v>
      </c>
      <c r="AM238" t="n">
        <v>2</v>
      </c>
      <c r="AN238" t="n">
        <v>0</v>
      </c>
      <c r="AO238" t="n">
        <v>0</v>
      </c>
      <c r="AP238" t="inlineStr">
        <is>
          <t>No</t>
        </is>
      </c>
      <c r="AQ238" t="inlineStr">
        <is>
          <t>Yes</t>
        </is>
      </c>
      <c r="AR238">
        <f>HYPERLINK("http://catalog.hathitrust.org/Record/007114639","HathiTrust Record")</f>
        <v/>
      </c>
      <c r="AS238">
        <f>HYPERLINK("https://creighton-primo.hosted.exlibrisgroup.com/primo-explore/search?tab=default_tab&amp;search_scope=EVERYTHING&amp;vid=01CRU&amp;lang=en_US&amp;offset=0&amp;query=any,contains,991004399839702656","Catalog Record")</f>
        <v/>
      </c>
      <c r="AT238">
        <f>HYPERLINK("http://www.worldcat.org/oclc/3294507","WorldCat Record")</f>
        <v/>
      </c>
      <c r="AU238" t="inlineStr">
        <is>
          <t>9671144:eng</t>
        </is>
      </c>
      <c r="AV238" t="inlineStr">
        <is>
          <t>3294507</t>
        </is>
      </c>
      <c r="AW238" t="inlineStr">
        <is>
          <t>991004399839702656</t>
        </is>
      </c>
      <c r="AX238" t="inlineStr">
        <is>
          <t>991004399839702656</t>
        </is>
      </c>
      <c r="AY238" t="inlineStr">
        <is>
          <t>2257204610002656</t>
        </is>
      </c>
      <c r="AZ238" t="inlineStr">
        <is>
          <t>BOOK</t>
        </is>
      </c>
      <c r="BB238" t="inlineStr">
        <is>
          <t>9780198224549</t>
        </is>
      </c>
      <c r="BC238" t="inlineStr">
        <is>
          <t>32285001357010</t>
        </is>
      </c>
      <c r="BD238" t="inlineStr">
        <is>
          <t>893417575</t>
        </is>
      </c>
    </row>
    <row r="239">
      <c r="A239" t="inlineStr">
        <is>
          <t>No</t>
        </is>
      </c>
      <c r="B239" t="inlineStr">
        <is>
          <t>HN398.N6 B74 2003</t>
        </is>
      </c>
      <c r="C239" t="inlineStr">
        <is>
          <t>0                      HN 0398000N  6                  B  74          2003</t>
        </is>
      </c>
      <c r="D239" t="inlineStr">
        <is>
          <t>C. Wright Mills and the ending of violence / John D. Brewer.</t>
        </is>
      </c>
      <c r="F239" t="inlineStr">
        <is>
          <t>No</t>
        </is>
      </c>
      <c r="G239" t="inlineStr">
        <is>
          <t>1</t>
        </is>
      </c>
      <c r="H239" t="inlineStr">
        <is>
          <t>No</t>
        </is>
      </c>
      <c r="I239" t="inlineStr">
        <is>
          <t>No</t>
        </is>
      </c>
      <c r="J239" t="inlineStr">
        <is>
          <t>0</t>
        </is>
      </c>
      <c r="K239" t="inlineStr">
        <is>
          <t>Brewer, John D.</t>
        </is>
      </c>
      <c r="L239" t="inlineStr">
        <is>
          <t>Houndmills, Basingstoke, Hampshire ; New York : Palgrave Macmillan, 2003.</t>
        </is>
      </c>
      <c r="M239" t="inlineStr">
        <is>
          <t>2003</t>
        </is>
      </c>
      <c r="O239" t="inlineStr">
        <is>
          <t>eng</t>
        </is>
      </c>
      <c r="P239" t="inlineStr">
        <is>
          <t>enk</t>
        </is>
      </c>
      <c r="R239" t="inlineStr">
        <is>
          <t xml:space="preserve">HN </t>
        </is>
      </c>
      <c r="S239" t="n">
        <v>1</v>
      </c>
      <c r="T239" t="n">
        <v>1</v>
      </c>
      <c r="U239" t="inlineStr">
        <is>
          <t>2005-05-25</t>
        </is>
      </c>
      <c r="V239" t="inlineStr">
        <is>
          <t>2005-05-25</t>
        </is>
      </c>
      <c r="W239" t="inlineStr">
        <is>
          <t>2005-05-25</t>
        </is>
      </c>
      <c r="X239" t="inlineStr">
        <is>
          <t>2005-05-25</t>
        </is>
      </c>
      <c r="Y239" t="n">
        <v>361</v>
      </c>
      <c r="Z239" t="n">
        <v>301</v>
      </c>
      <c r="AA239" t="n">
        <v>398</v>
      </c>
      <c r="AB239" t="n">
        <v>2</v>
      </c>
      <c r="AC239" t="n">
        <v>2</v>
      </c>
      <c r="AD239" t="n">
        <v>18</v>
      </c>
      <c r="AE239" t="n">
        <v>19</v>
      </c>
      <c r="AF239" t="n">
        <v>9</v>
      </c>
      <c r="AG239" t="n">
        <v>10</v>
      </c>
      <c r="AH239" t="n">
        <v>4</v>
      </c>
      <c r="AI239" t="n">
        <v>4</v>
      </c>
      <c r="AJ239" t="n">
        <v>11</v>
      </c>
      <c r="AK239" t="n">
        <v>11</v>
      </c>
      <c r="AL239" t="n">
        <v>1</v>
      </c>
      <c r="AM239" t="n">
        <v>1</v>
      </c>
      <c r="AN239" t="n">
        <v>0</v>
      </c>
      <c r="AO239" t="n">
        <v>0</v>
      </c>
      <c r="AP239" t="inlineStr">
        <is>
          <t>No</t>
        </is>
      </c>
      <c r="AQ239" t="inlineStr">
        <is>
          <t>No</t>
        </is>
      </c>
      <c r="AS239">
        <f>HYPERLINK("https://creighton-primo.hosted.exlibrisgroup.com/primo-explore/search?tab=default_tab&amp;search_scope=EVERYTHING&amp;vid=01CRU&amp;lang=en_US&amp;offset=0&amp;query=any,contains,991004545609702656","Catalog Record")</f>
        <v/>
      </c>
      <c r="AT239">
        <f>HYPERLINK("http://www.worldcat.org/oclc/51944507","WorldCat Record")</f>
        <v/>
      </c>
      <c r="AU239" t="inlineStr">
        <is>
          <t>681574:eng</t>
        </is>
      </c>
      <c r="AV239" t="inlineStr">
        <is>
          <t>51944507</t>
        </is>
      </c>
      <c r="AW239" t="inlineStr">
        <is>
          <t>991004545609702656</t>
        </is>
      </c>
      <c r="AX239" t="inlineStr">
        <is>
          <t>991004545609702656</t>
        </is>
      </c>
      <c r="AY239" t="inlineStr">
        <is>
          <t>2262405420002656</t>
        </is>
      </c>
      <c r="AZ239" t="inlineStr">
        <is>
          <t>BOOK</t>
        </is>
      </c>
      <c r="BB239" t="inlineStr">
        <is>
          <t>9780333801802</t>
        </is>
      </c>
      <c r="BC239" t="inlineStr">
        <is>
          <t>32285005090757</t>
        </is>
      </c>
      <c r="BD239" t="inlineStr">
        <is>
          <t>893801074</t>
        </is>
      </c>
    </row>
    <row r="240">
      <c r="A240" t="inlineStr">
        <is>
          <t>No</t>
        </is>
      </c>
      <c r="B240" t="inlineStr">
        <is>
          <t>HN398.N6 F53 1980</t>
        </is>
      </c>
      <c r="C240" t="inlineStr">
        <is>
          <t>0                      HN 0398000N  6                  F  53          1980</t>
        </is>
      </c>
      <c r="D240" t="inlineStr">
        <is>
          <t>Northern Ireland : society under siege / Rona M. Fields ; foreword by Alfred McClung Lee.</t>
        </is>
      </c>
      <c r="F240" t="inlineStr">
        <is>
          <t>No</t>
        </is>
      </c>
      <c r="G240" t="inlineStr">
        <is>
          <t>1</t>
        </is>
      </c>
      <c r="H240" t="inlineStr">
        <is>
          <t>No</t>
        </is>
      </c>
      <c r="I240" t="inlineStr">
        <is>
          <t>No</t>
        </is>
      </c>
      <c r="J240" t="inlineStr">
        <is>
          <t>0</t>
        </is>
      </c>
      <c r="K240" t="inlineStr">
        <is>
          <t>Fields, Rona M.</t>
        </is>
      </c>
      <c r="L240" t="inlineStr">
        <is>
          <t>New Brunswick, N.J. : Transaction Books, c1980.</t>
        </is>
      </c>
      <c r="M240" t="inlineStr">
        <is>
          <t>1980</t>
        </is>
      </c>
      <c r="O240" t="inlineStr">
        <is>
          <t>eng</t>
        </is>
      </c>
      <c r="P240" t="inlineStr">
        <is>
          <t>nju</t>
        </is>
      </c>
      <c r="R240" t="inlineStr">
        <is>
          <t xml:space="preserve">HN </t>
        </is>
      </c>
      <c r="S240" t="n">
        <v>3</v>
      </c>
      <c r="T240" t="n">
        <v>3</v>
      </c>
      <c r="U240" t="inlineStr">
        <is>
          <t>1993-02-17</t>
        </is>
      </c>
      <c r="V240" t="inlineStr">
        <is>
          <t>1993-02-17</t>
        </is>
      </c>
      <c r="W240" t="inlineStr">
        <is>
          <t>1992-10-13</t>
        </is>
      </c>
      <c r="X240" t="inlineStr">
        <is>
          <t>1992-10-13</t>
        </is>
      </c>
      <c r="Y240" t="n">
        <v>137</v>
      </c>
      <c r="Z240" t="n">
        <v>109</v>
      </c>
      <c r="AA240" t="n">
        <v>122</v>
      </c>
      <c r="AB240" t="n">
        <v>1</v>
      </c>
      <c r="AC240" t="n">
        <v>1</v>
      </c>
      <c r="AD240" t="n">
        <v>6</v>
      </c>
      <c r="AE240" t="n">
        <v>6</v>
      </c>
      <c r="AF240" t="n">
        <v>2</v>
      </c>
      <c r="AG240" t="n">
        <v>2</v>
      </c>
      <c r="AH240" t="n">
        <v>3</v>
      </c>
      <c r="AI240" t="n">
        <v>3</v>
      </c>
      <c r="AJ240" t="n">
        <v>4</v>
      </c>
      <c r="AK240" t="n">
        <v>4</v>
      </c>
      <c r="AL240" t="n">
        <v>0</v>
      </c>
      <c r="AM240" t="n">
        <v>0</v>
      </c>
      <c r="AN240" t="n">
        <v>0</v>
      </c>
      <c r="AO240" t="n">
        <v>0</v>
      </c>
      <c r="AP240" t="inlineStr">
        <is>
          <t>No</t>
        </is>
      </c>
      <c r="AQ240" t="inlineStr">
        <is>
          <t>No</t>
        </is>
      </c>
      <c r="AS240">
        <f>HYPERLINK("https://creighton-primo.hosted.exlibrisgroup.com/primo-explore/search?tab=default_tab&amp;search_scope=EVERYTHING&amp;vid=01CRU&amp;lang=en_US&amp;offset=0&amp;query=any,contains,991004944529702656","Catalog Record")</f>
        <v/>
      </c>
      <c r="AT240">
        <f>HYPERLINK("http://www.worldcat.org/oclc/6197181","WorldCat Record")</f>
        <v/>
      </c>
      <c r="AU240" t="inlineStr">
        <is>
          <t>583311:eng</t>
        </is>
      </c>
      <c r="AV240" t="inlineStr">
        <is>
          <t>6197181</t>
        </is>
      </c>
      <c r="AW240" t="inlineStr">
        <is>
          <t>991004944529702656</t>
        </is>
      </c>
      <c r="AX240" t="inlineStr">
        <is>
          <t>991004944529702656</t>
        </is>
      </c>
      <c r="AY240" t="inlineStr">
        <is>
          <t>2264505920002656</t>
        </is>
      </c>
      <c r="AZ240" t="inlineStr">
        <is>
          <t>BOOK</t>
        </is>
      </c>
      <c r="BB240" t="inlineStr">
        <is>
          <t>9780878558063</t>
        </is>
      </c>
      <c r="BC240" t="inlineStr">
        <is>
          <t>32285001357036</t>
        </is>
      </c>
      <c r="BD240" t="inlineStr">
        <is>
          <t>893536281</t>
        </is>
      </c>
    </row>
    <row r="241">
      <c r="A241" t="inlineStr">
        <is>
          <t>No</t>
        </is>
      </c>
      <c r="B241" t="inlineStr">
        <is>
          <t>HN398.N6 S43 1998</t>
        </is>
      </c>
      <c r="C241" t="inlineStr">
        <is>
          <t>0                      HN 0398000N  6                  S  43          1998</t>
        </is>
      </c>
      <c r="D241" t="inlineStr">
        <is>
          <t>Northern Ireland : the context for conflict and for reconciliation / Craig Seaton.</t>
        </is>
      </c>
      <c r="F241" t="inlineStr">
        <is>
          <t>No</t>
        </is>
      </c>
      <c r="G241" t="inlineStr">
        <is>
          <t>1</t>
        </is>
      </c>
      <c r="H241" t="inlineStr">
        <is>
          <t>No</t>
        </is>
      </c>
      <c r="I241" t="inlineStr">
        <is>
          <t>No</t>
        </is>
      </c>
      <c r="J241" t="inlineStr">
        <is>
          <t>0</t>
        </is>
      </c>
      <c r="K241" t="inlineStr">
        <is>
          <t>Seaton, Craig E.</t>
        </is>
      </c>
      <c r="L241" t="inlineStr">
        <is>
          <t>Lanham, Md. : University Press of America, c1998.</t>
        </is>
      </c>
      <c r="M241" t="inlineStr">
        <is>
          <t>1998</t>
        </is>
      </c>
      <c r="O241" t="inlineStr">
        <is>
          <t>eng</t>
        </is>
      </c>
      <c r="P241" t="inlineStr">
        <is>
          <t>mdu</t>
        </is>
      </c>
      <c r="R241" t="inlineStr">
        <is>
          <t xml:space="preserve">HN </t>
        </is>
      </c>
      <c r="S241" t="n">
        <v>5</v>
      </c>
      <c r="T241" t="n">
        <v>5</v>
      </c>
      <c r="U241" t="inlineStr">
        <is>
          <t>2001-12-14</t>
        </is>
      </c>
      <c r="V241" t="inlineStr">
        <is>
          <t>2001-12-14</t>
        </is>
      </c>
      <c r="W241" t="inlineStr">
        <is>
          <t>1998-08-04</t>
        </is>
      </c>
      <c r="X241" t="inlineStr">
        <is>
          <t>1998-08-04</t>
        </is>
      </c>
      <c r="Y241" t="n">
        <v>216</v>
      </c>
      <c r="Z241" t="n">
        <v>185</v>
      </c>
      <c r="AA241" t="n">
        <v>193</v>
      </c>
      <c r="AB241" t="n">
        <v>3</v>
      </c>
      <c r="AC241" t="n">
        <v>3</v>
      </c>
      <c r="AD241" t="n">
        <v>12</v>
      </c>
      <c r="AE241" t="n">
        <v>12</v>
      </c>
      <c r="AF241" t="n">
        <v>4</v>
      </c>
      <c r="AG241" t="n">
        <v>4</v>
      </c>
      <c r="AH241" t="n">
        <v>4</v>
      </c>
      <c r="AI241" t="n">
        <v>4</v>
      </c>
      <c r="AJ241" t="n">
        <v>7</v>
      </c>
      <c r="AK241" t="n">
        <v>7</v>
      </c>
      <c r="AL241" t="n">
        <v>2</v>
      </c>
      <c r="AM241" t="n">
        <v>2</v>
      </c>
      <c r="AN241" t="n">
        <v>0</v>
      </c>
      <c r="AO241" t="n">
        <v>0</v>
      </c>
      <c r="AP241" t="inlineStr">
        <is>
          <t>No</t>
        </is>
      </c>
      <c r="AQ241" t="inlineStr">
        <is>
          <t>Yes</t>
        </is>
      </c>
      <c r="AR241">
        <f>HYPERLINK("http://catalog.hathitrust.org/Record/003976444","HathiTrust Record")</f>
        <v/>
      </c>
      <c r="AS241">
        <f>HYPERLINK("https://creighton-primo.hosted.exlibrisgroup.com/primo-explore/search?tab=default_tab&amp;search_scope=EVERYTHING&amp;vid=01CRU&amp;lang=en_US&amp;offset=0&amp;query=any,contains,991002901179702656","Catalog Record")</f>
        <v/>
      </c>
      <c r="AT241">
        <f>HYPERLINK("http://www.worldcat.org/oclc/38249924","WorldCat Record")</f>
        <v/>
      </c>
      <c r="AU241" t="inlineStr">
        <is>
          <t>340392350:eng</t>
        </is>
      </c>
      <c r="AV241" t="inlineStr">
        <is>
          <t>38249924</t>
        </is>
      </c>
      <c r="AW241" t="inlineStr">
        <is>
          <t>991002901179702656</t>
        </is>
      </c>
      <c r="AX241" t="inlineStr">
        <is>
          <t>991002901179702656</t>
        </is>
      </c>
      <c r="AY241" t="inlineStr">
        <is>
          <t>2272168150002656</t>
        </is>
      </c>
      <c r="AZ241" t="inlineStr">
        <is>
          <t>BOOK</t>
        </is>
      </c>
      <c r="BB241" t="inlineStr">
        <is>
          <t>9780761810315</t>
        </is>
      </c>
      <c r="BC241" t="inlineStr">
        <is>
          <t>32285003448791</t>
        </is>
      </c>
      <c r="BD241" t="inlineStr">
        <is>
          <t>893591934</t>
        </is>
      </c>
    </row>
    <row r="242">
      <c r="A242" t="inlineStr">
        <is>
          <t>No</t>
        </is>
      </c>
      <c r="B242" t="inlineStr">
        <is>
          <t>HN398.S3 C35 1983</t>
        </is>
      </c>
      <c r="C242" t="inlineStr">
        <is>
          <t>0                      HN 0398000S  3                  C  35          1983</t>
        </is>
      </c>
      <c r="D242" t="inlineStr">
        <is>
          <t>Experience and enlightenment : socialization for cultural change in eighteenth-century Scotland / Charles Camic.</t>
        </is>
      </c>
      <c r="F242" t="inlineStr">
        <is>
          <t>No</t>
        </is>
      </c>
      <c r="G242" t="inlineStr">
        <is>
          <t>1</t>
        </is>
      </c>
      <c r="H242" t="inlineStr">
        <is>
          <t>No</t>
        </is>
      </c>
      <c r="I242" t="inlineStr">
        <is>
          <t>No</t>
        </is>
      </c>
      <c r="J242" t="inlineStr">
        <is>
          <t>0</t>
        </is>
      </c>
      <c r="K242" t="inlineStr">
        <is>
          <t>Camic, Charles.</t>
        </is>
      </c>
      <c r="L242" t="inlineStr">
        <is>
          <t>Chicago : University of Chicago Press, 1983.</t>
        </is>
      </c>
      <c r="M242" t="inlineStr">
        <is>
          <t>1983</t>
        </is>
      </c>
      <c r="O242" t="inlineStr">
        <is>
          <t>eng</t>
        </is>
      </c>
      <c r="P242" t="inlineStr">
        <is>
          <t>ilu</t>
        </is>
      </c>
      <c r="R242" t="inlineStr">
        <is>
          <t xml:space="preserve">HN </t>
        </is>
      </c>
      <c r="S242" t="n">
        <v>3</v>
      </c>
      <c r="T242" t="n">
        <v>3</v>
      </c>
      <c r="U242" t="inlineStr">
        <is>
          <t>2000-02-07</t>
        </is>
      </c>
      <c r="V242" t="inlineStr">
        <is>
          <t>2000-02-07</t>
        </is>
      </c>
      <c r="W242" t="inlineStr">
        <is>
          <t>1992-10-13</t>
        </is>
      </c>
      <c r="X242" t="inlineStr">
        <is>
          <t>1992-10-13</t>
        </is>
      </c>
      <c r="Y242" t="n">
        <v>421</v>
      </c>
      <c r="Z242" t="n">
        <v>359</v>
      </c>
      <c r="AA242" t="n">
        <v>371</v>
      </c>
      <c r="AB242" t="n">
        <v>2</v>
      </c>
      <c r="AC242" t="n">
        <v>2</v>
      </c>
      <c r="AD242" t="n">
        <v>18</v>
      </c>
      <c r="AE242" t="n">
        <v>18</v>
      </c>
      <c r="AF242" t="n">
        <v>4</v>
      </c>
      <c r="AG242" t="n">
        <v>4</v>
      </c>
      <c r="AH242" t="n">
        <v>6</v>
      </c>
      <c r="AI242" t="n">
        <v>6</v>
      </c>
      <c r="AJ242" t="n">
        <v>12</v>
      </c>
      <c r="AK242" t="n">
        <v>12</v>
      </c>
      <c r="AL242" t="n">
        <v>1</v>
      </c>
      <c r="AM242" t="n">
        <v>1</v>
      </c>
      <c r="AN242" t="n">
        <v>0</v>
      </c>
      <c r="AO242" t="n">
        <v>0</v>
      </c>
      <c r="AP242" t="inlineStr">
        <is>
          <t>No</t>
        </is>
      </c>
      <c r="AQ242" t="inlineStr">
        <is>
          <t>No</t>
        </is>
      </c>
      <c r="AS242">
        <f>HYPERLINK("https://creighton-primo.hosted.exlibrisgroup.com/primo-explore/search?tab=default_tab&amp;search_scope=EVERYTHING&amp;vid=01CRU&amp;lang=en_US&amp;offset=0&amp;query=any,contains,991000228719702656","Catalog Record")</f>
        <v/>
      </c>
      <c r="AT242">
        <f>HYPERLINK("http://www.worldcat.org/oclc/9622496","WorldCat Record")</f>
        <v/>
      </c>
      <c r="AU242" t="inlineStr">
        <is>
          <t>836682175:eng</t>
        </is>
      </c>
      <c r="AV242" t="inlineStr">
        <is>
          <t>9622496</t>
        </is>
      </c>
      <c r="AW242" t="inlineStr">
        <is>
          <t>991000228719702656</t>
        </is>
      </c>
      <c r="AX242" t="inlineStr">
        <is>
          <t>991000228719702656</t>
        </is>
      </c>
      <c r="AY242" t="inlineStr">
        <is>
          <t>2269465840002656</t>
        </is>
      </c>
      <c r="AZ242" t="inlineStr">
        <is>
          <t>BOOK</t>
        </is>
      </c>
      <c r="BB242" t="inlineStr">
        <is>
          <t>9780226092386</t>
        </is>
      </c>
      <c r="BC242" t="inlineStr">
        <is>
          <t>32285001357044</t>
        </is>
      </c>
      <c r="BD242" t="inlineStr">
        <is>
          <t>893884243</t>
        </is>
      </c>
    </row>
    <row r="243">
      <c r="A243" t="inlineStr">
        <is>
          <t>No</t>
        </is>
      </c>
      <c r="B243" t="inlineStr">
        <is>
          <t>HN40.B8 B66 2004</t>
        </is>
      </c>
      <c r="C243" t="inlineStr">
        <is>
          <t>0                      HN 0040000B  8                  B  66          2004</t>
        </is>
      </c>
      <c r="D243" t="inlineStr">
        <is>
          <t>Buddhism at work : community development, social empowerment and the Sarvodaya Movement / George D. Bond. ; foreword by Joanna Macy.</t>
        </is>
      </c>
      <c r="F243" t="inlineStr">
        <is>
          <t>No</t>
        </is>
      </c>
      <c r="G243" t="inlineStr">
        <is>
          <t>1</t>
        </is>
      </c>
      <c r="H243" t="inlineStr">
        <is>
          <t>No</t>
        </is>
      </c>
      <c r="I243" t="inlineStr">
        <is>
          <t>No</t>
        </is>
      </c>
      <c r="J243" t="inlineStr">
        <is>
          <t>0</t>
        </is>
      </c>
      <c r="K243" t="inlineStr">
        <is>
          <t>Bond, George Doherty, 1942-</t>
        </is>
      </c>
      <c r="L243" t="inlineStr">
        <is>
          <t>Bloomfield, CT : Kumarian Press, 2004.</t>
        </is>
      </c>
      <c r="M243" t="inlineStr">
        <is>
          <t>2004</t>
        </is>
      </c>
      <c r="O243" t="inlineStr">
        <is>
          <t>eng</t>
        </is>
      </c>
      <c r="P243" t="inlineStr">
        <is>
          <t>ctu</t>
        </is>
      </c>
      <c r="R243" t="inlineStr">
        <is>
          <t xml:space="preserve">HN </t>
        </is>
      </c>
      <c r="S243" t="n">
        <v>4</v>
      </c>
      <c r="T243" t="n">
        <v>4</v>
      </c>
      <c r="U243" t="inlineStr">
        <is>
          <t>2007-01-31</t>
        </is>
      </c>
      <c r="V243" t="inlineStr">
        <is>
          <t>2007-01-31</t>
        </is>
      </c>
      <c r="W243" t="inlineStr">
        <is>
          <t>2005-01-04</t>
        </is>
      </c>
      <c r="X243" t="inlineStr">
        <is>
          <t>2005-01-04</t>
        </is>
      </c>
      <c r="Y243" t="n">
        <v>258</v>
      </c>
      <c r="Z243" t="n">
        <v>206</v>
      </c>
      <c r="AA243" t="n">
        <v>241</v>
      </c>
      <c r="AB243" t="n">
        <v>2</v>
      </c>
      <c r="AC243" t="n">
        <v>2</v>
      </c>
      <c r="AD243" t="n">
        <v>12</v>
      </c>
      <c r="AE243" t="n">
        <v>14</v>
      </c>
      <c r="AF243" t="n">
        <v>5</v>
      </c>
      <c r="AG243" t="n">
        <v>7</v>
      </c>
      <c r="AH243" t="n">
        <v>4</v>
      </c>
      <c r="AI243" t="n">
        <v>5</v>
      </c>
      <c r="AJ243" t="n">
        <v>6</v>
      </c>
      <c r="AK243" t="n">
        <v>6</v>
      </c>
      <c r="AL243" t="n">
        <v>1</v>
      </c>
      <c r="AM243" t="n">
        <v>1</v>
      </c>
      <c r="AN243" t="n">
        <v>0</v>
      </c>
      <c r="AO243" t="n">
        <v>0</v>
      </c>
      <c r="AP243" t="inlineStr">
        <is>
          <t>No</t>
        </is>
      </c>
      <c r="AQ243" t="inlineStr">
        <is>
          <t>Yes</t>
        </is>
      </c>
      <c r="AR243">
        <f>HYPERLINK("http://catalog.hathitrust.org/Record/004358247","HathiTrust Record")</f>
        <v/>
      </c>
      <c r="AS243">
        <f>HYPERLINK("https://creighton-primo.hosted.exlibrisgroup.com/primo-explore/search?tab=default_tab&amp;search_scope=EVERYTHING&amp;vid=01CRU&amp;lang=en_US&amp;offset=0&amp;query=any,contains,991004371009702656","Catalog Record")</f>
        <v/>
      </c>
      <c r="AT243">
        <f>HYPERLINK("http://www.worldcat.org/oclc/52387829","WorldCat Record")</f>
        <v/>
      </c>
      <c r="AU243" t="inlineStr">
        <is>
          <t>793929105:eng</t>
        </is>
      </c>
      <c r="AV243" t="inlineStr">
        <is>
          <t>52387829</t>
        </is>
      </c>
      <c r="AW243" t="inlineStr">
        <is>
          <t>991004371009702656</t>
        </is>
      </c>
      <c r="AX243" t="inlineStr">
        <is>
          <t>991004371009702656</t>
        </is>
      </c>
      <c r="AY243" t="inlineStr">
        <is>
          <t>2267597340002656</t>
        </is>
      </c>
      <c r="AZ243" t="inlineStr">
        <is>
          <t>BOOK</t>
        </is>
      </c>
      <c r="BB243" t="inlineStr">
        <is>
          <t>9781565491762</t>
        </is>
      </c>
      <c r="BC243" t="inlineStr">
        <is>
          <t>32285005018303</t>
        </is>
      </c>
      <c r="BD243" t="inlineStr">
        <is>
          <t>893526023</t>
        </is>
      </c>
    </row>
    <row r="244">
      <c r="A244" t="inlineStr">
        <is>
          <t>No</t>
        </is>
      </c>
      <c r="B244" t="inlineStr">
        <is>
          <t>HN40.B8 S85 2009</t>
        </is>
      </c>
      <c r="C244" t="inlineStr">
        <is>
          <t>0                      HN 0040000B  8                  S  85          2009</t>
        </is>
      </c>
      <c r="D244" t="inlineStr">
        <is>
          <t>The wisdom of sustainability : Buddhist economics for the 21st century / Sulak Sivaraksa ; edited by Arnold Kotler and Nicholas Bennett.</t>
        </is>
      </c>
      <c r="F244" t="inlineStr">
        <is>
          <t>No</t>
        </is>
      </c>
      <c r="G244" t="inlineStr">
        <is>
          <t>1</t>
        </is>
      </c>
      <c r="H244" t="inlineStr">
        <is>
          <t>No</t>
        </is>
      </c>
      <c r="I244" t="inlineStr">
        <is>
          <t>No</t>
        </is>
      </c>
      <c r="J244" t="inlineStr">
        <is>
          <t>0</t>
        </is>
      </c>
      <c r="K244" t="inlineStr">
        <is>
          <t>Sulak Sivaraksa.</t>
        </is>
      </c>
      <c r="L244" t="inlineStr">
        <is>
          <t>Kihei, Hawai'i : Koa Books, 2009.</t>
        </is>
      </c>
      <c r="M244" t="inlineStr">
        <is>
          <t>2009</t>
        </is>
      </c>
      <c r="O244" t="inlineStr">
        <is>
          <t>eng</t>
        </is>
      </c>
      <c r="P244" t="inlineStr">
        <is>
          <t>hiu</t>
        </is>
      </c>
      <c r="R244" t="inlineStr">
        <is>
          <t xml:space="preserve">HN </t>
        </is>
      </c>
      <c r="S244" t="n">
        <v>1</v>
      </c>
      <c r="T244" t="n">
        <v>1</v>
      </c>
      <c r="U244" t="inlineStr">
        <is>
          <t>2010-12-07</t>
        </is>
      </c>
      <c r="V244" t="inlineStr">
        <is>
          <t>2010-12-07</t>
        </is>
      </c>
      <c r="W244" t="inlineStr">
        <is>
          <t>2010-12-07</t>
        </is>
      </c>
      <c r="X244" t="inlineStr">
        <is>
          <t>2010-12-07</t>
        </is>
      </c>
      <c r="Y244" t="n">
        <v>96</v>
      </c>
      <c r="Z244" t="n">
        <v>74</v>
      </c>
      <c r="AA244" t="n">
        <v>96</v>
      </c>
      <c r="AB244" t="n">
        <v>1</v>
      </c>
      <c r="AC244" t="n">
        <v>1</v>
      </c>
      <c r="AD244" t="n">
        <v>4</v>
      </c>
      <c r="AE244" t="n">
        <v>4</v>
      </c>
      <c r="AF244" t="n">
        <v>2</v>
      </c>
      <c r="AG244" t="n">
        <v>2</v>
      </c>
      <c r="AH244" t="n">
        <v>1</v>
      </c>
      <c r="AI244" t="n">
        <v>1</v>
      </c>
      <c r="AJ244" t="n">
        <v>3</v>
      </c>
      <c r="AK244" t="n">
        <v>3</v>
      </c>
      <c r="AL244" t="n">
        <v>0</v>
      </c>
      <c r="AM244" t="n">
        <v>0</v>
      </c>
      <c r="AN244" t="n">
        <v>0</v>
      </c>
      <c r="AO244" t="n">
        <v>0</v>
      </c>
      <c r="AP244" t="inlineStr">
        <is>
          <t>No</t>
        </is>
      </c>
      <c r="AQ244" t="inlineStr">
        <is>
          <t>No</t>
        </is>
      </c>
      <c r="AS244">
        <f>HYPERLINK("https://creighton-primo.hosted.exlibrisgroup.com/primo-explore/search?tab=default_tab&amp;search_scope=EVERYTHING&amp;vid=01CRU&amp;lang=en_US&amp;offset=0&amp;query=any,contains,991000375739702656","Catalog Record")</f>
        <v/>
      </c>
      <c r="AT244">
        <f>HYPERLINK("http://www.worldcat.org/oclc/262433179","WorldCat Record")</f>
        <v/>
      </c>
      <c r="AU244" t="inlineStr">
        <is>
          <t>909688127:eng</t>
        </is>
      </c>
      <c r="AV244" t="inlineStr">
        <is>
          <t>262433179</t>
        </is>
      </c>
      <c r="AW244" t="inlineStr">
        <is>
          <t>991000375739702656</t>
        </is>
      </c>
      <c r="AX244" t="inlineStr">
        <is>
          <t>991000375739702656</t>
        </is>
      </c>
      <c r="AY244" t="inlineStr">
        <is>
          <t>2268080600002656</t>
        </is>
      </c>
      <c r="AZ244" t="inlineStr">
        <is>
          <t>BOOK</t>
        </is>
      </c>
      <c r="BB244" t="inlineStr">
        <is>
          <t>9780982165614</t>
        </is>
      </c>
      <c r="BC244" t="inlineStr">
        <is>
          <t>32285005609119</t>
        </is>
      </c>
      <c r="BD244" t="inlineStr">
        <is>
          <t>893802709</t>
        </is>
      </c>
    </row>
    <row r="245">
      <c r="A245" t="inlineStr">
        <is>
          <t>No</t>
        </is>
      </c>
      <c r="B245" t="inlineStr">
        <is>
          <t>HN40.J5 N68 1992</t>
        </is>
      </c>
      <c r="C245" t="inlineStr">
        <is>
          <t>0                      HN 0040000J  5                  N  68          1992</t>
        </is>
      </c>
      <c r="D245" t="inlineStr">
        <is>
          <t>Jewish social ethics / David Novak.</t>
        </is>
      </c>
      <c r="F245" t="inlineStr">
        <is>
          <t>No</t>
        </is>
      </c>
      <c r="G245" t="inlineStr">
        <is>
          <t>1</t>
        </is>
      </c>
      <c r="H245" t="inlineStr">
        <is>
          <t>No</t>
        </is>
      </c>
      <c r="I245" t="inlineStr">
        <is>
          <t>No</t>
        </is>
      </c>
      <c r="J245" t="inlineStr">
        <is>
          <t>0</t>
        </is>
      </c>
      <c r="K245" t="inlineStr">
        <is>
          <t>Novak, David, 1941-</t>
        </is>
      </c>
      <c r="L245" t="inlineStr">
        <is>
          <t>New York : Oxford University Press, 1992.</t>
        </is>
      </c>
      <c r="M245" t="inlineStr">
        <is>
          <t>1992</t>
        </is>
      </c>
      <c r="O245" t="inlineStr">
        <is>
          <t>eng</t>
        </is>
      </c>
      <c r="P245" t="inlineStr">
        <is>
          <t>nyu</t>
        </is>
      </c>
      <c r="R245" t="inlineStr">
        <is>
          <t xml:space="preserve">HN </t>
        </is>
      </c>
      <c r="S245" t="n">
        <v>1</v>
      </c>
      <c r="T245" t="n">
        <v>1</v>
      </c>
      <c r="U245" t="inlineStr">
        <is>
          <t>2006-10-04</t>
        </is>
      </c>
      <c r="V245" t="inlineStr">
        <is>
          <t>2006-10-04</t>
        </is>
      </c>
      <c r="W245" t="inlineStr">
        <is>
          <t>1994-03-02</t>
        </is>
      </c>
      <c r="X245" t="inlineStr">
        <is>
          <t>1994-03-02</t>
        </is>
      </c>
      <c r="Y245" t="n">
        <v>356</v>
      </c>
      <c r="Z245" t="n">
        <v>291</v>
      </c>
      <c r="AA245" t="n">
        <v>291</v>
      </c>
      <c r="AB245" t="n">
        <v>2</v>
      </c>
      <c r="AC245" t="n">
        <v>2</v>
      </c>
      <c r="AD245" t="n">
        <v>25</v>
      </c>
      <c r="AE245" t="n">
        <v>25</v>
      </c>
      <c r="AF245" t="n">
        <v>12</v>
      </c>
      <c r="AG245" t="n">
        <v>12</v>
      </c>
      <c r="AH245" t="n">
        <v>5</v>
      </c>
      <c r="AI245" t="n">
        <v>5</v>
      </c>
      <c r="AJ245" t="n">
        <v>14</v>
      </c>
      <c r="AK245" t="n">
        <v>14</v>
      </c>
      <c r="AL245" t="n">
        <v>1</v>
      </c>
      <c r="AM245" t="n">
        <v>1</v>
      </c>
      <c r="AN245" t="n">
        <v>1</v>
      </c>
      <c r="AO245" t="n">
        <v>1</v>
      </c>
      <c r="AP245" t="inlineStr">
        <is>
          <t>No</t>
        </is>
      </c>
      <c r="AQ245" t="inlineStr">
        <is>
          <t>No</t>
        </is>
      </c>
      <c r="AS245">
        <f>HYPERLINK("https://creighton-primo.hosted.exlibrisgroup.com/primo-explore/search?tab=default_tab&amp;search_scope=EVERYTHING&amp;vid=01CRU&amp;lang=en_US&amp;offset=0&amp;query=any,contains,991001972919702656","Catalog Record")</f>
        <v/>
      </c>
      <c r="AT245">
        <f>HYPERLINK("http://www.worldcat.org/oclc/25025552","WorldCat Record")</f>
        <v/>
      </c>
      <c r="AU245" t="inlineStr">
        <is>
          <t>27145841:eng</t>
        </is>
      </c>
      <c r="AV245" t="inlineStr">
        <is>
          <t>25025552</t>
        </is>
      </c>
      <c r="AW245" t="inlineStr">
        <is>
          <t>991001972919702656</t>
        </is>
      </c>
      <c r="AX245" t="inlineStr">
        <is>
          <t>991001972919702656</t>
        </is>
      </c>
      <c r="AY245" t="inlineStr">
        <is>
          <t>2264265080002656</t>
        </is>
      </c>
      <c r="AZ245" t="inlineStr">
        <is>
          <t>BOOK</t>
        </is>
      </c>
      <c r="BB245" t="inlineStr">
        <is>
          <t>9780195069242</t>
        </is>
      </c>
      <c r="BC245" t="inlineStr">
        <is>
          <t>32285001843753</t>
        </is>
      </c>
      <c r="BD245" t="inlineStr">
        <is>
          <t>893785575</t>
        </is>
      </c>
    </row>
    <row r="246">
      <c r="A246" t="inlineStr">
        <is>
          <t>No</t>
        </is>
      </c>
      <c r="B246" t="inlineStr">
        <is>
          <t>HN40.J5 V589 1998</t>
        </is>
      </c>
      <c r="C246" t="inlineStr">
        <is>
          <t>0                      HN 0040000J  5                  V  589         1998</t>
        </is>
      </c>
      <c r="D246" t="inlineStr">
        <is>
          <t>Jewish dimensions of social justice : tough moral choices of our time / Albert Vorspan and David Saperstein.</t>
        </is>
      </c>
      <c r="F246" t="inlineStr">
        <is>
          <t>No</t>
        </is>
      </c>
      <c r="G246" t="inlineStr">
        <is>
          <t>1</t>
        </is>
      </c>
      <c r="H246" t="inlineStr">
        <is>
          <t>No</t>
        </is>
      </c>
      <c r="I246" t="inlineStr">
        <is>
          <t>No</t>
        </is>
      </c>
      <c r="J246" t="inlineStr">
        <is>
          <t>0</t>
        </is>
      </c>
      <c r="K246" t="inlineStr">
        <is>
          <t>Vorspan, Albert.</t>
        </is>
      </c>
      <c r="L246" t="inlineStr">
        <is>
          <t>New York, NY. : UAHC Press, c1998.</t>
        </is>
      </c>
      <c r="M246" t="inlineStr">
        <is>
          <t>1998</t>
        </is>
      </c>
      <c r="O246" t="inlineStr">
        <is>
          <t>eng</t>
        </is>
      </c>
      <c r="P246" t="inlineStr">
        <is>
          <t>nyu</t>
        </is>
      </c>
      <c r="R246" t="inlineStr">
        <is>
          <t xml:space="preserve">HN </t>
        </is>
      </c>
      <c r="S246" t="n">
        <v>1</v>
      </c>
      <c r="T246" t="n">
        <v>1</v>
      </c>
      <c r="U246" t="inlineStr">
        <is>
          <t>2001-11-28</t>
        </is>
      </c>
      <c r="V246" t="inlineStr">
        <is>
          <t>2001-11-28</t>
        </is>
      </c>
      <c r="W246" t="inlineStr">
        <is>
          <t>2001-11-27</t>
        </is>
      </c>
      <c r="X246" t="inlineStr">
        <is>
          <t>2001-11-27</t>
        </is>
      </c>
      <c r="Y246" t="n">
        <v>139</v>
      </c>
      <c r="Z246" t="n">
        <v>127</v>
      </c>
      <c r="AA246" t="n">
        <v>128</v>
      </c>
      <c r="AB246" t="n">
        <v>1</v>
      </c>
      <c r="AC246" t="n">
        <v>1</v>
      </c>
      <c r="AD246" t="n">
        <v>13</v>
      </c>
      <c r="AE246" t="n">
        <v>13</v>
      </c>
      <c r="AF246" t="n">
        <v>5</v>
      </c>
      <c r="AG246" t="n">
        <v>5</v>
      </c>
      <c r="AH246" t="n">
        <v>3</v>
      </c>
      <c r="AI246" t="n">
        <v>3</v>
      </c>
      <c r="AJ246" t="n">
        <v>11</v>
      </c>
      <c r="AK246" t="n">
        <v>11</v>
      </c>
      <c r="AL246" t="n">
        <v>0</v>
      </c>
      <c r="AM246" t="n">
        <v>0</v>
      </c>
      <c r="AN246" t="n">
        <v>0</v>
      </c>
      <c r="AO246" t="n">
        <v>0</v>
      </c>
      <c r="AP246" t="inlineStr">
        <is>
          <t>No</t>
        </is>
      </c>
      <c r="AQ246" t="inlineStr">
        <is>
          <t>No</t>
        </is>
      </c>
      <c r="AS246">
        <f>HYPERLINK("https://creighton-primo.hosted.exlibrisgroup.com/primo-explore/search?tab=default_tab&amp;search_scope=EVERYTHING&amp;vid=01CRU&amp;lang=en_US&amp;offset=0&amp;query=any,contains,991003685259702656","Catalog Record")</f>
        <v/>
      </c>
      <c r="AT246">
        <f>HYPERLINK("http://www.worldcat.org/oclc/39539062","WorldCat Record")</f>
        <v/>
      </c>
      <c r="AU246" t="inlineStr">
        <is>
          <t>436520364:eng</t>
        </is>
      </c>
      <c r="AV246" t="inlineStr">
        <is>
          <t>39539062</t>
        </is>
      </c>
      <c r="AW246" t="inlineStr">
        <is>
          <t>991003685259702656</t>
        </is>
      </c>
      <c r="AX246" t="inlineStr">
        <is>
          <t>991003685259702656</t>
        </is>
      </c>
      <c r="AY246" t="inlineStr">
        <is>
          <t>2260079100002656</t>
        </is>
      </c>
      <c r="AZ246" t="inlineStr">
        <is>
          <t>BOOK</t>
        </is>
      </c>
      <c r="BB246" t="inlineStr">
        <is>
          <t>9780807406502</t>
        </is>
      </c>
      <c r="BC246" t="inlineStr">
        <is>
          <t>32285004414099</t>
        </is>
      </c>
      <c r="BD246" t="inlineStr">
        <is>
          <t>893330653</t>
        </is>
      </c>
    </row>
    <row r="247">
      <c r="A247" t="inlineStr">
        <is>
          <t>No</t>
        </is>
      </c>
      <c r="B247" t="inlineStr">
        <is>
          <t>HN40.M6 L4</t>
        </is>
      </c>
      <c r="C247" t="inlineStr">
        <is>
          <t>0                      HN 0040000M  6                  L  4</t>
        </is>
      </c>
      <c r="D247" t="inlineStr">
        <is>
          <t>The social structure of Islam : being the second edition of The sociology of Islam / by Reuben Levy.</t>
        </is>
      </c>
      <c r="F247" t="inlineStr">
        <is>
          <t>No</t>
        </is>
      </c>
      <c r="G247" t="inlineStr">
        <is>
          <t>1</t>
        </is>
      </c>
      <c r="H247" t="inlineStr">
        <is>
          <t>No</t>
        </is>
      </c>
      <c r="I247" t="inlineStr">
        <is>
          <t>No</t>
        </is>
      </c>
      <c r="J247" t="inlineStr">
        <is>
          <t>0</t>
        </is>
      </c>
      <c r="K247" t="inlineStr">
        <is>
          <t>Levy, Reuben.</t>
        </is>
      </c>
      <c r="L247" t="inlineStr">
        <is>
          <t>Cambridge [Eng.] : University Press, 1965, c1957.</t>
        </is>
      </c>
      <c r="M247" t="inlineStr">
        <is>
          <t>1965</t>
        </is>
      </c>
      <c r="O247" t="inlineStr">
        <is>
          <t>eng</t>
        </is>
      </c>
      <c r="P247" t="inlineStr">
        <is>
          <t>enk</t>
        </is>
      </c>
      <c r="R247" t="inlineStr">
        <is>
          <t xml:space="preserve">HN </t>
        </is>
      </c>
      <c r="S247" t="n">
        <v>2</v>
      </c>
      <c r="T247" t="n">
        <v>2</v>
      </c>
      <c r="U247" t="inlineStr">
        <is>
          <t>2001-02-03</t>
        </is>
      </c>
      <c r="V247" t="inlineStr">
        <is>
          <t>2001-02-03</t>
        </is>
      </c>
      <c r="W247" t="inlineStr">
        <is>
          <t>1993-05-24</t>
        </is>
      </c>
      <c r="X247" t="inlineStr">
        <is>
          <t>1993-05-24</t>
        </is>
      </c>
      <c r="Y247" t="n">
        <v>109</v>
      </c>
      <c r="Z247" t="n">
        <v>100</v>
      </c>
      <c r="AA247" t="n">
        <v>887</v>
      </c>
      <c r="AB247" t="n">
        <v>1</v>
      </c>
      <c r="AC247" t="n">
        <v>5</v>
      </c>
      <c r="AD247" t="n">
        <v>5</v>
      </c>
      <c r="AE247" t="n">
        <v>41</v>
      </c>
      <c r="AF247" t="n">
        <v>3</v>
      </c>
      <c r="AG247" t="n">
        <v>20</v>
      </c>
      <c r="AH247" t="n">
        <v>1</v>
      </c>
      <c r="AI247" t="n">
        <v>7</v>
      </c>
      <c r="AJ247" t="n">
        <v>2</v>
      </c>
      <c r="AK247" t="n">
        <v>19</v>
      </c>
      <c r="AL247" t="n">
        <v>0</v>
      </c>
      <c r="AM247" t="n">
        <v>4</v>
      </c>
      <c r="AN247" t="n">
        <v>0</v>
      </c>
      <c r="AO247" t="n">
        <v>1</v>
      </c>
      <c r="AP247" t="inlineStr">
        <is>
          <t>No</t>
        </is>
      </c>
      <c r="AQ247" t="inlineStr">
        <is>
          <t>No</t>
        </is>
      </c>
      <c r="AS247">
        <f>HYPERLINK("https://creighton-primo.hosted.exlibrisgroup.com/primo-explore/search?tab=default_tab&amp;search_scope=EVERYTHING&amp;vid=01CRU&amp;lang=en_US&amp;offset=0&amp;query=any,contains,991004940109702656","Catalog Record")</f>
        <v/>
      </c>
      <c r="AT247">
        <f>HYPERLINK("http://www.worldcat.org/oclc/6176146","WorldCat Record")</f>
        <v/>
      </c>
      <c r="AU247" t="inlineStr">
        <is>
          <t>502914:eng</t>
        </is>
      </c>
      <c r="AV247" t="inlineStr">
        <is>
          <t>6176146</t>
        </is>
      </c>
      <c r="AW247" t="inlineStr">
        <is>
          <t>991004940109702656</t>
        </is>
      </c>
      <c r="AX247" t="inlineStr">
        <is>
          <t>991004940109702656</t>
        </is>
      </c>
      <c r="AY247" t="inlineStr">
        <is>
          <t>2258138140002656</t>
        </is>
      </c>
      <c r="AZ247" t="inlineStr">
        <is>
          <t>BOOK</t>
        </is>
      </c>
      <c r="BC247" t="inlineStr">
        <is>
          <t>32285001692242</t>
        </is>
      </c>
      <c r="BD247" t="inlineStr">
        <is>
          <t>893443215</t>
        </is>
      </c>
    </row>
    <row r="248">
      <c r="A248" t="inlineStr">
        <is>
          <t>No</t>
        </is>
      </c>
      <c r="B248" t="inlineStr">
        <is>
          <t>HN400.3.A8 A74 1995</t>
        </is>
      </c>
      <c r="C248" t="inlineStr">
        <is>
          <t>0                      HN 0400300A  8                  A  74          1995</t>
        </is>
      </c>
      <c r="D248" t="inlineStr">
        <is>
          <t>Ireland and the Irish : portrait of a changing society / John Ardagh.</t>
        </is>
      </c>
      <c r="F248" t="inlineStr">
        <is>
          <t>No</t>
        </is>
      </c>
      <c r="G248" t="inlineStr">
        <is>
          <t>1</t>
        </is>
      </c>
      <c r="H248" t="inlineStr">
        <is>
          <t>No</t>
        </is>
      </c>
      <c r="I248" t="inlineStr">
        <is>
          <t>No</t>
        </is>
      </c>
      <c r="J248" t="inlineStr">
        <is>
          <t>0</t>
        </is>
      </c>
      <c r="K248" t="inlineStr">
        <is>
          <t>Ardagh, John, 1928-2008.</t>
        </is>
      </c>
      <c r="L248" t="inlineStr">
        <is>
          <t>London : Penguin, 1995.</t>
        </is>
      </c>
      <c r="M248" t="inlineStr">
        <is>
          <t>1995</t>
        </is>
      </c>
      <c r="O248" t="inlineStr">
        <is>
          <t>eng</t>
        </is>
      </c>
      <c r="P248" t="inlineStr">
        <is>
          <t>enk</t>
        </is>
      </c>
      <c r="R248" t="inlineStr">
        <is>
          <t xml:space="preserve">HN </t>
        </is>
      </c>
      <c r="S248" t="n">
        <v>2</v>
      </c>
      <c r="T248" t="n">
        <v>2</v>
      </c>
      <c r="U248" t="inlineStr">
        <is>
          <t>2007-11-19</t>
        </is>
      </c>
      <c r="V248" t="inlineStr">
        <is>
          <t>2007-11-19</t>
        </is>
      </c>
      <c r="W248" t="inlineStr">
        <is>
          <t>1996-03-06</t>
        </is>
      </c>
      <c r="X248" t="inlineStr">
        <is>
          <t>1996-03-06</t>
        </is>
      </c>
      <c r="Y248" t="n">
        <v>220</v>
      </c>
      <c r="Z248" t="n">
        <v>131</v>
      </c>
      <c r="AA248" t="n">
        <v>665</v>
      </c>
      <c r="AB248" t="n">
        <v>1</v>
      </c>
      <c r="AC248" t="n">
        <v>2</v>
      </c>
      <c r="AD248" t="n">
        <v>5</v>
      </c>
      <c r="AE248" t="n">
        <v>22</v>
      </c>
      <c r="AF248" t="n">
        <v>2</v>
      </c>
      <c r="AG248" t="n">
        <v>8</v>
      </c>
      <c r="AH248" t="n">
        <v>2</v>
      </c>
      <c r="AI248" t="n">
        <v>8</v>
      </c>
      <c r="AJ248" t="n">
        <v>1</v>
      </c>
      <c r="AK248" t="n">
        <v>11</v>
      </c>
      <c r="AL248" t="n">
        <v>0</v>
      </c>
      <c r="AM248" t="n">
        <v>1</v>
      </c>
      <c r="AN248" t="n">
        <v>0</v>
      </c>
      <c r="AO248" t="n">
        <v>0</v>
      </c>
      <c r="AP248" t="inlineStr">
        <is>
          <t>No</t>
        </is>
      </c>
      <c r="AQ248" t="inlineStr">
        <is>
          <t>No</t>
        </is>
      </c>
      <c r="AS248">
        <f>HYPERLINK("https://creighton-primo.hosted.exlibrisgroup.com/primo-explore/search?tab=default_tab&amp;search_scope=EVERYTHING&amp;vid=01CRU&amp;lang=en_US&amp;offset=0&amp;query=any,contains,991002579369702656","Catalog Record")</f>
        <v/>
      </c>
      <c r="AT248">
        <f>HYPERLINK("http://www.worldcat.org/oclc/33325862","WorldCat Record")</f>
        <v/>
      </c>
      <c r="AU248" t="inlineStr">
        <is>
          <t>293139183:eng</t>
        </is>
      </c>
      <c r="AV248" t="inlineStr">
        <is>
          <t>33325862</t>
        </is>
      </c>
      <c r="AW248" t="inlineStr">
        <is>
          <t>991002579369702656</t>
        </is>
      </c>
      <c r="AX248" t="inlineStr">
        <is>
          <t>991002579369702656</t>
        </is>
      </c>
      <c r="AY248" t="inlineStr">
        <is>
          <t>2264892270002656</t>
        </is>
      </c>
      <c r="AZ248" t="inlineStr">
        <is>
          <t>BOOK</t>
        </is>
      </c>
      <c r="BB248" t="inlineStr">
        <is>
          <t>9780140171600</t>
        </is>
      </c>
      <c r="BC248" t="inlineStr">
        <is>
          <t>32285002140290</t>
        </is>
      </c>
      <c r="BD248" t="inlineStr">
        <is>
          <t>893421555</t>
        </is>
      </c>
    </row>
    <row r="249">
      <c r="A249" t="inlineStr">
        <is>
          <t>No</t>
        </is>
      </c>
      <c r="B249" t="inlineStr">
        <is>
          <t>HN400.3.A8 B33 2004</t>
        </is>
      </c>
      <c r="C249" t="inlineStr">
        <is>
          <t>0                      HN 0400300A  8                  B  33          2004</t>
        </is>
      </c>
      <c r="D249" t="inlineStr">
        <is>
          <t>Kicking and screaming : dragging Ireland into the 21st century / Ivana Bacik.</t>
        </is>
      </c>
      <c r="F249" t="inlineStr">
        <is>
          <t>No</t>
        </is>
      </c>
      <c r="G249" t="inlineStr">
        <is>
          <t>1</t>
        </is>
      </c>
      <c r="H249" t="inlineStr">
        <is>
          <t>No</t>
        </is>
      </c>
      <c r="I249" t="inlineStr">
        <is>
          <t>No</t>
        </is>
      </c>
      <c r="J249" t="inlineStr">
        <is>
          <t>0</t>
        </is>
      </c>
      <c r="K249" t="inlineStr">
        <is>
          <t>Bacik, Ivana.</t>
        </is>
      </c>
      <c r="L249" t="inlineStr">
        <is>
          <t>Dublin : O'Brien, 2004.</t>
        </is>
      </c>
      <c r="M249" t="inlineStr">
        <is>
          <t>2004</t>
        </is>
      </c>
      <c r="O249" t="inlineStr">
        <is>
          <t>eng</t>
        </is>
      </c>
      <c r="P249" t="inlineStr">
        <is>
          <t xml:space="preserve">ie </t>
        </is>
      </c>
      <c r="R249" t="inlineStr">
        <is>
          <t xml:space="preserve">HN </t>
        </is>
      </c>
      <c r="S249" t="n">
        <v>4</v>
      </c>
      <c r="T249" t="n">
        <v>4</v>
      </c>
      <c r="U249" t="inlineStr">
        <is>
          <t>2006-12-11</t>
        </is>
      </c>
      <c r="V249" t="inlineStr">
        <is>
          <t>2006-12-11</t>
        </is>
      </c>
      <c r="W249" t="inlineStr">
        <is>
          <t>2005-01-19</t>
        </is>
      </c>
      <c r="X249" t="inlineStr">
        <is>
          <t>2005-01-19</t>
        </is>
      </c>
      <c r="Y249" t="n">
        <v>160</v>
      </c>
      <c r="Z249" t="n">
        <v>125</v>
      </c>
      <c r="AA249" t="n">
        <v>125</v>
      </c>
      <c r="AB249" t="n">
        <v>1</v>
      </c>
      <c r="AC249" t="n">
        <v>1</v>
      </c>
      <c r="AD249" t="n">
        <v>10</v>
      </c>
      <c r="AE249" t="n">
        <v>10</v>
      </c>
      <c r="AF249" t="n">
        <v>4</v>
      </c>
      <c r="AG249" t="n">
        <v>4</v>
      </c>
      <c r="AH249" t="n">
        <v>3</v>
      </c>
      <c r="AI249" t="n">
        <v>3</v>
      </c>
      <c r="AJ249" t="n">
        <v>4</v>
      </c>
      <c r="AK249" t="n">
        <v>4</v>
      </c>
      <c r="AL249" t="n">
        <v>0</v>
      </c>
      <c r="AM249" t="n">
        <v>0</v>
      </c>
      <c r="AN249" t="n">
        <v>1</v>
      </c>
      <c r="AO249" t="n">
        <v>1</v>
      </c>
      <c r="AP249" t="inlineStr">
        <is>
          <t>No</t>
        </is>
      </c>
      <c r="AQ249" t="inlineStr">
        <is>
          <t>No</t>
        </is>
      </c>
      <c r="AS249">
        <f>HYPERLINK("https://creighton-primo.hosted.exlibrisgroup.com/primo-explore/search?tab=default_tab&amp;search_scope=EVERYTHING&amp;vid=01CRU&amp;lang=en_US&amp;offset=0&amp;query=any,contains,991004435249702656","Catalog Record")</f>
        <v/>
      </c>
      <c r="AT249">
        <f>HYPERLINK("http://www.worldcat.org/oclc/55482236","WorldCat Record")</f>
        <v/>
      </c>
      <c r="AU249" t="inlineStr">
        <is>
          <t>14579412:eng</t>
        </is>
      </c>
      <c r="AV249" t="inlineStr">
        <is>
          <t>55482236</t>
        </is>
      </c>
      <c r="AW249" t="inlineStr">
        <is>
          <t>991004435249702656</t>
        </is>
      </c>
      <c r="AX249" t="inlineStr">
        <is>
          <t>991004435249702656</t>
        </is>
      </c>
      <c r="AY249" t="inlineStr">
        <is>
          <t>2261371450002656</t>
        </is>
      </c>
      <c r="AZ249" t="inlineStr">
        <is>
          <t>BOOK</t>
        </is>
      </c>
      <c r="BB249" t="inlineStr">
        <is>
          <t>9780862788605</t>
        </is>
      </c>
      <c r="BC249" t="inlineStr">
        <is>
          <t>32285005022107</t>
        </is>
      </c>
      <c r="BD249" t="inlineStr">
        <is>
          <t>893618668</t>
        </is>
      </c>
    </row>
    <row r="250">
      <c r="A250" t="inlineStr">
        <is>
          <t>No</t>
        </is>
      </c>
      <c r="B250" t="inlineStr">
        <is>
          <t>HN400.M6 H86 1999</t>
        </is>
      </c>
      <c r="C250" t="inlineStr">
        <is>
          <t>0                      HN 0400000M  6                  H  86          1999</t>
        </is>
      </c>
      <c r="D250" t="inlineStr">
        <is>
          <t>Governing morals : a social history of moral regulation / Alan Hunt.</t>
        </is>
      </c>
      <c r="F250" t="inlineStr">
        <is>
          <t>No</t>
        </is>
      </c>
      <c r="G250" t="inlineStr">
        <is>
          <t>1</t>
        </is>
      </c>
      <c r="H250" t="inlineStr">
        <is>
          <t>Yes</t>
        </is>
      </c>
      <c r="I250" t="inlineStr">
        <is>
          <t>No</t>
        </is>
      </c>
      <c r="J250" t="inlineStr">
        <is>
          <t>0</t>
        </is>
      </c>
      <c r="K250" t="inlineStr">
        <is>
          <t>Hunt, Alan, 1949-</t>
        </is>
      </c>
      <c r="L250" t="inlineStr">
        <is>
          <t>Cambridge ; New York, NY : Cambridge University Press, 1999.</t>
        </is>
      </c>
      <c r="M250" t="inlineStr">
        <is>
          <t>1999</t>
        </is>
      </c>
      <c r="O250" t="inlineStr">
        <is>
          <t>eng</t>
        </is>
      </c>
      <c r="P250" t="inlineStr">
        <is>
          <t>enk</t>
        </is>
      </c>
      <c r="Q250" t="inlineStr">
        <is>
          <t>Cambridge studies in law and society</t>
        </is>
      </c>
      <c r="R250" t="inlineStr">
        <is>
          <t xml:space="preserve">HN </t>
        </is>
      </c>
      <c r="S250" t="n">
        <v>3</v>
      </c>
      <c r="T250" t="n">
        <v>3</v>
      </c>
      <c r="U250" t="inlineStr">
        <is>
          <t>2009-04-14</t>
        </is>
      </c>
      <c r="V250" t="inlineStr">
        <is>
          <t>2009-04-14</t>
        </is>
      </c>
      <c r="W250" t="inlineStr">
        <is>
          <t>1999-10-05</t>
        </is>
      </c>
      <c r="X250" t="inlineStr">
        <is>
          <t>2006-05-19</t>
        </is>
      </c>
      <c r="Y250" t="n">
        <v>524</v>
      </c>
      <c r="Z250" t="n">
        <v>379</v>
      </c>
      <c r="AA250" t="n">
        <v>380</v>
      </c>
      <c r="AB250" t="n">
        <v>3</v>
      </c>
      <c r="AC250" t="n">
        <v>3</v>
      </c>
      <c r="AD250" t="n">
        <v>17</v>
      </c>
      <c r="AE250" t="n">
        <v>18</v>
      </c>
      <c r="AF250" t="n">
        <v>2</v>
      </c>
      <c r="AG250" t="n">
        <v>3</v>
      </c>
      <c r="AH250" t="n">
        <v>6</v>
      </c>
      <c r="AI250" t="n">
        <v>6</v>
      </c>
      <c r="AJ250" t="n">
        <v>10</v>
      </c>
      <c r="AK250" t="n">
        <v>10</v>
      </c>
      <c r="AL250" t="n">
        <v>1</v>
      </c>
      <c r="AM250" t="n">
        <v>1</v>
      </c>
      <c r="AN250" t="n">
        <v>2</v>
      </c>
      <c r="AO250" t="n">
        <v>2</v>
      </c>
      <c r="AP250" t="inlineStr">
        <is>
          <t>No</t>
        </is>
      </c>
      <c r="AQ250" t="inlineStr">
        <is>
          <t>No</t>
        </is>
      </c>
      <c r="AS250">
        <f>HYPERLINK("https://creighton-primo.hosted.exlibrisgroup.com/primo-explore/search?tab=default_tab&amp;search_scope=EVERYTHING&amp;vid=01CRU&amp;lang=en_US&amp;offset=0&amp;query=any,contains,991001694139702656","Catalog Record")</f>
        <v/>
      </c>
      <c r="AT250">
        <f>HYPERLINK("http://www.worldcat.org/oclc/42406715","WorldCat Record")</f>
        <v/>
      </c>
      <c r="AU250" t="inlineStr">
        <is>
          <t>329034983:eng</t>
        </is>
      </c>
      <c r="AV250" t="inlineStr">
        <is>
          <t>42406715</t>
        </is>
      </c>
      <c r="AW250" t="inlineStr">
        <is>
          <t>991001694139702656</t>
        </is>
      </c>
      <c r="AX250" t="inlineStr">
        <is>
          <t>991001694139702656</t>
        </is>
      </c>
      <c r="AY250" t="inlineStr">
        <is>
          <t>2255802230002656</t>
        </is>
      </c>
      <c r="AZ250" t="inlineStr">
        <is>
          <t>BOOK</t>
        </is>
      </c>
      <c r="BB250" t="inlineStr">
        <is>
          <t>9780521640718</t>
        </is>
      </c>
      <c r="BC250" t="inlineStr">
        <is>
          <t>32285003592622</t>
        </is>
      </c>
      <c r="BD250" t="inlineStr">
        <is>
          <t>893866411</t>
        </is>
      </c>
    </row>
    <row r="251">
      <c r="A251" t="inlineStr">
        <is>
          <t>No</t>
        </is>
      </c>
      <c r="B251" t="inlineStr">
        <is>
          <t>HN400.R3 B74 1980</t>
        </is>
      </c>
      <c r="C251" t="inlineStr">
        <is>
          <t>0                      HN 0400000R  3                  B  74          1980</t>
        </is>
      </c>
      <c r="D251" t="inlineStr">
        <is>
          <t>British fascism : essays on the radical right in inter-war Britain / edited by Kenneth Lunn and Richard C. Thurlow.</t>
        </is>
      </c>
      <c r="F251" t="inlineStr">
        <is>
          <t>No</t>
        </is>
      </c>
      <c r="G251" t="inlineStr">
        <is>
          <t>1</t>
        </is>
      </c>
      <c r="H251" t="inlineStr">
        <is>
          <t>No</t>
        </is>
      </c>
      <c r="I251" t="inlineStr">
        <is>
          <t>No</t>
        </is>
      </c>
      <c r="J251" t="inlineStr">
        <is>
          <t>0</t>
        </is>
      </c>
      <c r="L251" t="inlineStr">
        <is>
          <t>New York : St. Martin's Press, 1980.</t>
        </is>
      </c>
      <c r="M251" t="inlineStr">
        <is>
          <t>1980</t>
        </is>
      </c>
      <c r="O251" t="inlineStr">
        <is>
          <t>eng</t>
        </is>
      </c>
      <c r="P251" t="inlineStr">
        <is>
          <t>nyu</t>
        </is>
      </c>
      <c r="R251" t="inlineStr">
        <is>
          <t xml:space="preserve">HN </t>
        </is>
      </c>
      <c r="S251" t="n">
        <v>1</v>
      </c>
      <c r="T251" t="n">
        <v>1</v>
      </c>
      <c r="U251" t="inlineStr">
        <is>
          <t>2006-03-29</t>
        </is>
      </c>
      <c r="V251" t="inlineStr">
        <is>
          <t>2006-03-29</t>
        </is>
      </c>
      <c r="W251" t="inlineStr">
        <is>
          <t>1992-10-13</t>
        </is>
      </c>
      <c r="X251" t="inlineStr">
        <is>
          <t>1992-10-13</t>
        </is>
      </c>
      <c r="Y251" t="n">
        <v>317</v>
      </c>
      <c r="Z251" t="n">
        <v>279</v>
      </c>
      <c r="AA251" t="n">
        <v>350</v>
      </c>
      <c r="AB251" t="n">
        <v>1</v>
      </c>
      <c r="AC251" t="n">
        <v>3</v>
      </c>
      <c r="AD251" t="n">
        <v>9</v>
      </c>
      <c r="AE251" t="n">
        <v>13</v>
      </c>
      <c r="AF251" t="n">
        <v>1</v>
      </c>
      <c r="AG251" t="n">
        <v>1</v>
      </c>
      <c r="AH251" t="n">
        <v>6</v>
      </c>
      <c r="AI251" t="n">
        <v>6</v>
      </c>
      <c r="AJ251" t="n">
        <v>7</v>
      </c>
      <c r="AK251" t="n">
        <v>9</v>
      </c>
      <c r="AL251" t="n">
        <v>0</v>
      </c>
      <c r="AM251" t="n">
        <v>2</v>
      </c>
      <c r="AN251" t="n">
        <v>0</v>
      </c>
      <c r="AO251" t="n">
        <v>0</v>
      </c>
      <c r="AP251" t="inlineStr">
        <is>
          <t>No</t>
        </is>
      </c>
      <c r="AQ251" t="inlineStr">
        <is>
          <t>No</t>
        </is>
      </c>
      <c r="AS251">
        <f>HYPERLINK("https://creighton-primo.hosted.exlibrisgroup.com/primo-explore/search?tab=default_tab&amp;search_scope=EVERYTHING&amp;vid=01CRU&amp;lang=en_US&amp;offset=0&amp;query=any,contains,991004831029702656","Catalog Record")</f>
        <v/>
      </c>
      <c r="AT251">
        <f>HYPERLINK("http://www.worldcat.org/oclc/5410773","WorldCat Record")</f>
        <v/>
      </c>
      <c r="AU251" t="inlineStr">
        <is>
          <t>889279373:eng</t>
        </is>
      </c>
      <c r="AV251" t="inlineStr">
        <is>
          <t>5410773</t>
        </is>
      </c>
      <c r="AW251" t="inlineStr">
        <is>
          <t>991004831029702656</t>
        </is>
      </c>
      <c r="AX251" t="inlineStr">
        <is>
          <t>991004831029702656</t>
        </is>
      </c>
      <c r="AY251" t="inlineStr">
        <is>
          <t>2260527490002656</t>
        </is>
      </c>
      <c r="AZ251" t="inlineStr">
        <is>
          <t>BOOK</t>
        </is>
      </c>
      <c r="BB251" t="inlineStr">
        <is>
          <t>9780312101305</t>
        </is>
      </c>
      <c r="BC251" t="inlineStr">
        <is>
          <t>32285001357093</t>
        </is>
      </c>
      <c r="BD251" t="inlineStr">
        <is>
          <t>893694388</t>
        </is>
      </c>
    </row>
    <row r="252">
      <c r="A252" t="inlineStr">
        <is>
          <t>No</t>
        </is>
      </c>
      <c r="B252" t="inlineStr">
        <is>
          <t>HN400.S6 C54 1987</t>
        </is>
      </c>
      <c r="C252" t="inlineStr">
        <is>
          <t>0                      HN 0400000S  6                  C  54          1987</t>
        </is>
      </c>
      <c r="D252" t="inlineStr">
        <is>
          <t>Class and space : the making of urban society / edited by Nigel Thrift and Peter Williams.</t>
        </is>
      </c>
      <c r="F252" t="inlineStr">
        <is>
          <t>No</t>
        </is>
      </c>
      <c r="G252" t="inlineStr">
        <is>
          <t>1</t>
        </is>
      </c>
      <c r="H252" t="inlineStr">
        <is>
          <t>No</t>
        </is>
      </c>
      <c r="I252" t="inlineStr">
        <is>
          <t>No</t>
        </is>
      </c>
      <c r="J252" t="inlineStr">
        <is>
          <t>0</t>
        </is>
      </c>
      <c r="L252" t="inlineStr">
        <is>
          <t>London ; New York : Routledge &amp; Kegan Paul, 1987.</t>
        </is>
      </c>
      <c r="M252" t="inlineStr">
        <is>
          <t>1987</t>
        </is>
      </c>
      <c r="O252" t="inlineStr">
        <is>
          <t>eng</t>
        </is>
      </c>
      <c r="P252" t="inlineStr">
        <is>
          <t>enk</t>
        </is>
      </c>
      <c r="R252" t="inlineStr">
        <is>
          <t xml:space="preserve">HN </t>
        </is>
      </c>
      <c r="S252" t="n">
        <v>1</v>
      </c>
      <c r="T252" t="n">
        <v>1</v>
      </c>
      <c r="U252" t="inlineStr">
        <is>
          <t>2008-11-07</t>
        </is>
      </c>
      <c r="V252" t="inlineStr">
        <is>
          <t>2008-11-07</t>
        </is>
      </c>
      <c r="W252" t="inlineStr">
        <is>
          <t>1992-10-13</t>
        </is>
      </c>
      <c r="X252" t="inlineStr">
        <is>
          <t>1992-10-13</t>
        </is>
      </c>
      <c r="Y252" t="n">
        <v>443</v>
      </c>
      <c r="Z252" t="n">
        <v>234</v>
      </c>
      <c r="AA252" t="n">
        <v>259</v>
      </c>
      <c r="AB252" t="n">
        <v>3</v>
      </c>
      <c r="AC252" t="n">
        <v>3</v>
      </c>
      <c r="AD252" t="n">
        <v>14</v>
      </c>
      <c r="AE252" t="n">
        <v>14</v>
      </c>
      <c r="AF252" t="n">
        <v>4</v>
      </c>
      <c r="AG252" t="n">
        <v>4</v>
      </c>
      <c r="AH252" t="n">
        <v>4</v>
      </c>
      <c r="AI252" t="n">
        <v>4</v>
      </c>
      <c r="AJ252" t="n">
        <v>10</v>
      </c>
      <c r="AK252" t="n">
        <v>10</v>
      </c>
      <c r="AL252" t="n">
        <v>2</v>
      </c>
      <c r="AM252" t="n">
        <v>2</v>
      </c>
      <c r="AN252" t="n">
        <v>0</v>
      </c>
      <c r="AO252" t="n">
        <v>0</v>
      </c>
      <c r="AP252" t="inlineStr">
        <is>
          <t>No</t>
        </is>
      </c>
      <c r="AQ252" t="inlineStr">
        <is>
          <t>No</t>
        </is>
      </c>
      <c r="AS252">
        <f>HYPERLINK("https://creighton-primo.hosted.exlibrisgroup.com/primo-explore/search?tab=default_tab&amp;search_scope=EVERYTHING&amp;vid=01CRU&amp;lang=en_US&amp;offset=0&amp;query=any,contains,991001050679702656","Catalog Record")</f>
        <v/>
      </c>
      <c r="AT252">
        <f>HYPERLINK("http://www.worldcat.org/oclc/15653871","WorldCat Record")</f>
        <v/>
      </c>
      <c r="AU252" t="inlineStr">
        <is>
          <t>836621040:eng</t>
        </is>
      </c>
      <c r="AV252" t="inlineStr">
        <is>
          <t>15653871</t>
        </is>
      </c>
      <c r="AW252" t="inlineStr">
        <is>
          <t>991001050679702656</t>
        </is>
      </c>
      <c r="AX252" t="inlineStr">
        <is>
          <t>991001050679702656</t>
        </is>
      </c>
      <c r="AY252" t="inlineStr">
        <is>
          <t>2266693310002656</t>
        </is>
      </c>
      <c r="AZ252" t="inlineStr">
        <is>
          <t>BOOK</t>
        </is>
      </c>
      <c r="BB252" t="inlineStr">
        <is>
          <t>9780710202307</t>
        </is>
      </c>
      <c r="BC252" t="inlineStr">
        <is>
          <t>32285001357135</t>
        </is>
      </c>
      <c r="BD252" t="inlineStr">
        <is>
          <t>893255967</t>
        </is>
      </c>
    </row>
    <row r="253">
      <c r="A253" t="inlineStr">
        <is>
          <t>No</t>
        </is>
      </c>
      <c r="B253" t="inlineStr">
        <is>
          <t>HN400.S6 C665 1992</t>
        </is>
      </c>
      <c r="C253" t="inlineStr">
        <is>
          <t>0                      HN 0400000S  6                  C  665         1992</t>
        </is>
      </c>
      <c r="D253" t="inlineStr">
        <is>
          <t>Consumption and class : divisions and change / edited by Roger Burrows and Catherine Marsh.</t>
        </is>
      </c>
      <c r="F253" t="inlineStr">
        <is>
          <t>No</t>
        </is>
      </c>
      <c r="G253" t="inlineStr">
        <is>
          <t>1</t>
        </is>
      </c>
      <c r="H253" t="inlineStr">
        <is>
          <t>No</t>
        </is>
      </c>
      <c r="I253" t="inlineStr">
        <is>
          <t>No</t>
        </is>
      </c>
      <c r="J253" t="inlineStr">
        <is>
          <t>0</t>
        </is>
      </c>
      <c r="L253" t="inlineStr">
        <is>
          <t>New York : St. Martin's Press, 1992.</t>
        </is>
      </c>
      <c r="M253" t="inlineStr">
        <is>
          <t>1992</t>
        </is>
      </c>
      <c r="O253" t="inlineStr">
        <is>
          <t>eng</t>
        </is>
      </c>
      <c r="P253" t="inlineStr">
        <is>
          <t>nyu</t>
        </is>
      </c>
      <c r="R253" t="inlineStr">
        <is>
          <t xml:space="preserve">HN </t>
        </is>
      </c>
      <c r="S253" t="n">
        <v>10</v>
      </c>
      <c r="T253" t="n">
        <v>10</v>
      </c>
      <c r="U253" t="inlineStr">
        <is>
          <t>2007-11-15</t>
        </is>
      </c>
      <c r="V253" t="inlineStr">
        <is>
          <t>2007-11-15</t>
        </is>
      </c>
      <c r="W253" t="inlineStr">
        <is>
          <t>1992-05-21</t>
        </is>
      </c>
      <c r="X253" t="inlineStr">
        <is>
          <t>1992-05-21</t>
        </is>
      </c>
      <c r="Y253" t="n">
        <v>102</v>
      </c>
      <c r="Z253" t="n">
        <v>72</v>
      </c>
      <c r="AA253" t="n">
        <v>89</v>
      </c>
      <c r="AB253" t="n">
        <v>1</v>
      </c>
      <c r="AC253" t="n">
        <v>1</v>
      </c>
      <c r="AD253" t="n">
        <v>3</v>
      </c>
      <c r="AE253" t="n">
        <v>4</v>
      </c>
      <c r="AF253" t="n">
        <v>0</v>
      </c>
      <c r="AG253" t="n">
        <v>1</v>
      </c>
      <c r="AH253" t="n">
        <v>2</v>
      </c>
      <c r="AI253" t="n">
        <v>2</v>
      </c>
      <c r="AJ253" t="n">
        <v>2</v>
      </c>
      <c r="AK253" t="n">
        <v>3</v>
      </c>
      <c r="AL253" t="n">
        <v>0</v>
      </c>
      <c r="AM253" t="n">
        <v>0</v>
      </c>
      <c r="AN253" t="n">
        <v>0</v>
      </c>
      <c r="AO253" t="n">
        <v>0</v>
      </c>
      <c r="AP253" t="inlineStr">
        <is>
          <t>No</t>
        </is>
      </c>
      <c r="AQ253" t="inlineStr">
        <is>
          <t>No</t>
        </is>
      </c>
      <c r="AS253">
        <f>HYPERLINK("https://creighton-primo.hosted.exlibrisgroup.com/primo-explore/search?tab=default_tab&amp;search_scope=EVERYTHING&amp;vid=01CRU&amp;lang=en_US&amp;offset=0&amp;query=any,contains,991001912279702656","Catalog Record")</f>
        <v/>
      </c>
      <c r="AT253">
        <f>HYPERLINK("http://www.worldcat.org/oclc/24143509","WorldCat Record")</f>
        <v/>
      </c>
      <c r="AU253" t="inlineStr">
        <is>
          <t>836731217:eng</t>
        </is>
      </c>
      <c r="AV253" t="inlineStr">
        <is>
          <t>24143509</t>
        </is>
      </c>
      <c r="AW253" t="inlineStr">
        <is>
          <t>991001912279702656</t>
        </is>
      </c>
      <c r="AX253" t="inlineStr">
        <is>
          <t>991001912279702656</t>
        </is>
      </c>
      <c r="AY253" t="inlineStr">
        <is>
          <t>2266361340002656</t>
        </is>
      </c>
      <c r="AZ253" t="inlineStr">
        <is>
          <t>BOOK</t>
        </is>
      </c>
      <c r="BB253" t="inlineStr">
        <is>
          <t>9780312068677</t>
        </is>
      </c>
      <c r="BC253" t="inlineStr">
        <is>
          <t>32285001117364</t>
        </is>
      </c>
      <c r="BD253" t="inlineStr">
        <is>
          <t>893684751</t>
        </is>
      </c>
    </row>
    <row r="254">
      <c r="A254" t="inlineStr">
        <is>
          <t>No</t>
        </is>
      </c>
      <c r="B254" t="inlineStr">
        <is>
          <t>HN400.S6 C668 1995</t>
        </is>
      </c>
      <c r="C254" t="inlineStr">
        <is>
          <t>0                      HN 0400000S  6                  C  668         1995</t>
        </is>
      </c>
      <c r="D254" t="inlineStr">
        <is>
          <t>English laws and American problems / Archibald C. Coolidge, Jr.</t>
        </is>
      </c>
      <c r="F254" t="inlineStr">
        <is>
          <t>No</t>
        </is>
      </c>
      <c r="G254" t="inlineStr">
        <is>
          <t>1</t>
        </is>
      </c>
      <c r="H254" t="inlineStr">
        <is>
          <t>No</t>
        </is>
      </c>
      <c r="I254" t="inlineStr">
        <is>
          <t>No</t>
        </is>
      </c>
      <c r="J254" t="inlineStr">
        <is>
          <t>0</t>
        </is>
      </c>
      <c r="K254" t="inlineStr">
        <is>
          <t>Coolidge, Archibald Cary, 1928-</t>
        </is>
      </c>
      <c r="L254" t="inlineStr">
        <is>
          <t>Iowa City, IA : Maecenas Press, 1995.</t>
        </is>
      </c>
      <c r="M254" t="inlineStr">
        <is>
          <t>1995</t>
        </is>
      </c>
      <c r="O254" t="inlineStr">
        <is>
          <t>eng</t>
        </is>
      </c>
      <c r="P254" t="inlineStr">
        <is>
          <t>iau</t>
        </is>
      </c>
      <c r="R254" t="inlineStr">
        <is>
          <t xml:space="preserve">HN </t>
        </is>
      </c>
      <c r="S254" t="n">
        <v>1</v>
      </c>
      <c r="T254" t="n">
        <v>1</v>
      </c>
      <c r="U254" t="inlineStr">
        <is>
          <t>2002-11-21</t>
        </is>
      </c>
      <c r="V254" t="inlineStr">
        <is>
          <t>2002-11-21</t>
        </is>
      </c>
      <c r="W254" t="inlineStr">
        <is>
          <t>2002-11-21</t>
        </is>
      </c>
      <c r="X254" t="inlineStr">
        <is>
          <t>2002-11-21</t>
        </is>
      </c>
      <c r="Y254" t="n">
        <v>69</v>
      </c>
      <c r="Z254" t="n">
        <v>61</v>
      </c>
      <c r="AA254" t="n">
        <v>67</v>
      </c>
      <c r="AB254" t="n">
        <v>2</v>
      </c>
      <c r="AC254" t="n">
        <v>2</v>
      </c>
      <c r="AD254" t="n">
        <v>5</v>
      </c>
      <c r="AE254" t="n">
        <v>5</v>
      </c>
      <c r="AF254" t="n">
        <v>0</v>
      </c>
      <c r="AG254" t="n">
        <v>0</v>
      </c>
      <c r="AH254" t="n">
        <v>1</v>
      </c>
      <c r="AI254" t="n">
        <v>1</v>
      </c>
      <c r="AJ254" t="n">
        <v>1</v>
      </c>
      <c r="AK254" t="n">
        <v>1</v>
      </c>
      <c r="AL254" t="n">
        <v>0</v>
      </c>
      <c r="AM254" t="n">
        <v>0</v>
      </c>
      <c r="AN254" t="n">
        <v>4</v>
      </c>
      <c r="AO254" t="n">
        <v>4</v>
      </c>
      <c r="AP254" t="inlineStr">
        <is>
          <t>No</t>
        </is>
      </c>
      <c r="AQ254" t="inlineStr">
        <is>
          <t>No</t>
        </is>
      </c>
      <c r="AS254">
        <f>HYPERLINK("https://creighton-primo.hosted.exlibrisgroup.com/primo-explore/search?tab=default_tab&amp;search_scope=EVERYTHING&amp;vid=01CRU&amp;lang=en_US&amp;offset=0&amp;query=any,contains,991003949059702656","Catalog Record")</f>
        <v/>
      </c>
      <c r="AT254">
        <f>HYPERLINK("http://www.worldcat.org/oclc/32273718","WorldCat Record")</f>
        <v/>
      </c>
      <c r="AU254" t="inlineStr">
        <is>
          <t>34237928:eng</t>
        </is>
      </c>
      <c r="AV254" t="inlineStr">
        <is>
          <t>32273718</t>
        </is>
      </c>
      <c r="AW254" t="inlineStr">
        <is>
          <t>991003949059702656</t>
        </is>
      </c>
      <c r="AX254" t="inlineStr">
        <is>
          <t>991003949059702656</t>
        </is>
      </c>
      <c r="AY254" t="inlineStr">
        <is>
          <t>2260499410002656</t>
        </is>
      </c>
      <c r="AZ254" t="inlineStr">
        <is>
          <t>BOOK</t>
        </is>
      </c>
      <c r="BB254" t="inlineStr">
        <is>
          <t>9780944266243</t>
        </is>
      </c>
      <c r="BC254" t="inlineStr">
        <is>
          <t>32285004665732</t>
        </is>
      </c>
      <c r="BD254" t="inlineStr">
        <is>
          <t>893781669</t>
        </is>
      </c>
    </row>
    <row r="255">
      <c r="A255" t="inlineStr">
        <is>
          <t>No</t>
        </is>
      </c>
      <c r="B255" t="inlineStr">
        <is>
          <t>HN400.S6 C67 1981</t>
        </is>
      </c>
      <c r="C255" t="inlineStr">
        <is>
          <t>0                      HN 0400000S  6                  C  67          1981</t>
        </is>
      </c>
      <c r="D255" t="inlineStr">
        <is>
          <t>Class / Jilly Cooper ; with drawings by Timothy Jaques.</t>
        </is>
      </c>
      <c r="F255" t="inlineStr">
        <is>
          <t>No</t>
        </is>
      </c>
      <c r="G255" t="inlineStr">
        <is>
          <t>1</t>
        </is>
      </c>
      <c r="H255" t="inlineStr">
        <is>
          <t>No</t>
        </is>
      </c>
      <c r="I255" t="inlineStr">
        <is>
          <t>No</t>
        </is>
      </c>
      <c r="J255" t="inlineStr">
        <is>
          <t>0</t>
        </is>
      </c>
      <c r="K255" t="inlineStr">
        <is>
          <t>Cooper, Jilly.</t>
        </is>
      </c>
      <c r="L255" t="inlineStr">
        <is>
          <t>New York : Knopf, 1981.</t>
        </is>
      </c>
      <c r="M255" t="inlineStr">
        <is>
          <t>1981</t>
        </is>
      </c>
      <c r="N255" t="inlineStr">
        <is>
          <t>1st American ed.</t>
        </is>
      </c>
      <c r="O255" t="inlineStr">
        <is>
          <t>eng</t>
        </is>
      </c>
      <c r="P255" t="inlineStr">
        <is>
          <t>nyu</t>
        </is>
      </c>
      <c r="R255" t="inlineStr">
        <is>
          <t xml:space="preserve">HN </t>
        </is>
      </c>
      <c r="S255" t="n">
        <v>2</v>
      </c>
      <c r="T255" t="n">
        <v>2</v>
      </c>
      <c r="U255" t="inlineStr">
        <is>
          <t>2002-01-29</t>
        </is>
      </c>
      <c r="V255" t="inlineStr">
        <is>
          <t>2002-01-29</t>
        </is>
      </c>
      <c r="W255" t="inlineStr">
        <is>
          <t>1992-10-13</t>
        </is>
      </c>
      <c r="X255" t="inlineStr">
        <is>
          <t>1992-10-13</t>
        </is>
      </c>
      <c r="Y255" t="n">
        <v>217</v>
      </c>
      <c r="Z255" t="n">
        <v>203</v>
      </c>
      <c r="AA255" t="n">
        <v>256</v>
      </c>
      <c r="AB255" t="n">
        <v>1</v>
      </c>
      <c r="AC255" t="n">
        <v>1</v>
      </c>
      <c r="AD255" t="n">
        <v>4</v>
      </c>
      <c r="AE255" t="n">
        <v>4</v>
      </c>
      <c r="AF255" t="n">
        <v>2</v>
      </c>
      <c r="AG255" t="n">
        <v>2</v>
      </c>
      <c r="AH255" t="n">
        <v>1</v>
      </c>
      <c r="AI255" t="n">
        <v>1</v>
      </c>
      <c r="AJ255" t="n">
        <v>3</v>
      </c>
      <c r="AK255" t="n">
        <v>3</v>
      </c>
      <c r="AL255" t="n">
        <v>0</v>
      </c>
      <c r="AM255" t="n">
        <v>0</v>
      </c>
      <c r="AN255" t="n">
        <v>0</v>
      </c>
      <c r="AO255" t="n">
        <v>0</v>
      </c>
      <c r="AP255" t="inlineStr">
        <is>
          <t>No</t>
        </is>
      </c>
      <c r="AQ255" t="inlineStr">
        <is>
          <t>No</t>
        </is>
      </c>
      <c r="AS255">
        <f>HYPERLINK("https://creighton-primo.hosted.exlibrisgroup.com/primo-explore/search?tab=default_tab&amp;search_scope=EVERYTHING&amp;vid=01CRU&amp;lang=en_US&amp;offset=0&amp;query=any,contains,991005119289702656","Catalog Record")</f>
        <v/>
      </c>
      <c r="AT255">
        <f>HYPERLINK("http://www.worldcat.org/oclc/7482445","WorldCat Record")</f>
        <v/>
      </c>
      <c r="AU255" t="inlineStr">
        <is>
          <t>12639094:eng</t>
        </is>
      </c>
      <c r="AV255" t="inlineStr">
        <is>
          <t>7482445</t>
        </is>
      </c>
      <c r="AW255" t="inlineStr">
        <is>
          <t>991005119289702656</t>
        </is>
      </c>
      <c r="AX255" t="inlineStr">
        <is>
          <t>991005119289702656</t>
        </is>
      </c>
      <c r="AY255" t="inlineStr">
        <is>
          <t>2268209970002656</t>
        </is>
      </c>
      <c r="AZ255" t="inlineStr">
        <is>
          <t>BOOK</t>
        </is>
      </c>
      <c r="BC255" t="inlineStr">
        <is>
          <t>32285001357143</t>
        </is>
      </c>
      <c r="BD255" t="inlineStr">
        <is>
          <t>893701046</t>
        </is>
      </c>
    </row>
    <row r="256">
      <c r="A256" t="inlineStr">
        <is>
          <t>No</t>
        </is>
      </c>
      <c r="B256" t="inlineStr">
        <is>
          <t>HN400.S6 U15 1978</t>
        </is>
      </c>
      <c r="C256" t="inlineStr">
        <is>
          <t>0                      HN 0400000S  6                  U  15          1978</t>
        </is>
      </c>
      <c r="D256" t="inlineStr">
        <is>
          <t>U and non-U revisited / edited by Richard Buckle ; drawings by Timothy Jaques.</t>
        </is>
      </c>
      <c r="F256" t="inlineStr">
        <is>
          <t>No</t>
        </is>
      </c>
      <c r="G256" t="inlineStr">
        <is>
          <t>1</t>
        </is>
      </c>
      <c r="H256" t="inlineStr">
        <is>
          <t>No</t>
        </is>
      </c>
      <c r="I256" t="inlineStr">
        <is>
          <t>No</t>
        </is>
      </c>
      <c r="J256" t="inlineStr">
        <is>
          <t>0</t>
        </is>
      </c>
      <c r="K256" t="inlineStr">
        <is>
          <t>Buckle, Richard.</t>
        </is>
      </c>
      <c r="L256" t="inlineStr">
        <is>
          <t>[London] : Debrett's Peerage ; New York : Viking Press, c1978.</t>
        </is>
      </c>
      <c r="M256" t="inlineStr">
        <is>
          <t>1978</t>
        </is>
      </c>
      <c r="O256" t="inlineStr">
        <is>
          <t>eng</t>
        </is>
      </c>
      <c r="P256" t="inlineStr">
        <is>
          <t>enk</t>
        </is>
      </c>
      <c r="R256" t="inlineStr">
        <is>
          <t xml:space="preserve">HN </t>
        </is>
      </c>
      <c r="S256" t="n">
        <v>2</v>
      </c>
      <c r="T256" t="n">
        <v>2</v>
      </c>
      <c r="U256" t="inlineStr">
        <is>
          <t>1996-04-13</t>
        </is>
      </c>
      <c r="V256" t="inlineStr">
        <is>
          <t>1996-04-13</t>
        </is>
      </c>
      <c r="W256" t="inlineStr">
        <is>
          <t>1992-10-13</t>
        </is>
      </c>
      <c r="X256" t="inlineStr">
        <is>
          <t>1992-10-13</t>
        </is>
      </c>
      <c r="Y256" t="n">
        <v>189</v>
      </c>
      <c r="Z256" t="n">
        <v>173</v>
      </c>
      <c r="AA256" t="n">
        <v>218</v>
      </c>
      <c r="AB256" t="n">
        <v>1</v>
      </c>
      <c r="AC256" t="n">
        <v>1</v>
      </c>
      <c r="AD256" t="n">
        <v>4</v>
      </c>
      <c r="AE256" t="n">
        <v>5</v>
      </c>
      <c r="AF256" t="n">
        <v>1</v>
      </c>
      <c r="AG256" t="n">
        <v>1</v>
      </c>
      <c r="AH256" t="n">
        <v>2</v>
      </c>
      <c r="AI256" t="n">
        <v>2</v>
      </c>
      <c r="AJ256" t="n">
        <v>3</v>
      </c>
      <c r="AK256" t="n">
        <v>4</v>
      </c>
      <c r="AL256" t="n">
        <v>0</v>
      </c>
      <c r="AM256" t="n">
        <v>0</v>
      </c>
      <c r="AN256" t="n">
        <v>0</v>
      </c>
      <c r="AO256" t="n">
        <v>0</v>
      </c>
      <c r="AP256" t="inlineStr">
        <is>
          <t>No</t>
        </is>
      </c>
      <c r="AQ256" t="inlineStr">
        <is>
          <t>Yes</t>
        </is>
      </c>
      <c r="AR256">
        <f>HYPERLINK("http://catalog.hathitrust.org/Record/000297189","HathiTrust Record")</f>
        <v/>
      </c>
      <c r="AS256">
        <f>HYPERLINK("https://creighton-primo.hosted.exlibrisgroup.com/primo-explore/search?tab=default_tab&amp;search_scope=EVERYTHING&amp;vid=01CRU&amp;lang=en_US&amp;offset=0&amp;query=any,contains,991004709199702656","Catalog Record")</f>
        <v/>
      </c>
      <c r="AT256">
        <f>HYPERLINK("http://www.worldcat.org/oclc/4745929","WorldCat Record")</f>
        <v/>
      </c>
      <c r="AU256" t="inlineStr">
        <is>
          <t>375293016:eng</t>
        </is>
      </c>
      <c r="AV256" t="inlineStr">
        <is>
          <t>4745929</t>
        </is>
      </c>
      <c r="AW256" t="inlineStr">
        <is>
          <t>991004709199702656</t>
        </is>
      </c>
      <c r="AX256" t="inlineStr">
        <is>
          <t>991004709199702656</t>
        </is>
      </c>
      <c r="AY256" t="inlineStr">
        <is>
          <t>2261846180002656</t>
        </is>
      </c>
      <c r="AZ256" t="inlineStr">
        <is>
          <t>BOOK</t>
        </is>
      </c>
      <c r="BB256" t="inlineStr">
        <is>
          <t>9780670738397</t>
        </is>
      </c>
      <c r="BC256" t="inlineStr">
        <is>
          <t>32285001357168</t>
        </is>
      </c>
      <c r="BD256" t="inlineStr">
        <is>
          <t>893411860</t>
        </is>
      </c>
    </row>
    <row r="257">
      <c r="A257" t="inlineStr">
        <is>
          <t>No</t>
        </is>
      </c>
      <c r="B257" t="inlineStr">
        <is>
          <t>HN400.V5 W66 2002</t>
        </is>
      </c>
      <c r="C257" t="inlineStr">
        <is>
          <t>0                      HN 0400000V  5                  W  66          2002</t>
        </is>
      </c>
      <c r="D257" t="inlineStr">
        <is>
          <t>Riot, rebellion and popular politics in early modern England / Andy Wood.</t>
        </is>
      </c>
      <c r="F257" t="inlineStr">
        <is>
          <t>No</t>
        </is>
      </c>
      <c r="G257" t="inlineStr">
        <is>
          <t>1</t>
        </is>
      </c>
      <c r="H257" t="inlineStr">
        <is>
          <t>No</t>
        </is>
      </c>
      <c r="I257" t="inlineStr">
        <is>
          <t>No</t>
        </is>
      </c>
      <c r="J257" t="inlineStr">
        <is>
          <t>0</t>
        </is>
      </c>
      <c r="K257" t="inlineStr">
        <is>
          <t>Wood, Andy, 1967-</t>
        </is>
      </c>
      <c r="L257" t="inlineStr">
        <is>
          <t>Houndmills, Basingstoke, Hampshire ; New York : Palgrave, 2002.</t>
        </is>
      </c>
      <c r="M257" t="inlineStr">
        <is>
          <t>2002</t>
        </is>
      </c>
      <c r="O257" t="inlineStr">
        <is>
          <t>eng</t>
        </is>
      </c>
      <c r="P257" t="inlineStr">
        <is>
          <t>enk</t>
        </is>
      </c>
      <c r="Q257" t="inlineStr">
        <is>
          <t>Social history in perspective</t>
        </is>
      </c>
      <c r="R257" t="inlineStr">
        <is>
          <t xml:space="preserve">HN </t>
        </is>
      </c>
      <c r="S257" t="n">
        <v>1</v>
      </c>
      <c r="T257" t="n">
        <v>1</v>
      </c>
      <c r="U257" t="inlineStr">
        <is>
          <t>2003-03-20</t>
        </is>
      </c>
      <c r="V257" t="inlineStr">
        <is>
          <t>2003-03-20</t>
        </is>
      </c>
      <c r="W257" t="inlineStr">
        <is>
          <t>2003-03-20</t>
        </is>
      </c>
      <c r="X257" t="inlineStr">
        <is>
          <t>2003-03-20</t>
        </is>
      </c>
      <c r="Y257" t="n">
        <v>273</v>
      </c>
      <c r="Z257" t="n">
        <v>169</v>
      </c>
      <c r="AA257" t="n">
        <v>190</v>
      </c>
      <c r="AB257" t="n">
        <v>2</v>
      </c>
      <c r="AC257" t="n">
        <v>2</v>
      </c>
      <c r="AD257" t="n">
        <v>10</v>
      </c>
      <c r="AE257" t="n">
        <v>10</v>
      </c>
      <c r="AF257" t="n">
        <v>1</v>
      </c>
      <c r="AG257" t="n">
        <v>1</v>
      </c>
      <c r="AH257" t="n">
        <v>5</v>
      </c>
      <c r="AI257" t="n">
        <v>5</v>
      </c>
      <c r="AJ257" t="n">
        <v>7</v>
      </c>
      <c r="AK257" t="n">
        <v>7</v>
      </c>
      <c r="AL257" t="n">
        <v>1</v>
      </c>
      <c r="AM257" t="n">
        <v>1</v>
      </c>
      <c r="AN257" t="n">
        <v>0</v>
      </c>
      <c r="AO257" t="n">
        <v>0</v>
      </c>
      <c r="AP257" t="inlineStr">
        <is>
          <t>No</t>
        </is>
      </c>
      <c r="AQ257" t="inlineStr">
        <is>
          <t>No</t>
        </is>
      </c>
      <c r="AS257">
        <f>HYPERLINK("https://creighton-primo.hosted.exlibrisgroup.com/primo-explore/search?tab=default_tab&amp;search_scope=EVERYTHING&amp;vid=01CRU&amp;lang=en_US&amp;offset=0&amp;query=any,contains,991003989949702656","Catalog Record")</f>
        <v/>
      </c>
      <c r="AT257">
        <f>HYPERLINK("http://www.worldcat.org/oclc/47746404","WorldCat Record")</f>
        <v/>
      </c>
      <c r="AU257" t="inlineStr">
        <is>
          <t>13825171:eng</t>
        </is>
      </c>
      <c r="AV257" t="inlineStr">
        <is>
          <t>47746404</t>
        </is>
      </c>
      <c r="AW257" t="inlineStr">
        <is>
          <t>991003989949702656</t>
        </is>
      </c>
      <c r="AX257" t="inlineStr">
        <is>
          <t>991003989949702656</t>
        </is>
      </c>
      <c r="AY257" t="inlineStr">
        <is>
          <t>2268053280002656</t>
        </is>
      </c>
      <c r="AZ257" t="inlineStr">
        <is>
          <t>BOOK</t>
        </is>
      </c>
      <c r="BB257" t="inlineStr">
        <is>
          <t>9780333637616</t>
        </is>
      </c>
      <c r="BC257" t="inlineStr">
        <is>
          <t>32285004685797</t>
        </is>
      </c>
      <c r="BD257" t="inlineStr">
        <is>
          <t>893624201</t>
        </is>
      </c>
    </row>
    <row r="258">
      <c r="A258" t="inlineStr">
        <is>
          <t>No</t>
        </is>
      </c>
      <c r="B258" t="inlineStr">
        <is>
          <t>HN420.5.A8 S45 2006</t>
        </is>
      </c>
      <c r="C258" t="inlineStr">
        <is>
          <t>0                      HN 0420500A  8                  S  45          2006</t>
        </is>
      </c>
      <c r="D258" t="inlineStr">
        <is>
          <t>The political economy of state-society relations in Hungary and Poland : from communism to the European Union / Anna Seleny.</t>
        </is>
      </c>
      <c r="F258" t="inlineStr">
        <is>
          <t>No</t>
        </is>
      </c>
      <c r="G258" t="inlineStr">
        <is>
          <t>1</t>
        </is>
      </c>
      <c r="H258" t="inlineStr">
        <is>
          <t>No</t>
        </is>
      </c>
      <c r="I258" t="inlineStr">
        <is>
          <t>No</t>
        </is>
      </c>
      <c r="J258" t="inlineStr">
        <is>
          <t>0</t>
        </is>
      </c>
      <c r="K258" t="inlineStr">
        <is>
          <t>Seleny, Anna.</t>
        </is>
      </c>
      <c r="L258" t="inlineStr">
        <is>
          <t>Cambridge ; New York : Cambridge University Press, 2006.</t>
        </is>
      </c>
      <c r="M258" t="inlineStr">
        <is>
          <t>2006</t>
        </is>
      </c>
      <c r="O258" t="inlineStr">
        <is>
          <t>eng</t>
        </is>
      </c>
      <c r="P258" t="inlineStr">
        <is>
          <t>nyu</t>
        </is>
      </c>
      <c r="R258" t="inlineStr">
        <is>
          <t xml:space="preserve">HN </t>
        </is>
      </c>
      <c r="S258" t="n">
        <v>1</v>
      </c>
      <c r="T258" t="n">
        <v>1</v>
      </c>
      <c r="U258" t="inlineStr">
        <is>
          <t>2007-12-17</t>
        </is>
      </c>
      <c r="V258" t="inlineStr">
        <is>
          <t>2007-12-17</t>
        </is>
      </c>
      <c r="W258" t="inlineStr">
        <is>
          <t>2007-12-17</t>
        </is>
      </c>
      <c r="X258" t="inlineStr">
        <is>
          <t>2007-12-17</t>
        </is>
      </c>
      <c r="Y258" t="n">
        <v>243</v>
      </c>
      <c r="Z258" t="n">
        <v>169</v>
      </c>
      <c r="AA258" t="n">
        <v>180</v>
      </c>
      <c r="AB258" t="n">
        <v>1</v>
      </c>
      <c r="AC258" t="n">
        <v>1</v>
      </c>
      <c r="AD258" t="n">
        <v>6</v>
      </c>
      <c r="AE258" t="n">
        <v>6</v>
      </c>
      <c r="AF258" t="n">
        <v>0</v>
      </c>
      <c r="AG258" t="n">
        <v>0</v>
      </c>
      <c r="AH258" t="n">
        <v>4</v>
      </c>
      <c r="AI258" t="n">
        <v>4</v>
      </c>
      <c r="AJ258" t="n">
        <v>4</v>
      </c>
      <c r="AK258" t="n">
        <v>4</v>
      </c>
      <c r="AL258" t="n">
        <v>0</v>
      </c>
      <c r="AM258" t="n">
        <v>0</v>
      </c>
      <c r="AN258" t="n">
        <v>0</v>
      </c>
      <c r="AO258" t="n">
        <v>0</v>
      </c>
      <c r="AP258" t="inlineStr">
        <is>
          <t>No</t>
        </is>
      </c>
      <c r="AQ258" t="inlineStr">
        <is>
          <t>No</t>
        </is>
      </c>
      <c r="AS258">
        <f>HYPERLINK("https://creighton-primo.hosted.exlibrisgroup.com/primo-explore/search?tab=default_tab&amp;search_scope=EVERYTHING&amp;vid=01CRU&amp;lang=en_US&amp;offset=0&amp;query=any,contains,991005157499702656","Catalog Record")</f>
        <v/>
      </c>
      <c r="AT258">
        <f>HYPERLINK("http://www.worldcat.org/oclc/59879834","WorldCat Record")</f>
        <v/>
      </c>
      <c r="AU258" t="inlineStr">
        <is>
          <t>793942292:eng</t>
        </is>
      </c>
      <c r="AV258" t="inlineStr">
        <is>
          <t>59879834</t>
        </is>
      </c>
      <c r="AW258" t="inlineStr">
        <is>
          <t>991005157499702656</t>
        </is>
      </c>
      <c r="AX258" t="inlineStr">
        <is>
          <t>991005157499702656</t>
        </is>
      </c>
      <c r="AY258" t="inlineStr">
        <is>
          <t>2266040520002656</t>
        </is>
      </c>
      <c r="AZ258" t="inlineStr">
        <is>
          <t>BOOK</t>
        </is>
      </c>
      <c r="BB258" t="inlineStr">
        <is>
          <t>9780521835640</t>
        </is>
      </c>
      <c r="BC258" t="inlineStr">
        <is>
          <t>32285005373120</t>
        </is>
      </c>
      <c r="BD258" t="inlineStr">
        <is>
          <t>893625533</t>
        </is>
      </c>
    </row>
    <row r="259">
      <c r="A259" t="inlineStr">
        <is>
          <t>No</t>
        </is>
      </c>
      <c r="B259" t="inlineStr">
        <is>
          <t>HN425 .D78313 1980</t>
        </is>
      </c>
      <c r="C259" t="inlineStr">
        <is>
          <t>0                      HN 0425000D  78313       1980</t>
        </is>
      </c>
      <c r="D259" t="inlineStr">
        <is>
          <t>The three orders : feudal society imagined / Georges Duby ; translated by Arthur Goldhammer ; with a foreword by Thomas N. Bisson.</t>
        </is>
      </c>
      <c r="F259" t="inlineStr">
        <is>
          <t>No</t>
        </is>
      </c>
      <c r="G259" t="inlineStr">
        <is>
          <t>1</t>
        </is>
      </c>
      <c r="H259" t="inlineStr">
        <is>
          <t>No</t>
        </is>
      </c>
      <c r="I259" t="inlineStr">
        <is>
          <t>No</t>
        </is>
      </c>
      <c r="J259" t="inlineStr">
        <is>
          <t>0</t>
        </is>
      </c>
      <c r="K259" t="inlineStr">
        <is>
          <t>Duby, Georges.</t>
        </is>
      </c>
      <c r="L259" t="inlineStr">
        <is>
          <t>Chicago : University of Chicago Press, 1980.</t>
        </is>
      </c>
      <c r="M259" t="inlineStr">
        <is>
          <t>1980</t>
        </is>
      </c>
      <c r="O259" t="inlineStr">
        <is>
          <t>eng</t>
        </is>
      </c>
      <c r="P259" t="inlineStr">
        <is>
          <t>ilu</t>
        </is>
      </c>
      <c r="R259" t="inlineStr">
        <is>
          <t xml:space="preserve">HN </t>
        </is>
      </c>
      <c r="S259" t="n">
        <v>11</v>
      </c>
      <c r="T259" t="n">
        <v>11</v>
      </c>
      <c r="U259" t="inlineStr">
        <is>
          <t>2006-09-20</t>
        </is>
      </c>
      <c r="V259" t="inlineStr">
        <is>
          <t>2006-09-20</t>
        </is>
      </c>
      <c r="W259" t="inlineStr">
        <is>
          <t>1992-10-13</t>
        </is>
      </c>
      <c r="X259" t="inlineStr">
        <is>
          <t>1992-10-13</t>
        </is>
      </c>
      <c r="Y259" t="n">
        <v>940</v>
      </c>
      <c r="Z259" t="n">
        <v>772</v>
      </c>
      <c r="AA259" t="n">
        <v>875</v>
      </c>
      <c r="AB259" t="n">
        <v>7</v>
      </c>
      <c r="AC259" t="n">
        <v>7</v>
      </c>
      <c r="AD259" t="n">
        <v>36</v>
      </c>
      <c r="AE259" t="n">
        <v>44</v>
      </c>
      <c r="AF259" t="n">
        <v>12</v>
      </c>
      <c r="AG259" t="n">
        <v>18</v>
      </c>
      <c r="AH259" t="n">
        <v>6</v>
      </c>
      <c r="AI259" t="n">
        <v>9</v>
      </c>
      <c r="AJ259" t="n">
        <v>22</v>
      </c>
      <c r="AK259" t="n">
        <v>23</v>
      </c>
      <c r="AL259" t="n">
        <v>6</v>
      </c>
      <c r="AM259" t="n">
        <v>6</v>
      </c>
      <c r="AN259" t="n">
        <v>0</v>
      </c>
      <c r="AO259" t="n">
        <v>0</v>
      </c>
      <c r="AP259" t="inlineStr">
        <is>
          <t>No</t>
        </is>
      </c>
      <c r="AQ259" t="inlineStr">
        <is>
          <t>No</t>
        </is>
      </c>
      <c r="AS259">
        <f>HYPERLINK("https://creighton-primo.hosted.exlibrisgroup.com/primo-explore/search?tab=default_tab&amp;search_scope=EVERYTHING&amp;vid=01CRU&amp;lang=en_US&amp;offset=0&amp;query=any,contains,991004942309702656","Catalog Record")</f>
        <v/>
      </c>
      <c r="AT259">
        <f>HYPERLINK("http://www.worldcat.org/oclc/6194921","WorldCat Record")</f>
        <v/>
      </c>
      <c r="AU259" t="inlineStr">
        <is>
          <t>4161043641:eng</t>
        </is>
      </c>
      <c r="AV259" t="inlineStr">
        <is>
          <t>6194921</t>
        </is>
      </c>
      <c r="AW259" t="inlineStr">
        <is>
          <t>991004942309702656</t>
        </is>
      </c>
      <c r="AX259" t="inlineStr">
        <is>
          <t>991004942309702656</t>
        </is>
      </c>
      <c r="AY259" t="inlineStr">
        <is>
          <t>2262806380002656</t>
        </is>
      </c>
      <c r="AZ259" t="inlineStr">
        <is>
          <t>BOOK</t>
        </is>
      </c>
      <c r="BB259" t="inlineStr">
        <is>
          <t>9780226167718</t>
        </is>
      </c>
      <c r="BC259" t="inlineStr">
        <is>
          <t>32285001357218</t>
        </is>
      </c>
      <c r="BD259" t="inlineStr">
        <is>
          <t>893319798</t>
        </is>
      </c>
    </row>
    <row r="260">
      <c r="A260" t="inlineStr">
        <is>
          <t>No</t>
        </is>
      </c>
      <c r="B260" t="inlineStr">
        <is>
          <t>HN425 .L43</t>
        </is>
      </c>
      <c r="C260" t="inlineStr">
        <is>
          <t>0                      HN 0425000L  43</t>
        </is>
      </c>
      <c r="D260" t="inlineStr">
        <is>
          <t>La France médiévale: institutions et société.</t>
        </is>
      </c>
      <c r="F260" t="inlineStr">
        <is>
          <t>No</t>
        </is>
      </c>
      <c r="G260" t="inlineStr">
        <is>
          <t>1</t>
        </is>
      </c>
      <c r="H260" t="inlineStr">
        <is>
          <t>No</t>
        </is>
      </c>
      <c r="I260" t="inlineStr">
        <is>
          <t>No</t>
        </is>
      </c>
      <c r="J260" t="inlineStr">
        <is>
          <t>0</t>
        </is>
      </c>
      <c r="K260" t="inlineStr">
        <is>
          <t>Lemarignier, Jean François.</t>
        </is>
      </c>
      <c r="L260" t="inlineStr">
        <is>
          <t>Paris, A. Colin [1970]</t>
        </is>
      </c>
      <c r="M260" t="inlineStr">
        <is>
          <t>1970</t>
        </is>
      </c>
      <c r="O260" t="inlineStr">
        <is>
          <t>eng</t>
        </is>
      </c>
      <c r="P260" t="inlineStr">
        <is>
          <t>___</t>
        </is>
      </c>
      <c r="Q260" t="inlineStr">
        <is>
          <t>Collection U. Série Histoire médiévale</t>
        </is>
      </c>
      <c r="R260" t="inlineStr">
        <is>
          <t xml:space="preserve">HN </t>
        </is>
      </c>
      <c r="S260" t="n">
        <v>2</v>
      </c>
      <c r="T260" t="n">
        <v>2</v>
      </c>
      <c r="U260" t="inlineStr">
        <is>
          <t>1998-05-13</t>
        </is>
      </c>
      <c r="V260" t="inlineStr">
        <is>
          <t>1998-05-13</t>
        </is>
      </c>
      <c r="W260" t="inlineStr">
        <is>
          <t>1992-10-13</t>
        </is>
      </c>
      <c r="X260" t="inlineStr">
        <is>
          <t>1992-10-13</t>
        </is>
      </c>
      <c r="Y260" t="n">
        <v>266</v>
      </c>
      <c r="Z260" t="n">
        <v>136</v>
      </c>
      <c r="AA260" t="n">
        <v>145</v>
      </c>
      <c r="AB260" t="n">
        <v>2</v>
      </c>
      <c r="AC260" t="n">
        <v>2</v>
      </c>
      <c r="AD260" t="n">
        <v>9</v>
      </c>
      <c r="AE260" t="n">
        <v>10</v>
      </c>
      <c r="AF260" t="n">
        <v>0</v>
      </c>
      <c r="AG260" t="n">
        <v>0</v>
      </c>
      <c r="AH260" t="n">
        <v>3</v>
      </c>
      <c r="AI260" t="n">
        <v>4</v>
      </c>
      <c r="AJ260" t="n">
        <v>7</v>
      </c>
      <c r="AK260" t="n">
        <v>7</v>
      </c>
      <c r="AL260" t="n">
        <v>1</v>
      </c>
      <c r="AM260" t="n">
        <v>1</v>
      </c>
      <c r="AN260" t="n">
        <v>0</v>
      </c>
      <c r="AO260" t="n">
        <v>0</v>
      </c>
      <c r="AP260" t="inlineStr">
        <is>
          <t>No</t>
        </is>
      </c>
      <c r="AQ260" t="inlineStr">
        <is>
          <t>No</t>
        </is>
      </c>
      <c r="AS260">
        <f>HYPERLINK("https://creighton-primo.hosted.exlibrisgroup.com/primo-explore/search?tab=default_tab&amp;search_scope=EVERYTHING&amp;vid=01CRU&amp;lang=en_US&amp;offset=0&amp;query=any,contains,991001091839702656","Catalog Record")</f>
        <v/>
      </c>
      <c r="AT260">
        <f>HYPERLINK("http://www.worldcat.org/oclc/26776532","WorldCat Record")</f>
        <v/>
      </c>
      <c r="AU260" t="inlineStr">
        <is>
          <t>364777239:fre</t>
        </is>
      </c>
      <c r="AV260" t="inlineStr">
        <is>
          <t>26776532</t>
        </is>
      </c>
      <c r="AW260" t="inlineStr">
        <is>
          <t>991001091839702656</t>
        </is>
      </c>
      <c r="AX260" t="inlineStr">
        <is>
          <t>991001091839702656</t>
        </is>
      </c>
      <c r="AY260" t="inlineStr">
        <is>
          <t>2272637430002656</t>
        </is>
      </c>
      <c r="AZ260" t="inlineStr">
        <is>
          <t>BOOK</t>
        </is>
      </c>
      <c r="BC260" t="inlineStr">
        <is>
          <t>32285001357226</t>
        </is>
      </c>
      <c r="BD260" t="inlineStr">
        <is>
          <t>893803338</t>
        </is>
      </c>
    </row>
    <row r="261">
      <c r="A261" t="inlineStr">
        <is>
          <t>No</t>
        </is>
      </c>
      <c r="B261" t="inlineStr">
        <is>
          <t>HN425 .T54</t>
        </is>
      </c>
      <c r="C261" t="inlineStr">
        <is>
          <t>0                      HN 0425000T  54</t>
        </is>
      </c>
      <c r="D261" t="inlineStr">
        <is>
          <t>The rebellious century, 1830-1930 / Charles Tilly, Louise Tilly, and Richard Tilly.</t>
        </is>
      </c>
      <c r="F261" t="inlineStr">
        <is>
          <t>No</t>
        </is>
      </c>
      <c r="G261" t="inlineStr">
        <is>
          <t>1</t>
        </is>
      </c>
      <c r="H261" t="inlineStr">
        <is>
          <t>No</t>
        </is>
      </c>
      <c r="I261" t="inlineStr">
        <is>
          <t>No</t>
        </is>
      </c>
      <c r="J261" t="inlineStr">
        <is>
          <t>0</t>
        </is>
      </c>
      <c r="K261" t="inlineStr">
        <is>
          <t>Tilly, Charles.</t>
        </is>
      </c>
      <c r="L261" t="inlineStr">
        <is>
          <t>Cambridge : Harvard University Press, 1975.</t>
        </is>
      </c>
      <c r="M261" t="inlineStr">
        <is>
          <t>1975</t>
        </is>
      </c>
      <c r="O261" t="inlineStr">
        <is>
          <t>eng</t>
        </is>
      </c>
      <c r="P261" t="inlineStr">
        <is>
          <t>mau</t>
        </is>
      </c>
      <c r="R261" t="inlineStr">
        <is>
          <t xml:space="preserve">HN </t>
        </is>
      </c>
      <c r="S261" t="n">
        <v>1</v>
      </c>
      <c r="T261" t="n">
        <v>1</v>
      </c>
      <c r="U261" t="inlineStr">
        <is>
          <t>2004-08-24</t>
        </is>
      </c>
      <c r="V261" t="inlineStr">
        <is>
          <t>2004-08-24</t>
        </is>
      </c>
      <c r="W261" t="inlineStr">
        <is>
          <t>1992-03-12</t>
        </is>
      </c>
      <c r="X261" t="inlineStr">
        <is>
          <t>1992-03-12</t>
        </is>
      </c>
      <c r="Y261" t="n">
        <v>915</v>
      </c>
      <c r="Z261" t="n">
        <v>752</v>
      </c>
      <c r="AA261" t="n">
        <v>759</v>
      </c>
      <c r="AB261" t="n">
        <v>7</v>
      </c>
      <c r="AC261" t="n">
        <v>7</v>
      </c>
      <c r="AD261" t="n">
        <v>42</v>
      </c>
      <c r="AE261" t="n">
        <v>42</v>
      </c>
      <c r="AF261" t="n">
        <v>16</v>
      </c>
      <c r="AG261" t="n">
        <v>16</v>
      </c>
      <c r="AH261" t="n">
        <v>11</v>
      </c>
      <c r="AI261" t="n">
        <v>11</v>
      </c>
      <c r="AJ261" t="n">
        <v>22</v>
      </c>
      <c r="AK261" t="n">
        <v>22</v>
      </c>
      <c r="AL261" t="n">
        <v>6</v>
      </c>
      <c r="AM261" t="n">
        <v>6</v>
      </c>
      <c r="AN261" t="n">
        <v>0</v>
      </c>
      <c r="AO261" t="n">
        <v>0</v>
      </c>
      <c r="AP261" t="inlineStr">
        <is>
          <t>No</t>
        </is>
      </c>
      <c r="AQ261" t="inlineStr">
        <is>
          <t>Yes</t>
        </is>
      </c>
      <c r="AR261">
        <f>HYPERLINK("http://catalog.hathitrust.org/Record/001108219","HathiTrust Record")</f>
        <v/>
      </c>
      <c r="AS261">
        <f>HYPERLINK("https://creighton-primo.hosted.exlibrisgroup.com/primo-explore/search?tab=default_tab&amp;search_scope=EVERYTHING&amp;vid=01CRU&amp;lang=en_US&amp;offset=0&amp;query=any,contains,991003693009702656","Catalog Record")</f>
        <v/>
      </c>
      <c r="AT261">
        <f>HYPERLINK("http://www.worldcat.org/oclc/1323721","WorldCat Record")</f>
        <v/>
      </c>
      <c r="AU261" t="inlineStr">
        <is>
          <t>2204312:eng</t>
        </is>
      </c>
      <c r="AV261" t="inlineStr">
        <is>
          <t>1323721</t>
        </is>
      </c>
      <c r="AW261" t="inlineStr">
        <is>
          <t>991003693009702656</t>
        </is>
      </c>
      <c r="AX261" t="inlineStr">
        <is>
          <t>991003693009702656</t>
        </is>
      </c>
      <c r="AY261" t="inlineStr">
        <is>
          <t>2255203320002656</t>
        </is>
      </c>
      <c r="AZ261" t="inlineStr">
        <is>
          <t>BOOK</t>
        </is>
      </c>
      <c r="BB261" t="inlineStr">
        <is>
          <t>9780674749559</t>
        </is>
      </c>
      <c r="BC261" t="inlineStr">
        <is>
          <t>32285000998616</t>
        </is>
      </c>
      <c r="BD261" t="inlineStr">
        <is>
          <t>893429089</t>
        </is>
      </c>
    </row>
    <row r="262">
      <c r="A262" t="inlineStr">
        <is>
          <t>No</t>
        </is>
      </c>
      <c r="B262" t="inlineStr">
        <is>
          <t>HN425.5 .F74 1991</t>
        </is>
      </c>
      <c r="C262" t="inlineStr">
        <is>
          <t>0                      HN 0425500F  74          1991</t>
        </is>
      </c>
      <c r="D262" t="inlineStr">
        <is>
          <t>The French welfare state : surviving social and ideological change / edited by John S. Ambler.</t>
        </is>
      </c>
      <c r="F262" t="inlineStr">
        <is>
          <t>No</t>
        </is>
      </c>
      <c r="G262" t="inlineStr">
        <is>
          <t>1</t>
        </is>
      </c>
      <c r="H262" t="inlineStr">
        <is>
          <t>No</t>
        </is>
      </c>
      <c r="I262" t="inlineStr">
        <is>
          <t>No</t>
        </is>
      </c>
      <c r="J262" t="inlineStr">
        <is>
          <t>0</t>
        </is>
      </c>
      <c r="L262" t="inlineStr">
        <is>
          <t>New York : New York University Press, c1991.</t>
        </is>
      </c>
      <c r="M262" t="inlineStr">
        <is>
          <t>1991</t>
        </is>
      </c>
      <c r="O262" t="inlineStr">
        <is>
          <t>eng</t>
        </is>
      </c>
      <c r="P262" t="inlineStr">
        <is>
          <t>nyu</t>
        </is>
      </c>
      <c r="R262" t="inlineStr">
        <is>
          <t xml:space="preserve">HN </t>
        </is>
      </c>
      <c r="S262" t="n">
        <v>5</v>
      </c>
      <c r="T262" t="n">
        <v>5</v>
      </c>
      <c r="U262" t="inlineStr">
        <is>
          <t>2003-06-24</t>
        </is>
      </c>
      <c r="V262" t="inlineStr">
        <is>
          <t>2003-06-24</t>
        </is>
      </c>
      <c r="W262" t="inlineStr">
        <is>
          <t>1995-01-23</t>
        </is>
      </c>
      <c r="X262" t="inlineStr">
        <is>
          <t>1995-01-23</t>
        </is>
      </c>
      <c r="Y262" t="n">
        <v>307</v>
      </c>
      <c r="Z262" t="n">
        <v>207</v>
      </c>
      <c r="AA262" t="n">
        <v>251</v>
      </c>
      <c r="AB262" t="n">
        <v>2</v>
      </c>
      <c r="AC262" t="n">
        <v>2</v>
      </c>
      <c r="AD262" t="n">
        <v>11</v>
      </c>
      <c r="AE262" t="n">
        <v>13</v>
      </c>
      <c r="AF262" t="n">
        <v>1</v>
      </c>
      <c r="AG262" t="n">
        <v>3</v>
      </c>
      <c r="AH262" t="n">
        <v>4</v>
      </c>
      <c r="AI262" t="n">
        <v>5</v>
      </c>
      <c r="AJ262" t="n">
        <v>7</v>
      </c>
      <c r="AK262" t="n">
        <v>7</v>
      </c>
      <c r="AL262" t="n">
        <v>1</v>
      </c>
      <c r="AM262" t="n">
        <v>1</v>
      </c>
      <c r="AN262" t="n">
        <v>1</v>
      </c>
      <c r="AO262" t="n">
        <v>1</v>
      </c>
      <c r="AP262" t="inlineStr">
        <is>
          <t>No</t>
        </is>
      </c>
      <c r="AQ262" t="inlineStr">
        <is>
          <t>No</t>
        </is>
      </c>
      <c r="AS262">
        <f>HYPERLINK("https://creighton-primo.hosted.exlibrisgroup.com/primo-explore/search?tab=default_tab&amp;search_scope=EVERYTHING&amp;vid=01CRU&amp;lang=en_US&amp;offset=0&amp;query=any,contains,991001886889702656","Catalog Record")</f>
        <v/>
      </c>
      <c r="AT262">
        <f>HYPERLINK("http://www.worldcat.org/oclc/23767890","WorldCat Record")</f>
        <v/>
      </c>
      <c r="AU262" t="inlineStr">
        <is>
          <t>836867643:eng</t>
        </is>
      </c>
      <c r="AV262" t="inlineStr">
        <is>
          <t>23767890</t>
        </is>
      </c>
      <c r="AW262" t="inlineStr">
        <is>
          <t>991001886889702656</t>
        </is>
      </c>
      <c r="AX262" t="inlineStr">
        <is>
          <t>991001886889702656</t>
        </is>
      </c>
      <c r="AY262" t="inlineStr">
        <is>
          <t>2271700670002656</t>
        </is>
      </c>
      <c r="AZ262" t="inlineStr">
        <is>
          <t>BOOK</t>
        </is>
      </c>
      <c r="BB262" t="inlineStr">
        <is>
          <t>9780814705995</t>
        </is>
      </c>
      <c r="BC262" t="inlineStr">
        <is>
          <t>32285001994531</t>
        </is>
      </c>
      <c r="BD262" t="inlineStr">
        <is>
          <t>893510030</t>
        </is>
      </c>
    </row>
    <row r="263">
      <c r="A263" t="inlineStr">
        <is>
          <t>No</t>
        </is>
      </c>
      <c r="B263" t="inlineStr">
        <is>
          <t>HN428 .M3 1973b</t>
        </is>
      </c>
      <c r="C263" t="inlineStr">
        <is>
          <t>0                      HN 0428000M  3           1973b</t>
        </is>
      </c>
      <c r="D263" t="inlineStr">
        <is>
          <t>The attack on "feudalism" in eighteenth-century France [by] J. Q. C. Mackrell.</t>
        </is>
      </c>
      <c r="F263" t="inlineStr">
        <is>
          <t>No</t>
        </is>
      </c>
      <c r="G263" t="inlineStr">
        <is>
          <t>1</t>
        </is>
      </c>
      <c r="H263" t="inlineStr">
        <is>
          <t>No</t>
        </is>
      </c>
      <c r="I263" t="inlineStr">
        <is>
          <t>No</t>
        </is>
      </c>
      <c r="J263" t="inlineStr">
        <is>
          <t>0</t>
        </is>
      </c>
      <c r="K263" t="inlineStr">
        <is>
          <t>Mackrell, J. Q. C.</t>
        </is>
      </c>
      <c r="L263" t="inlineStr">
        <is>
          <t>London, Routledge &amp; K. Paul [1973]</t>
        </is>
      </c>
      <c r="M263" t="inlineStr">
        <is>
          <t>1973</t>
        </is>
      </c>
      <c r="O263" t="inlineStr">
        <is>
          <t>eng</t>
        </is>
      </c>
      <c r="P263" t="inlineStr">
        <is>
          <t>enk</t>
        </is>
      </c>
      <c r="Q263" t="inlineStr">
        <is>
          <t>Studies in social history</t>
        </is>
      </c>
      <c r="R263" t="inlineStr">
        <is>
          <t xml:space="preserve">HN </t>
        </is>
      </c>
      <c r="S263" t="n">
        <v>1</v>
      </c>
      <c r="T263" t="n">
        <v>1</v>
      </c>
      <c r="U263" t="inlineStr">
        <is>
          <t>2003-12-07</t>
        </is>
      </c>
      <c r="V263" t="inlineStr">
        <is>
          <t>2003-12-07</t>
        </is>
      </c>
      <c r="W263" t="inlineStr">
        <is>
          <t>1997-08-07</t>
        </is>
      </c>
      <c r="X263" t="inlineStr">
        <is>
          <t>1997-08-07</t>
        </is>
      </c>
      <c r="Y263" t="n">
        <v>584</v>
      </c>
      <c r="Z263" t="n">
        <v>401</v>
      </c>
      <c r="AA263" t="n">
        <v>431</v>
      </c>
      <c r="AB263" t="n">
        <v>4</v>
      </c>
      <c r="AC263" t="n">
        <v>4</v>
      </c>
      <c r="AD263" t="n">
        <v>22</v>
      </c>
      <c r="AE263" t="n">
        <v>22</v>
      </c>
      <c r="AF263" t="n">
        <v>7</v>
      </c>
      <c r="AG263" t="n">
        <v>7</v>
      </c>
      <c r="AH263" t="n">
        <v>6</v>
      </c>
      <c r="AI263" t="n">
        <v>6</v>
      </c>
      <c r="AJ263" t="n">
        <v>15</v>
      </c>
      <c r="AK263" t="n">
        <v>15</v>
      </c>
      <c r="AL263" t="n">
        <v>3</v>
      </c>
      <c r="AM263" t="n">
        <v>3</v>
      </c>
      <c r="AN263" t="n">
        <v>0</v>
      </c>
      <c r="AO263" t="n">
        <v>0</v>
      </c>
      <c r="AP263" t="inlineStr">
        <is>
          <t>No</t>
        </is>
      </c>
      <c r="AQ263" t="inlineStr">
        <is>
          <t>Yes</t>
        </is>
      </c>
      <c r="AR263">
        <f>HYPERLINK("http://catalog.hathitrust.org/Record/000975601","HathiTrust Record")</f>
        <v/>
      </c>
      <c r="AS263">
        <f>HYPERLINK("https://creighton-primo.hosted.exlibrisgroup.com/primo-explore/search?tab=default_tab&amp;search_scope=EVERYTHING&amp;vid=01CRU&amp;lang=en_US&amp;offset=0&amp;query=any,contains,991003399039702656","Catalog Record")</f>
        <v/>
      </c>
      <c r="AT263">
        <f>HYPERLINK("http://www.worldcat.org/oclc/938599","WorldCat Record")</f>
        <v/>
      </c>
      <c r="AU263" t="inlineStr">
        <is>
          <t>1895895:eng</t>
        </is>
      </c>
      <c r="AV263" t="inlineStr">
        <is>
          <t>938599</t>
        </is>
      </c>
      <c r="AW263" t="inlineStr">
        <is>
          <t>991003399039702656</t>
        </is>
      </c>
      <c r="AX263" t="inlineStr">
        <is>
          <t>991003399039702656</t>
        </is>
      </c>
      <c r="AY263" t="inlineStr">
        <is>
          <t>2262813330002656</t>
        </is>
      </c>
      <c r="AZ263" t="inlineStr">
        <is>
          <t>BOOK</t>
        </is>
      </c>
      <c r="BB263" t="inlineStr">
        <is>
          <t>9780710075833</t>
        </is>
      </c>
      <c r="BC263" t="inlineStr">
        <is>
          <t>32285003085916</t>
        </is>
      </c>
      <c r="BD263" t="inlineStr">
        <is>
          <t>893499259</t>
        </is>
      </c>
    </row>
    <row r="264">
      <c r="A264" t="inlineStr">
        <is>
          <t>No</t>
        </is>
      </c>
      <c r="B264" t="inlineStr">
        <is>
          <t>HN438.P3 R8</t>
        </is>
      </c>
      <c r="C264" t="inlineStr">
        <is>
          <t>0                      HN 0438000P  3                  R  8</t>
        </is>
      </c>
      <c r="D264" t="inlineStr">
        <is>
          <t>Paris and London in the eighteenth century; studies in popular protest [by] George Rudé.</t>
        </is>
      </c>
      <c r="F264" t="inlineStr">
        <is>
          <t>No</t>
        </is>
      </c>
      <c r="G264" t="inlineStr">
        <is>
          <t>1</t>
        </is>
      </c>
      <c r="H264" t="inlineStr">
        <is>
          <t>No</t>
        </is>
      </c>
      <c r="I264" t="inlineStr">
        <is>
          <t>No</t>
        </is>
      </c>
      <c r="J264" t="inlineStr">
        <is>
          <t>0</t>
        </is>
      </c>
      <c r="K264" t="inlineStr">
        <is>
          <t>Rudé, George F. E.</t>
        </is>
      </c>
      <c r="L264" t="inlineStr">
        <is>
          <t>New York, Viking Press [1971]</t>
        </is>
      </c>
      <c r="M264" t="inlineStr">
        <is>
          <t>1971</t>
        </is>
      </c>
      <c r="O264" t="inlineStr">
        <is>
          <t>eng</t>
        </is>
      </c>
      <c r="P264" t="inlineStr">
        <is>
          <t>nyu</t>
        </is>
      </c>
      <c r="R264" t="inlineStr">
        <is>
          <t xml:space="preserve">HN </t>
        </is>
      </c>
      <c r="S264" t="n">
        <v>3</v>
      </c>
      <c r="T264" t="n">
        <v>3</v>
      </c>
      <c r="U264" t="inlineStr">
        <is>
          <t>2006-09-11</t>
        </is>
      </c>
      <c r="V264" t="inlineStr">
        <is>
          <t>2006-09-11</t>
        </is>
      </c>
      <c r="W264" t="inlineStr">
        <is>
          <t>1997-08-07</t>
        </is>
      </c>
      <c r="X264" t="inlineStr">
        <is>
          <t>1997-08-07</t>
        </is>
      </c>
      <c r="Y264" t="n">
        <v>664</v>
      </c>
      <c r="Z264" t="n">
        <v>606</v>
      </c>
      <c r="AA264" t="n">
        <v>723</v>
      </c>
      <c r="AB264" t="n">
        <v>3</v>
      </c>
      <c r="AC264" t="n">
        <v>4</v>
      </c>
      <c r="AD264" t="n">
        <v>24</v>
      </c>
      <c r="AE264" t="n">
        <v>33</v>
      </c>
      <c r="AF264" t="n">
        <v>8</v>
      </c>
      <c r="AG264" t="n">
        <v>12</v>
      </c>
      <c r="AH264" t="n">
        <v>6</v>
      </c>
      <c r="AI264" t="n">
        <v>8</v>
      </c>
      <c r="AJ264" t="n">
        <v>17</v>
      </c>
      <c r="AK264" t="n">
        <v>20</v>
      </c>
      <c r="AL264" t="n">
        <v>2</v>
      </c>
      <c r="AM264" t="n">
        <v>3</v>
      </c>
      <c r="AN264" t="n">
        <v>0</v>
      </c>
      <c r="AO264" t="n">
        <v>0</v>
      </c>
      <c r="AP264" t="inlineStr">
        <is>
          <t>No</t>
        </is>
      </c>
      <c r="AQ264" t="inlineStr">
        <is>
          <t>Yes</t>
        </is>
      </c>
      <c r="AR264">
        <f>HYPERLINK("http://catalog.hathitrust.org/Record/001108220","HathiTrust Record")</f>
        <v/>
      </c>
      <c r="AS264">
        <f>HYPERLINK("https://creighton-primo.hosted.exlibrisgroup.com/primo-explore/search?tab=default_tab&amp;search_scope=EVERYTHING&amp;vid=01CRU&amp;lang=en_US&amp;offset=0&amp;query=any,contains,991001137269702656","Catalog Record")</f>
        <v/>
      </c>
      <c r="AT264">
        <f>HYPERLINK("http://www.worldcat.org/oclc/185065","WorldCat Record")</f>
        <v/>
      </c>
      <c r="AU264" t="inlineStr">
        <is>
          <t>1333274:eng</t>
        </is>
      </c>
      <c r="AV264" t="inlineStr">
        <is>
          <t>185065</t>
        </is>
      </c>
      <c r="AW264" t="inlineStr">
        <is>
          <t>991001137269702656</t>
        </is>
      </c>
      <c r="AX264" t="inlineStr">
        <is>
          <t>991001137269702656</t>
        </is>
      </c>
      <c r="AY264" t="inlineStr">
        <is>
          <t>2270916820002656</t>
        </is>
      </c>
      <c r="AZ264" t="inlineStr">
        <is>
          <t>BOOK</t>
        </is>
      </c>
      <c r="BB264" t="inlineStr">
        <is>
          <t>9780670538324</t>
        </is>
      </c>
      <c r="BC264" t="inlineStr">
        <is>
          <t>32285003085932</t>
        </is>
      </c>
      <c r="BD264" t="inlineStr">
        <is>
          <t>893231735</t>
        </is>
      </c>
    </row>
    <row r="265">
      <c r="A265" t="inlineStr">
        <is>
          <t>No</t>
        </is>
      </c>
      <c r="B265" t="inlineStr">
        <is>
          <t>HN440.R3 G6413</t>
        </is>
      </c>
      <c r="C265" t="inlineStr">
        <is>
          <t>0                      HN 0440000R  3                  G  6413</t>
        </is>
      </c>
      <c r="D265" t="inlineStr">
        <is>
          <t>The origins of modern leftism / Richard Gombin ; translated from the French by Michael K. Perl.</t>
        </is>
      </c>
      <c r="F265" t="inlineStr">
        <is>
          <t>No</t>
        </is>
      </c>
      <c r="G265" t="inlineStr">
        <is>
          <t>1</t>
        </is>
      </c>
      <c r="H265" t="inlineStr">
        <is>
          <t>No</t>
        </is>
      </c>
      <c r="I265" t="inlineStr">
        <is>
          <t>No</t>
        </is>
      </c>
      <c r="J265" t="inlineStr">
        <is>
          <t>0</t>
        </is>
      </c>
      <c r="K265" t="inlineStr">
        <is>
          <t>Gombin, Richard, 1939-</t>
        </is>
      </c>
      <c r="L265" t="inlineStr">
        <is>
          <t>Harmondsworth ; Baltimore [etc.] : Penguin, 1975.</t>
        </is>
      </c>
      <c r="M265" t="inlineStr">
        <is>
          <t>1975</t>
        </is>
      </c>
      <c r="O265" t="inlineStr">
        <is>
          <t>eng</t>
        </is>
      </c>
      <c r="P265" t="inlineStr">
        <is>
          <t>enk</t>
        </is>
      </c>
      <c r="Q265" t="inlineStr">
        <is>
          <t>Pelican books</t>
        </is>
      </c>
      <c r="R265" t="inlineStr">
        <is>
          <t xml:space="preserve">HN </t>
        </is>
      </c>
      <c r="S265" t="n">
        <v>1</v>
      </c>
      <c r="T265" t="n">
        <v>1</v>
      </c>
      <c r="U265" t="inlineStr">
        <is>
          <t>2008-01-21</t>
        </is>
      </c>
      <c r="V265" t="inlineStr">
        <is>
          <t>2008-01-21</t>
        </is>
      </c>
      <c r="W265" t="inlineStr">
        <is>
          <t>1997-08-07</t>
        </is>
      </c>
      <c r="X265" t="inlineStr">
        <is>
          <t>1997-08-07</t>
        </is>
      </c>
      <c r="Y265" t="n">
        <v>266</v>
      </c>
      <c r="Z265" t="n">
        <v>164</v>
      </c>
      <c r="AA265" t="n">
        <v>166</v>
      </c>
      <c r="AB265" t="n">
        <v>1</v>
      </c>
      <c r="AC265" t="n">
        <v>1</v>
      </c>
      <c r="AD265" t="n">
        <v>4</v>
      </c>
      <c r="AE265" t="n">
        <v>4</v>
      </c>
      <c r="AF265" t="n">
        <v>2</v>
      </c>
      <c r="AG265" t="n">
        <v>2</v>
      </c>
      <c r="AH265" t="n">
        <v>0</v>
      </c>
      <c r="AI265" t="n">
        <v>0</v>
      </c>
      <c r="AJ265" t="n">
        <v>4</v>
      </c>
      <c r="AK265" t="n">
        <v>4</v>
      </c>
      <c r="AL265" t="n">
        <v>0</v>
      </c>
      <c r="AM265" t="n">
        <v>0</v>
      </c>
      <c r="AN265" t="n">
        <v>0</v>
      </c>
      <c r="AO265" t="n">
        <v>0</v>
      </c>
      <c r="AP265" t="inlineStr">
        <is>
          <t>No</t>
        </is>
      </c>
      <c r="AQ265" t="inlineStr">
        <is>
          <t>Yes</t>
        </is>
      </c>
      <c r="AR265">
        <f>HYPERLINK("http://catalog.hathitrust.org/Record/000202145","HathiTrust Record")</f>
        <v/>
      </c>
      <c r="AS265">
        <f>HYPERLINK("https://creighton-primo.hosted.exlibrisgroup.com/primo-explore/search?tab=default_tab&amp;search_scope=EVERYTHING&amp;vid=01CRU&amp;lang=en_US&amp;offset=0&amp;query=any,contains,991004038289702656","Catalog Record")</f>
        <v/>
      </c>
      <c r="AT265">
        <f>HYPERLINK("http://www.worldcat.org/oclc/2180283","WorldCat Record")</f>
        <v/>
      </c>
      <c r="AU265" t="inlineStr">
        <is>
          <t>348129919:eng</t>
        </is>
      </c>
      <c r="AV265" t="inlineStr">
        <is>
          <t>2180283</t>
        </is>
      </c>
      <c r="AW265" t="inlineStr">
        <is>
          <t>991004038289702656</t>
        </is>
      </c>
      <c r="AX265" t="inlineStr">
        <is>
          <t>991004038289702656</t>
        </is>
      </c>
      <c r="AY265" t="inlineStr">
        <is>
          <t>2263671440002656</t>
        </is>
      </c>
      <c r="AZ265" t="inlineStr">
        <is>
          <t>BOOK</t>
        </is>
      </c>
      <c r="BB265" t="inlineStr">
        <is>
          <t>9780140218466</t>
        </is>
      </c>
      <c r="BC265" t="inlineStr">
        <is>
          <t>32285003085965</t>
        </is>
      </c>
      <c r="BD265" t="inlineStr">
        <is>
          <t>893324856</t>
        </is>
      </c>
    </row>
    <row r="266">
      <c r="A266" t="inlineStr">
        <is>
          <t>No</t>
        </is>
      </c>
      <c r="B266" t="inlineStr">
        <is>
          <t>HN440.S6 C4813 1994</t>
        </is>
      </c>
      <c r="C266" t="inlineStr">
        <is>
          <t>0                      HN 0440000S  6                  C  4813        1994</t>
        </is>
      </c>
      <c r="D266" t="inlineStr">
        <is>
          <t>Social history of France in the nineteenth century / Christophe Charle ; translated by Miriam Kochan.</t>
        </is>
      </c>
      <c r="F266" t="inlineStr">
        <is>
          <t>No</t>
        </is>
      </c>
      <c r="G266" t="inlineStr">
        <is>
          <t>1</t>
        </is>
      </c>
      <c r="H266" t="inlineStr">
        <is>
          <t>No</t>
        </is>
      </c>
      <c r="I266" t="inlineStr">
        <is>
          <t>No</t>
        </is>
      </c>
      <c r="J266" t="inlineStr">
        <is>
          <t>0</t>
        </is>
      </c>
      <c r="K266" t="inlineStr">
        <is>
          <t>Charle, Christophe, 1951-</t>
        </is>
      </c>
      <c r="L266" t="inlineStr">
        <is>
          <t>Oxford ; Providence, R.I. : Berg, 1994.</t>
        </is>
      </c>
      <c r="M266" t="inlineStr">
        <is>
          <t>1994</t>
        </is>
      </c>
      <c r="O266" t="inlineStr">
        <is>
          <t>eng</t>
        </is>
      </c>
      <c r="P266" t="inlineStr">
        <is>
          <t>enk</t>
        </is>
      </c>
      <c r="R266" t="inlineStr">
        <is>
          <t xml:space="preserve">HN </t>
        </is>
      </c>
      <c r="S266" t="n">
        <v>1</v>
      </c>
      <c r="T266" t="n">
        <v>1</v>
      </c>
      <c r="U266" t="inlineStr">
        <is>
          <t>2005-07-01</t>
        </is>
      </c>
      <c r="V266" t="inlineStr">
        <is>
          <t>2005-07-01</t>
        </is>
      </c>
      <c r="W266" t="inlineStr">
        <is>
          <t>1996-01-16</t>
        </is>
      </c>
      <c r="X266" t="inlineStr">
        <is>
          <t>1996-01-16</t>
        </is>
      </c>
      <c r="Y266" t="n">
        <v>427</v>
      </c>
      <c r="Z266" t="n">
        <v>285</v>
      </c>
      <c r="AA266" t="n">
        <v>292</v>
      </c>
      <c r="AB266" t="n">
        <v>2</v>
      </c>
      <c r="AC266" t="n">
        <v>2</v>
      </c>
      <c r="AD266" t="n">
        <v>17</v>
      </c>
      <c r="AE266" t="n">
        <v>17</v>
      </c>
      <c r="AF266" t="n">
        <v>5</v>
      </c>
      <c r="AG266" t="n">
        <v>5</v>
      </c>
      <c r="AH266" t="n">
        <v>6</v>
      </c>
      <c r="AI266" t="n">
        <v>6</v>
      </c>
      <c r="AJ266" t="n">
        <v>10</v>
      </c>
      <c r="AK266" t="n">
        <v>10</v>
      </c>
      <c r="AL266" t="n">
        <v>1</v>
      </c>
      <c r="AM266" t="n">
        <v>1</v>
      </c>
      <c r="AN266" t="n">
        <v>0</v>
      </c>
      <c r="AO266" t="n">
        <v>0</v>
      </c>
      <c r="AP266" t="inlineStr">
        <is>
          <t>No</t>
        </is>
      </c>
      <c r="AQ266" t="inlineStr">
        <is>
          <t>Yes</t>
        </is>
      </c>
      <c r="AR266">
        <f>HYPERLINK("http://catalog.hathitrust.org/Record/003068938","HathiTrust Record")</f>
        <v/>
      </c>
      <c r="AS266">
        <f>HYPERLINK("https://creighton-primo.hosted.exlibrisgroup.com/primo-explore/search?tab=default_tab&amp;search_scope=EVERYTHING&amp;vid=01CRU&amp;lang=en_US&amp;offset=0&amp;query=any,contains,991002383979702656","Catalog Record")</f>
        <v/>
      </c>
      <c r="AT266">
        <f>HYPERLINK("http://www.worldcat.org/oclc/30976638","WorldCat Record")</f>
        <v/>
      </c>
      <c r="AU266" t="inlineStr">
        <is>
          <t>1909160356:eng</t>
        </is>
      </c>
      <c r="AV266" t="inlineStr">
        <is>
          <t>30976638</t>
        </is>
      </c>
      <c r="AW266" t="inlineStr">
        <is>
          <t>991002383979702656</t>
        </is>
      </c>
      <c r="AX266" t="inlineStr">
        <is>
          <t>991002383979702656</t>
        </is>
      </c>
      <c r="AY266" t="inlineStr">
        <is>
          <t>2261120840002656</t>
        </is>
      </c>
      <c r="AZ266" t="inlineStr">
        <is>
          <t>BOOK</t>
        </is>
      </c>
      <c r="BB266" t="inlineStr">
        <is>
          <t>9780854969067</t>
        </is>
      </c>
      <c r="BC266" t="inlineStr">
        <is>
          <t>32285002117322</t>
        </is>
      </c>
      <c r="BD266" t="inlineStr">
        <is>
          <t>893622222</t>
        </is>
      </c>
    </row>
    <row r="267">
      <c r="A267" t="inlineStr">
        <is>
          <t>No</t>
        </is>
      </c>
      <c r="B267" t="inlineStr">
        <is>
          <t>HN445 .B47 1993</t>
        </is>
      </c>
      <c r="C267" t="inlineStr">
        <is>
          <t>0                      HN 0445000B  47          1993</t>
        </is>
      </c>
      <c r="D267" t="inlineStr">
        <is>
          <t>Germany after the First World War / Richard Bessel.</t>
        </is>
      </c>
      <c r="F267" t="inlineStr">
        <is>
          <t>No</t>
        </is>
      </c>
      <c r="G267" t="inlineStr">
        <is>
          <t>1</t>
        </is>
      </c>
      <c r="H267" t="inlineStr">
        <is>
          <t>No</t>
        </is>
      </c>
      <c r="I267" t="inlineStr">
        <is>
          <t>No</t>
        </is>
      </c>
      <c r="J267" t="inlineStr">
        <is>
          <t>0</t>
        </is>
      </c>
      <c r="K267" t="inlineStr">
        <is>
          <t>Bessel, Richard.</t>
        </is>
      </c>
      <c r="L267" t="inlineStr">
        <is>
          <t>Oxford : Clarendon Press ; New York : Oxford University Press, 1993.</t>
        </is>
      </c>
      <c r="M267" t="inlineStr">
        <is>
          <t>1993</t>
        </is>
      </c>
      <c r="O267" t="inlineStr">
        <is>
          <t>eng</t>
        </is>
      </c>
      <c r="P267" t="inlineStr">
        <is>
          <t>enk</t>
        </is>
      </c>
      <c r="R267" t="inlineStr">
        <is>
          <t xml:space="preserve">HN </t>
        </is>
      </c>
      <c r="S267" t="n">
        <v>9</v>
      </c>
      <c r="T267" t="n">
        <v>9</v>
      </c>
      <c r="U267" t="inlineStr">
        <is>
          <t>2000-02-14</t>
        </is>
      </c>
      <c r="V267" t="inlineStr">
        <is>
          <t>2000-02-14</t>
        </is>
      </c>
      <c r="W267" t="inlineStr">
        <is>
          <t>1994-05-06</t>
        </is>
      </c>
      <c r="X267" t="inlineStr">
        <is>
          <t>1994-05-06</t>
        </is>
      </c>
      <c r="Y267" t="n">
        <v>1045</v>
      </c>
      <c r="Z267" t="n">
        <v>776</v>
      </c>
      <c r="AA267" t="n">
        <v>1008</v>
      </c>
      <c r="AB267" t="n">
        <v>5</v>
      </c>
      <c r="AC267" t="n">
        <v>8</v>
      </c>
      <c r="AD267" t="n">
        <v>38</v>
      </c>
      <c r="AE267" t="n">
        <v>49</v>
      </c>
      <c r="AF267" t="n">
        <v>15</v>
      </c>
      <c r="AG267" t="n">
        <v>20</v>
      </c>
      <c r="AH267" t="n">
        <v>9</v>
      </c>
      <c r="AI267" t="n">
        <v>11</v>
      </c>
      <c r="AJ267" t="n">
        <v>21</v>
      </c>
      <c r="AK267" t="n">
        <v>23</v>
      </c>
      <c r="AL267" t="n">
        <v>4</v>
      </c>
      <c r="AM267" t="n">
        <v>7</v>
      </c>
      <c r="AN267" t="n">
        <v>0</v>
      </c>
      <c r="AO267" t="n">
        <v>1</v>
      </c>
      <c r="AP267" t="inlineStr">
        <is>
          <t>No</t>
        </is>
      </c>
      <c r="AQ267" t="inlineStr">
        <is>
          <t>Yes</t>
        </is>
      </c>
      <c r="AR267">
        <f>HYPERLINK("http://catalog.hathitrust.org/Record/002710523","HathiTrust Record")</f>
        <v/>
      </c>
      <c r="AS267">
        <f>HYPERLINK("https://creighton-primo.hosted.exlibrisgroup.com/primo-explore/search?tab=default_tab&amp;search_scope=EVERYTHING&amp;vid=01CRU&amp;lang=en_US&amp;offset=0&amp;query=any,contains,991002110099702656","Catalog Record")</f>
        <v/>
      </c>
      <c r="AT267">
        <f>HYPERLINK("http://www.worldcat.org/oclc/27035781","WorldCat Record")</f>
        <v/>
      </c>
      <c r="AU267" t="inlineStr">
        <is>
          <t>328292:eng</t>
        </is>
      </c>
      <c r="AV267" t="inlineStr">
        <is>
          <t>27035781</t>
        </is>
      </c>
      <c r="AW267" t="inlineStr">
        <is>
          <t>991002110099702656</t>
        </is>
      </c>
      <c r="AX267" t="inlineStr">
        <is>
          <t>991002110099702656</t>
        </is>
      </c>
      <c r="AY267" t="inlineStr">
        <is>
          <t>2270325290002656</t>
        </is>
      </c>
      <c r="AZ267" t="inlineStr">
        <is>
          <t>BOOK</t>
        </is>
      </c>
      <c r="BB267" t="inlineStr">
        <is>
          <t>9780198219385</t>
        </is>
      </c>
      <c r="BC267" t="inlineStr">
        <is>
          <t>32285001878395</t>
        </is>
      </c>
      <c r="BD267" t="inlineStr">
        <is>
          <t>893709879</t>
        </is>
      </c>
    </row>
    <row r="268">
      <c r="A268" t="inlineStr">
        <is>
          <t>No</t>
        </is>
      </c>
      <c r="B268" t="inlineStr">
        <is>
          <t>HN445 .B6 1957</t>
        </is>
      </c>
      <c r="C268" t="inlineStr">
        <is>
          <t>0                      HN 0445000B  6           1957</t>
        </is>
      </c>
      <c r="D268" t="inlineStr">
        <is>
          <t>Staat und Sozialpolitik seit Bismarcks Sturz : ein Beitrag zur Geschichte der innenpolitischen Entwicklung des Deutschen Reiches, 1890-1914 / von Karl Erich Born.</t>
        </is>
      </c>
      <c r="F268" t="inlineStr">
        <is>
          <t>No</t>
        </is>
      </c>
      <c r="G268" t="inlineStr">
        <is>
          <t>1</t>
        </is>
      </c>
      <c r="H268" t="inlineStr">
        <is>
          <t>No</t>
        </is>
      </c>
      <c r="I268" t="inlineStr">
        <is>
          <t>No</t>
        </is>
      </c>
      <c r="J268" t="inlineStr">
        <is>
          <t>0</t>
        </is>
      </c>
      <c r="K268" t="inlineStr">
        <is>
          <t>Born, Karl Erich.</t>
        </is>
      </c>
      <c r="L268" t="inlineStr">
        <is>
          <t>Wiesbaden : F. Steiner, [1957]</t>
        </is>
      </c>
      <c r="M268" t="inlineStr">
        <is>
          <t>1957</t>
        </is>
      </c>
      <c r="O268" t="inlineStr">
        <is>
          <t>ger</t>
        </is>
      </c>
      <c r="P268" t="inlineStr">
        <is>
          <t xml:space="preserve">gw </t>
        </is>
      </c>
      <c r="Q268" t="inlineStr">
        <is>
          <t>Historische Forschungen ; Bd. 1</t>
        </is>
      </c>
      <c r="R268" t="inlineStr">
        <is>
          <t xml:space="preserve">HN </t>
        </is>
      </c>
      <c r="S268" t="n">
        <v>1</v>
      </c>
      <c r="T268" t="n">
        <v>1</v>
      </c>
      <c r="U268" t="inlineStr">
        <is>
          <t>2001-08-09</t>
        </is>
      </c>
      <c r="V268" t="inlineStr">
        <is>
          <t>2001-08-09</t>
        </is>
      </c>
      <c r="W268" t="inlineStr">
        <is>
          <t>2001-08-09</t>
        </is>
      </c>
      <c r="X268" t="inlineStr">
        <is>
          <t>2001-08-09</t>
        </is>
      </c>
      <c r="Y268" t="n">
        <v>176</v>
      </c>
      <c r="Z268" t="n">
        <v>92</v>
      </c>
      <c r="AA268" t="n">
        <v>94</v>
      </c>
      <c r="AB268" t="n">
        <v>2</v>
      </c>
      <c r="AC268" t="n">
        <v>2</v>
      </c>
      <c r="AD268" t="n">
        <v>3</v>
      </c>
      <c r="AE268" t="n">
        <v>3</v>
      </c>
      <c r="AF268" t="n">
        <v>0</v>
      </c>
      <c r="AG268" t="n">
        <v>0</v>
      </c>
      <c r="AH268" t="n">
        <v>0</v>
      </c>
      <c r="AI268" t="n">
        <v>0</v>
      </c>
      <c r="AJ268" t="n">
        <v>2</v>
      </c>
      <c r="AK268" t="n">
        <v>2</v>
      </c>
      <c r="AL268" t="n">
        <v>1</v>
      </c>
      <c r="AM268" t="n">
        <v>1</v>
      </c>
      <c r="AN268" t="n">
        <v>0</v>
      </c>
      <c r="AO268" t="n">
        <v>0</v>
      </c>
      <c r="AP268" t="inlineStr">
        <is>
          <t>No</t>
        </is>
      </c>
      <c r="AQ268" t="inlineStr">
        <is>
          <t>Yes</t>
        </is>
      </c>
      <c r="AR268">
        <f>HYPERLINK("http://catalog.hathitrust.org/Record/001662749","HathiTrust Record")</f>
        <v/>
      </c>
      <c r="AS268">
        <f>HYPERLINK("https://creighton-primo.hosted.exlibrisgroup.com/primo-explore/search?tab=default_tab&amp;search_scope=EVERYTHING&amp;vid=01CRU&amp;lang=en_US&amp;offset=0&amp;query=any,contains,991003603239702656","Catalog Record")</f>
        <v/>
      </c>
      <c r="AT268">
        <f>HYPERLINK("http://www.worldcat.org/oclc/950875","WorldCat Record")</f>
        <v/>
      </c>
      <c r="AU268" t="inlineStr">
        <is>
          <t>292841695:ger</t>
        </is>
      </c>
      <c r="AV268" t="inlineStr">
        <is>
          <t>950875</t>
        </is>
      </c>
      <c r="AW268" t="inlineStr">
        <is>
          <t>991003603239702656</t>
        </is>
      </c>
      <c r="AX268" t="inlineStr">
        <is>
          <t>991003603239702656</t>
        </is>
      </c>
      <c r="AY268" t="inlineStr">
        <is>
          <t>2262199870002656</t>
        </is>
      </c>
      <c r="AZ268" t="inlineStr">
        <is>
          <t>BOOK</t>
        </is>
      </c>
      <c r="BC268" t="inlineStr">
        <is>
          <t>32285004376850</t>
        </is>
      </c>
      <c r="BD268" t="inlineStr">
        <is>
          <t>893234339</t>
        </is>
      </c>
    </row>
    <row r="269">
      <c r="A269" t="inlineStr">
        <is>
          <t>No</t>
        </is>
      </c>
      <c r="B269" t="inlineStr">
        <is>
          <t>HN445 .D313 1979b</t>
        </is>
      </c>
      <c r="C269" t="inlineStr">
        <is>
          <t>0                      HN 0445000D  313         1979b</t>
        </is>
      </c>
      <c r="D269" t="inlineStr">
        <is>
          <t>Society and democracy in Germany / by Ralf Dahrendorf.</t>
        </is>
      </c>
      <c r="F269" t="inlineStr">
        <is>
          <t>No</t>
        </is>
      </c>
      <c r="G269" t="inlineStr">
        <is>
          <t>1</t>
        </is>
      </c>
      <c r="H269" t="inlineStr">
        <is>
          <t>No</t>
        </is>
      </c>
      <c r="I269" t="inlineStr">
        <is>
          <t>No</t>
        </is>
      </c>
      <c r="J269" t="inlineStr">
        <is>
          <t>0</t>
        </is>
      </c>
      <c r="K269" t="inlineStr">
        <is>
          <t>Dahrendorf, Ralf, 1929-2009.</t>
        </is>
      </c>
      <c r="L269" t="inlineStr">
        <is>
          <t>New York : Norton, [1979] c1967.</t>
        </is>
      </c>
      <c r="M269" t="inlineStr">
        <is>
          <t>1979</t>
        </is>
      </c>
      <c r="O269" t="inlineStr">
        <is>
          <t>eng</t>
        </is>
      </c>
      <c r="P269" t="inlineStr">
        <is>
          <t>nyu</t>
        </is>
      </c>
      <c r="R269" t="inlineStr">
        <is>
          <t xml:space="preserve">HN </t>
        </is>
      </c>
      <c r="S269" t="n">
        <v>4</v>
      </c>
      <c r="T269" t="n">
        <v>4</v>
      </c>
      <c r="U269" t="inlineStr">
        <is>
          <t>1993-05-20</t>
        </is>
      </c>
      <c r="V269" t="inlineStr">
        <is>
          <t>1993-05-20</t>
        </is>
      </c>
      <c r="W269" t="inlineStr">
        <is>
          <t>1992-09-14</t>
        </is>
      </c>
      <c r="X269" t="inlineStr">
        <is>
          <t>1992-09-14</t>
        </is>
      </c>
      <c r="Y269" t="n">
        <v>126</v>
      </c>
      <c r="Z269" t="n">
        <v>98</v>
      </c>
      <c r="AA269" t="n">
        <v>950</v>
      </c>
      <c r="AB269" t="n">
        <v>1</v>
      </c>
      <c r="AC269" t="n">
        <v>6</v>
      </c>
      <c r="AD269" t="n">
        <v>2</v>
      </c>
      <c r="AE269" t="n">
        <v>43</v>
      </c>
      <c r="AF269" t="n">
        <v>1</v>
      </c>
      <c r="AG269" t="n">
        <v>20</v>
      </c>
      <c r="AH269" t="n">
        <v>0</v>
      </c>
      <c r="AI269" t="n">
        <v>8</v>
      </c>
      <c r="AJ269" t="n">
        <v>2</v>
      </c>
      <c r="AK269" t="n">
        <v>21</v>
      </c>
      <c r="AL269" t="n">
        <v>0</v>
      </c>
      <c r="AM269" t="n">
        <v>5</v>
      </c>
      <c r="AN269" t="n">
        <v>0</v>
      </c>
      <c r="AO269" t="n">
        <v>1</v>
      </c>
      <c r="AP269" t="inlineStr">
        <is>
          <t>No</t>
        </is>
      </c>
      <c r="AQ269" t="inlineStr">
        <is>
          <t>No</t>
        </is>
      </c>
      <c r="AS269">
        <f>HYPERLINK("https://creighton-primo.hosted.exlibrisgroup.com/primo-explore/search?tab=default_tab&amp;search_scope=EVERYTHING&amp;vid=01CRU&amp;lang=en_US&amp;offset=0&amp;query=any,contains,991004802249702656","Catalog Record")</f>
        <v/>
      </c>
      <c r="AT269">
        <f>HYPERLINK("http://www.worldcat.org/oclc/5219639","WorldCat Record")</f>
        <v/>
      </c>
      <c r="AU269" t="inlineStr">
        <is>
          <t>1151022214:eng</t>
        </is>
      </c>
      <c r="AV269" t="inlineStr">
        <is>
          <t>5219639</t>
        </is>
      </c>
      <c r="AW269" t="inlineStr">
        <is>
          <t>991004802249702656</t>
        </is>
      </c>
      <c r="AX269" t="inlineStr">
        <is>
          <t>991004802249702656</t>
        </is>
      </c>
      <c r="AY269" t="inlineStr">
        <is>
          <t>2268352290002656</t>
        </is>
      </c>
      <c r="AZ269" t="inlineStr">
        <is>
          <t>BOOK</t>
        </is>
      </c>
      <c r="BB269" t="inlineStr">
        <is>
          <t>9780393009538</t>
        </is>
      </c>
      <c r="BC269" t="inlineStr">
        <is>
          <t>32285001284560</t>
        </is>
      </c>
      <c r="BD269" t="inlineStr">
        <is>
          <t>893443073</t>
        </is>
      </c>
    </row>
    <row r="270">
      <c r="A270" t="inlineStr">
        <is>
          <t>No</t>
        </is>
      </c>
      <c r="B270" t="inlineStr">
        <is>
          <t>HN445 .N37 1994</t>
        </is>
      </c>
      <c r="C270" t="inlineStr">
        <is>
          <t>0                      HN 0445000N  37          1994</t>
        </is>
      </c>
      <c r="D270" t="inlineStr">
        <is>
          <t>Nationalsozialismus und Modernisierung / herausgegeben von Michael Prinz und Rainer Zitelmann.</t>
        </is>
      </c>
      <c r="F270" t="inlineStr">
        <is>
          <t>No</t>
        </is>
      </c>
      <c r="G270" t="inlineStr">
        <is>
          <t>1</t>
        </is>
      </c>
      <c r="H270" t="inlineStr">
        <is>
          <t>No</t>
        </is>
      </c>
      <c r="I270" t="inlineStr">
        <is>
          <t>No</t>
        </is>
      </c>
      <c r="J270" t="inlineStr">
        <is>
          <t>0</t>
        </is>
      </c>
      <c r="L270" t="inlineStr">
        <is>
          <t>Darmstadt : Wissenschaftliche Buchgesellschaft, 1994.</t>
        </is>
      </c>
      <c r="M270" t="inlineStr">
        <is>
          <t>1994</t>
        </is>
      </c>
      <c r="N270" t="inlineStr">
        <is>
          <t>2., durch ein Nachwort erg. Aufl.</t>
        </is>
      </c>
      <c r="O270" t="inlineStr">
        <is>
          <t>ger</t>
        </is>
      </c>
      <c r="P270" t="inlineStr">
        <is>
          <t xml:space="preserve">gw </t>
        </is>
      </c>
      <c r="R270" t="inlineStr">
        <is>
          <t xml:space="preserve">HN </t>
        </is>
      </c>
      <c r="S270" t="n">
        <v>1</v>
      </c>
      <c r="T270" t="n">
        <v>1</v>
      </c>
      <c r="U270" t="inlineStr">
        <is>
          <t>1999-02-12</t>
        </is>
      </c>
      <c r="V270" t="inlineStr">
        <is>
          <t>1999-02-12</t>
        </is>
      </c>
      <c r="W270" t="inlineStr">
        <is>
          <t>1996-04-09</t>
        </is>
      </c>
      <c r="X270" t="inlineStr">
        <is>
          <t>1996-04-09</t>
        </is>
      </c>
      <c r="Y270" t="n">
        <v>24</v>
      </c>
      <c r="Z270" t="n">
        <v>23</v>
      </c>
      <c r="AA270" t="n">
        <v>72</v>
      </c>
      <c r="AB270" t="n">
        <v>1</v>
      </c>
      <c r="AC270" t="n">
        <v>1</v>
      </c>
      <c r="AD270" t="n">
        <v>1</v>
      </c>
      <c r="AE270" t="n">
        <v>4</v>
      </c>
      <c r="AF270" t="n">
        <v>0</v>
      </c>
      <c r="AG270" t="n">
        <v>0</v>
      </c>
      <c r="AH270" t="n">
        <v>1</v>
      </c>
      <c r="AI270" t="n">
        <v>3</v>
      </c>
      <c r="AJ270" t="n">
        <v>1</v>
      </c>
      <c r="AK270" t="n">
        <v>3</v>
      </c>
      <c r="AL270" t="n">
        <v>0</v>
      </c>
      <c r="AM270" t="n">
        <v>0</v>
      </c>
      <c r="AN270" t="n">
        <v>0</v>
      </c>
      <c r="AO270" t="n">
        <v>0</v>
      </c>
      <c r="AP270" t="inlineStr">
        <is>
          <t>No</t>
        </is>
      </c>
      <c r="AQ270" t="inlineStr">
        <is>
          <t>No</t>
        </is>
      </c>
      <c r="AS270">
        <f>HYPERLINK("https://creighton-primo.hosted.exlibrisgroup.com/primo-explore/search?tab=default_tab&amp;search_scope=EVERYTHING&amp;vid=01CRU&amp;lang=en_US&amp;offset=0&amp;query=any,contains,991002427739702656","Catalog Record")</f>
        <v/>
      </c>
      <c r="AT270">
        <f>HYPERLINK("http://www.worldcat.org/oclc/31614633","WorldCat Record")</f>
        <v/>
      </c>
      <c r="AU270" t="inlineStr">
        <is>
          <t>350107206:ger</t>
        </is>
      </c>
      <c r="AV270" t="inlineStr">
        <is>
          <t>31614633</t>
        </is>
      </c>
      <c r="AW270" t="inlineStr">
        <is>
          <t>991002427739702656</t>
        </is>
      </c>
      <c r="AX270" t="inlineStr">
        <is>
          <t>991002427739702656</t>
        </is>
      </c>
      <c r="AY270" t="inlineStr">
        <is>
          <t>2254828860002656</t>
        </is>
      </c>
      <c r="AZ270" t="inlineStr">
        <is>
          <t>BOOK</t>
        </is>
      </c>
      <c r="BC270" t="inlineStr">
        <is>
          <t>32285002132248</t>
        </is>
      </c>
      <c r="BD270" t="inlineStr">
        <is>
          <t>893873504</t>
        </is>
      </c>
    </row>
    <row r="271">
      <c r="A271" t="inlineStr">
        <is>
          <t>No</t>
        </is>
      </c>
      <c r="B271" t="inlineStr">
        <is>
          <t>HN445 .S55 1978</t>
        </is>
      </c>
      <c r="C271" t="inlineStr">
        <is>
          <t>0                      HN 0445000S  55          1978</t>
        </is>
      </c>
      <c r="D271" t="inlineStr">
        <is>
          <t>Society and politics in Wilhelmine Germany / edited by Richard J. Evans.</t>
        </is>
      </c>
      <c r="F271" t="inlineStr">
        <is>
          <t>No</t>
        </is>
      </c>
      <c r="G271" t="inlineStr">
        <is>
          <t>1</t>
        </is>
      </c>
      <c r="H271" t="inlineStr">
        <is>
          <t>No</t>
        </is>
      </c>
      <c r="I271" t="inlineStr">
        <is>
          <t>No</t>
        </is>
      </c>
      <c r="J271" t="inlineStr">
        <is>
          <t>0</t>
        </is>
      </c>
      <c r="L271" t="inlineStr">
        <is>
          <t>London : Croom Helm ; New York : Barnes &amp; Noble, 1978.</t>
        </is>
      </c>
      <c r="M271" t="inlineStr">
        <is>
          <t>1978</t>
        </is>
      </c>
      <c r="O271" t="inlineStr">
        <is>
          <t>eng</t>
        </is>
      </c>
      <c r="P271" t="inlineStr">
        <is>
          <t>enk</t>
        </is>
      </c>
      <c r="R271" t="inlineStr">
        <is>
          <t xml:space="preserve">HN </t>
        </is>
      </c>
      <c r="S271" t="n">
        <v>1</v>
      </c>
      <c r="T271" t="n">
        <v>1</v>
      </c>
      <c r="U271" t="inlineStr">
        <is>
          <t>2009-04-20</t>
        </is>
      </c>
      <c r="V271" t="inlineStr">
        <is>
          <t>2009-04-20</t>
        </is>
      </c>
      <c r="W271" t="inlineStr">
        <is>
          <t>1992-03-03</t>
        </is>
      </c>
      <c r="X271" t="inlineStr">
        <is>
          <t>1992-03-03</t>
        </is>
      </c>
      <c r="Y271" t="n">
        <v>601</v>
      </c>
      <c r="Z271" t="n">
        <v>406</v>
      </c>
      <c r="AA271" t="n">
        <v>438</v>
      </c>
      <c r="AB271" t="n">
        <v>5</v>
      </c>
      <c r="AC271" t="n">
        <v>5</v>
      </c>
      <c r="AD271" t="n">
        <v>25</v>
      </c>
      <c r="AE271" t="n">
        <v>25</v>
      </c>
      <c r="AF271" t="n">
        <v>8</v>
      </c>
      <c r="AG271" t="n">
        <v>8</v>
      </c>
      <c r="AH271" t="n">
        <v>8</v>
      </c>
      <c r="AI271" t="n">
        <v>8</v>
      </c>
      <c r="AJ271" t="n">
        <v>15</v>
      </c>
      <c r="AK271" t="n">
        <v>15</v>
      </c>
      <c r="AL271" t="n">
        <v>4</v>
      </c>
      <c r="AM271" t="n">
        <v>4</v>
      </c>
      <c r="AN271" t="n">
        <v>0</v>
      </c>
      <c r="AO271" t="n">
        <v>0</v>
      </c>
      <c r="AP271" t="inlineStr">
        <is>
          <t>No</t>
        </is>
      </c>
      <c r="AQ271" t="inlineStr">
        <is>
          <t>No</t>
        </is>
      </c>
      <c r="AS271">
        <f>HYPERLINK("https://creighton-primo.hosted.exlibrisgroup.com/primo-explore/search?tab=default_tab&amp;search_scope=EVERYTHING&amp;vid=01CRU&amp;lang=en_US&amp;offset=0&amp;query=any,contains,991004551169702656","Catalog Record")</f>
        <v/>
      </c>
      <c r="AT271">
        <f>HYPERLINK("http://www.worldcat.org/oclc/3934998","WorldCat Record")</f>
        <v/>
      </c>
      <c r="AU271" t="inlineStr">
        <is>
          <t>54224183:eng</t>
        </is>
      </c>
      <c r="AV271" t="inlineStr">
        <is>
          <t>3934998</t>
        </is>
      </c>
      <c r="AW271" t="inlineStr">
        <is>
          <t>991004551169702656</t>
        </is>
      </c>
      <c r="AX271" t="inlineStr">
        <is>
          <t>991004551169702656</t>
        </is>
      </c>
      <c r="AY271" t="inlineStr">
        <is>
          <t>2266471380002656</t>
        </is>
      </c>
      <c r="AZ271" t="inlineStr">
        <is>
          <t>BOOK</t>
        </is>
      </c>
      <c r="BB271" t="inlineStr">
        <is>
          <t>9780064920360</t>
        </is>
      </c>
      <c r="BC271" t="inlineStr">
        <is>
          <t>32285000991223</t>
        </is>
      </c>
      <c r="BD271" t="inlineStr">
        <is>
          <t>893719070</t>
        </is>
      </c>
    </row>
    <row r="272">
      <c r="A272" t="inlineStr">
        <is>
          <t>No</t>
        </is>
      </c>
      <c r="B272" t="inlineStr">
        <is>
          <t>HN445.5 .K34 2000</t>
        </is>
      </c>
      <c r="C272" t="inlineStr">
        <is>
          <t>0                      HN 0445500K  34          2000</t>
        </is>
      </c>
      <c r="D272" t="inlineStr">
        <is>
          <t>Ten years of German unification : one state, two peoples / Charlotte Kahn.</t>
        </is>
      </c>
      <c r="F272" t="inlineStr">
        <is>
          <t>No</t>
        </is>
      </c>
      <c r="G272" t="inlineStr">
        <is>
          <t>1</t>
        </is>
      </c>
      <c r="H272" t="inlineStr">
        <is>
          <t>No</t>
        </is>
      </c>
      <c r="I272" t="inlineStr">
        <is>
          <t>No</t>
        </is>
      </c>
      <c r="J272" t="inlineStr">
        <is>
          <t>0</t>
        </is>
      </c>
      <c r="K272" t="inlineStr">
        <is>
          <t>Kahn, Charlotte, 1928-</t>
        </is>
      </c>
      <c r="L272" t="inlineStr">
        <is>
          <t>Westport, Conn. : Praeger, 2000.</t>
        </is>
      </c>
      <c r="M272" t="inlineStr">
        <is>
          <t>2000</t>
        </is>
      </c>
      <c r="O272" t="inlineStr">
        <is>
          <t>eng</t>
        </is>
      </c>
      <c r="P272" t="inlineStr">
        <is>
          <t>ctu</t>
        </is>
      </c>
      <c r="R272" t="inlineStr">
        <is>
          <t xml:space="preserve">HN </t>
        </is>
      </c>
      <c r="S272" t="n">
        <v>1</v>
      </c>
      <c r="T272" t="n">
        <v>1</v>
      </c>
      <c r="U272" t="inlineStr">
        <is>
          <t>2001-05-03</t>
        </is>
      </c>
      <c r="V272" t="inlineStr">
        <is>
          <t>2001-05-03</t>
        </is>
      </c>
      <c r="W272" t="inlineStr">
        <is>
          <t>2001-05-03</t>
        </is>
      </c>
      <c r="X272" t="inlineStr">
        <is>
          <t>2001-05-03</t>
        </is>
      </c>
      <c r="Y272" t="n">
        <v>252</v>
      </c>
      <c r="Z272" t="n">
        <v>204</v>
      </c>
      <c r="AA272" t="n">
        <v>205</v>
      </c>
      <c r="AB272" t="n">
        <v>3</v>
      </c>
      <c r="AC272" t="n">
        <v>3</v>
      </c>
      <c r="AD272" t="n">
        <v>12</v>
      </c>
      <c r="AE272" t="n">
        <v>12</v>
      </c>
      <c r="AF272" t="n">
        <v>2</v>
      </c>
      <c r="AG272" t="n">
        <v>2</v>
      </c>
      <c r="AH272" t="n">
        <v>5</v>
      </c>
      <c r="AI272" t="n">
        <v>5</v>
      </c>
      <c r="AJ272" t="n">
        <v>7</v>
      </c>
      <c r="AK272" t="n">
        <v>7</v>
      </c>
      <c r="AL272" t="n">
        <v>2</v>
      </c>
      <c r="AM272" t="n">
        <v>2</v>
      </c>
      <c r="AN272" t="n">
        <v>0</v>
      </c>
      <c r="AO272" t="n">
        <v>0</v>
      </c>
      <c r="AP272" t="inlineStr">
        <is>
          <t>No</t>
        </is>
      </c>
      <c r="AQ272" t="inlineStr">
        <is>
          <t>No</t>
        </is>
      </c>
      <c r="AS272">
        <f>HYPERLINK("https://creighton-primo.hosted.exlibrisgroup.com/primo-explore/search?tab=default_tab&amp;search_scope=EVERYTHING&amp;vid=01CRU&amp;lang=en_US&amp;offset=0&amp;query=any,contains,991003515189702656","Catalog Record")</f>
        <v/>
      </c>
      <c r="AT272">
        <f>HYPERLINK("http://www.worldcat.org/oclc/42027514","WorldCat Record")</f>
        <v/>
      </c>
      <c r="AU272" t="inlineStr">
        <is>
          <t>2580119:eng</t>
        </is>
      </c>
      <c r="AV272" t="inlineStr">
        <is>
          <t>42027514</t>
        </is>
      </c>
      <c r="AW272" t="inlineStr">
        <is>
          <t>991003515189702656</t>
        </is>
      </c>
      <c r="AX272" t="inlineStr">
        <is>
          <t>991003515189702656</t>
        </is>
      </c>
      <c r="AY272" t="inlineStr">
        <is>
          <t>2266498290002656</t>
        </is>
      </c>
      <c r="AZ272" t="inlineStr">
        <is>
          <t>BOOK</t>
        </is>
      </c>
      <c r="BB272" t="inlineStr">
        <is>
          <t>9780275963576</t>
        </is>
      </c>
      <c r="BC272" t="inlineStr">
        <is>
          <t>32285004316351</t>
        </is>
      </c>
      <c r="BD272" t="inlineStr">
        <is>
          <t>893499378</t>
        </is>
      </c>
    </row>
    <row r="273">
      <c r="A273" t="inlineStr">
        <is>
          <t>No</t>
        </is>
      </c>
      <c r="B273" t="inlineStr">
        <is>
          <t>HN458.B25 K6</t>
        </is>
      </c>
      <c r="C273" t="inlineStr">
        <is>
          <t>0                      HN 0458000B  25                 K  6</t>
        </is>
      </c>
      <c r="D273" t="inlineStr">
        <is>
          <t>Sozialgeschichte der Stadt Barmen im 19. Jahrhundert.</t>
        </is>
      </c>
      <c r="F273" t="inlineStr">
        <is>
          <t>No</t>
        </is>
      </c>
      <c r="G273" t="inlineStr">
        <is>
          <t>1</t>
        </is>
      </c>
      <c r="H273" t="inlineStr">
        <is>
          <t>No</t>
        </is>
      </c>
      <c r="I273" t="inlineStr">
        <is>
          <t>No</t>
        </is>
      </c>
      <c r="J273" t="inlineStr">
        <is>
          <t>0</t>
        </is>
      </c>
      <c r="K273" t="inlineStr">
        <is>
          <t>Köllmann, Wolfgang, 1925-</t>
        </is>
      </c>
      <c r="L273" t="inlineStr">
        <is>
          <t>Tübingen, Mohr, 1960.</t>
        </is>
      </c>
      <c r="M273" t="inlineStr">
        <is>
          <t>1960</t>
        </is>
      </c>
      <c r="O273" t="inlineStr">
        <is>
          <t>ger</t>
        </is>
      </c>
      <c r="P273" t="inlineStr">
        <is>
          <t xml:space="preserve">gw </t>
        </is>
      </c>
      <c r="Q273" t="inlineStr">
        <is>
          <t>Soziale Forschung und Praxis ; Bd. 21</t>
        </is>
      </c>
      <c r="R273" t="inlineStr">
        <is>
          <t xml:space="preserve">HN </t>
        </is>
      </c>
      <c r="S273" t="n">
        <v>1</v>
      </c>
      <c r="T273" t="n">
        <v>1</v>
      </c>
      <c r="U273" t="inlineStr">
        <is>
          <t>1996-12-06</t>
        </is>
      </c>
      <c r="V273" t="inlineStr">
        <is>
          <t>1996-12-06</t>
        </is>
      </c>
      <c r="W273" t="inlineStr">
        <is>
          <t>1996-12-06</t>
        </is>
      </c>
      <c r="X273" t="inlineStr">
        <is>
          <t>1996-12-06</t>
        </is>
      </c>
      <c r="Y273" t="n">
        <v>116</v>
      </c>
      <c r="Z273" t="n">
        <v>52</v>
      </c>
      <c r="AA273" t="n">
        <v>54</v>
      </c>
      <c r="AB273" t="n">
        <v>1</v>
      </c>
      <c r="AC273" t="n">
        <v>1</v>
      </c>
      <c r="AD273" t="n">
        <v>1</v>
      </c>
      <c r="AE273" t="n">
        <v>1</v>
      </c>
      <c r="AF273" t="n">
        <v>0</v>
      </c>
      <c r="AG273" t="n">
        <v>0</v>
      </c>
      <c r="AH273" t="n">
        <v>1</v>
      </c>
      <c r="AI273" t="n">
        <v>1</v>
      </c>
      <c r="AJ273" t="n">
        <v>0</v>
      </c>
      <c r="AK273" t="n">
        <v>0</v>
      </c>
      <c r="AL273" t="n">
        <v>0</v>
      </c>
      <c r="AM273" t="n">
        <v>0</v>
      </c>
      <c r="AN273" t="n">
        <v>0</v>
      </c>
      <c r="AO273" t="n">
        <v>0</v>
      </c>
      <c r="AP273" t="inlineStr">
        <is>
          <t>No</t>
        </is>
      </c>
      <c r="AQ273" t="inlineStr">
        <is>
          <t>Yes</t>
        </is>
      </c>
      <c r="AR273">
        <f>HYPERLINK("http://catalog.hathitrust.org/Record/000965497","HathiTrust Record")</f>
        <v/>
      </c>
      <c r="AS273">
        <f>HYPERLINK("https://creighton-primo.hosted.exlibrisgroup.com/primo-explore/search?tab=default_tab&amp;search_scope=EVERYTHING&amp;vid=01CRU&amp;lang=en_US&amp;offset=0&amp;query=any,contains,991004331189702656","Catalog Record")</f>
        <v/>
      </c>
      <c r="AT273">
        <f>HYPERLINK("http://www.worldcat.org/oclc/3060450","WorldCat Record")</f>
        <v/>
      </c>
      <c r="AU273" t="inlineStr">
        <is>
          <t>7125280:ger</t>
        </is>
      </c>
      <c r="AV273" t="inlineStr">
        <is>
          <t>3060450</t>
        </is>
      </c>
      <c r="AW273" t="inlineStr">
        <is>
          <t>991004331189702656</t>
        </is>
      </c>
      <c r="AX273" t="inlineStr">
        <is>
          <t>991004331189702656</t>
        </is>
      </c>
      <c r="AY273" t="inlineStr">
        <is>
          <t>2272151330002656</t>
        </is>
      </c>
      <c r="AZ273" t="inlineStr">
        <is>
          <t>BOOK</t>
        </is>
      </c>
      <c r="BC273" t="inlineStr">
        <is>
          <t>32285002396231</t>
        </is>
      </c>
      <c r="BD273" t="inlineStr">
        <is>
          <t>893794736</t>
        </is>
      </c>
    </row>
    <row r="274">
      <c r="A274" t="inlineStr">
        <is>
          <t>No</t>
        </is>
      </c>
      <c r="B274" t="inlineStr">
        <is>
          <t>HN458.H3 E95 1987</t>
        </is>
      </c>
      <c r="C274" t="inlineStr">
        <is>
          <t>0                      HN 0458000H  3                  E  95          1987</t>
        </is>
      </c>
      <c r="D274" t="inlineStr">
        <is>
          <t>Death in Hamburg : society and politics in the cholera years, 1830-1910 / Richard J. Evans.</t>
        </is>
      </c>
      <c r="F274" t="inlineStr">
        <is>
          <t>No</t>
        </is>
      </c>
      <c r="G274" t="inlineStr">
        <is>
          <t>1</t>
        </is>
      </c>
      <c r="H274" t="inlineStr">
        <is>
          <t>No</t>
        </is>
      </c>
      <c r="I274" t="inlineStr">
        <is>
          <t>No</t>
        </is>
      </c>
      <c r="J274" t="inlineStr">
        <is>
          <t>0</t>
        </is>
      </c>
      <c r="K274" t="inlineStr">
        <is>
          <t>Evans, Richard J.</t>
        </is>
      </c>
      <c r="L274" t="inlineStr">
        <is>
          <t>Oxford [Oxfordshire] : Clarendon Press ; New York : Oxford University Press, 1987.</t>
        </is>
      </c>
      <c r="M274" t="inlineStr">
        <is>
          <t>1987</t>
        </is>
      </c>
      <c r="O274" t="inlineStr">
        <is>
          <t>eng</t>
        </is>
      </c>
      <c r="P274" t="inlineStr">
        <is>
          <t>enk</t>
        </is>
      </c>
      <c r="R274" t="inlineStr">
        <is>
          <t xml:space="preserve">HN </t>
        </is>
      </c>
      <c r="S274" t="n">
        <v>1</v>
      </c>
      <c r="T274" t="n">
        <v>1</v>
      </c>
      <c r="U274" t="inlineStr">
        <is>
          <t>2009-04-20</t>
        </is>
      </c>
      <c r="V274" t="inlineStr">
        <is>
          <t>2009-04-20</t>
        </is>
      </c>
      <c r="W274" t="inlineStr">
        <is>
          <t>1992-10-13</t>
        </is>
      </c>
      <c r="X274" t="inlineStr">
        <is>
          <t>1992-10-13</t>
        </is>
      </c>
      <c r="Y274" t="n">
        <v>477</v>
      </c>
      <c r="Z274" t="n">
        <v>335</v>
      </c>
      <c r="AA274" t="n">
        <v>458</v>
      </c>
      <c r="AB274" t="n">
        <v>3</v>
      </c>
      <c r="AC274" t="n">
        <v>4</v>
      </c>
      <c r="AD274" t="n">
        <v>17</v>
      </c>
      <c r="AE274" t="n">
        <v>24</v>
      </c>
      <c r="AF274" t="n">
        <v>4</v>
      </c>
      <c r="AG274" t="n">
        <v>6</v>
      </c>
      <c r="AH274" t="n">
        <v>5</v>
      </c>
      <c r="AI274" t="n">
        <v>8</v>
      </c>
      <c r="AJ274" t="n">
        <v>9</v>
      </c>
      <c r="AK274" t="n">
        <v>13</v>
      </c>
      <c r="AL274" t="n">
        <v>2</v>
      </c>
      <c r="AM274" t="n">
        <v>3</v>
      </c>
      <c r="AN274" t="n">
        <v>0</v>
      </c>
      <c r="AO274" t="n">
        <v>0</v>
      </c>
      <c r="AP274" t="inlineStr">
        <is>
          <t>No</t>
        </is>
      </c>
      <c r="AQ274" t="inlineStr">
        <is>
          <t>Yes</t>
        </is>
      </c>
      <c r="AR274">
        <f>HYPERLINK("http://catalog.hathitrust.org/Record/000883988","HathiTrust Record")</f>
        <v/>
      </c>
      <c r="AS274">
        <f>HYPERLINK("https://creighton-primo.hosted.exlibrisgroup.com/primo-explore/search?tab=default_tab&amp;search_scope=EVERYTHING&amp;vid=01CRU&amp;lang=en_US&amp;offset=0&amp;query=any,contains,991001010129702656","Catalog Record")</f>
        <v/>
      </c>
      <c r="AT274">
        <f>HYPERLINK("http://www.worldcat.org/oclc/15281815","WorldCat Record")</f>
        <v/>
      </c>
      <c r="AU274" t="inlineStr">
        <is>
          <t>476556822:eng</t>
        </is>
      </c>
      <c r="AV274" t="inlineStr">
        <is>
          <t>15281815</t>
        </is>
      </c>
      <c r="AW274" t="inlineStr">
        <is>
          <t>991001010129702656</t>
        </is>
      </c>
      <c r="AX274" t="inlineStr">
        <is>
          <t>991001010129702656</t>
        </is>
      </c>
      <c r="AY274" t="inlineStr">
        <is>
          <t>2265826230002656</t>
        </is>
      </c>
      <c r="AZ274" t="inlineStr">
        <is>
          <t>BOOK</t>
        </is>
      </c>
      <c r="BB274" t="inlineStr">
        <is>
          <t>9780198228646</t>
        </is>
      </c>
      <c r="BC274" t="inlineStr">
        <is>
          <t>32285001357275</t>
        </is>
      </c>
      <c r="BD274" t="inlineStr">
        <is>
          <t>893407741</t>
        </is>
      </c>
    </row>
    <row r="275">
      <c r="A275" t="inlineStr">
        <is>
          <t>No</t>
        </is>
      </c>
      <c r="B275" t="inlineStr">
        <is>
          <t>HN460.E4 B38 1981</t>
        </is>
      </c>
      <c r="C275" t="inlineStr">
        <is>
          <t>0                      HN 0460000E  4                  B  38          1981</t>
        </is>
      </c>
      <c r="D275" t="inlineStr">
        <is>
          <t>The holocaust and the German elite : genocide and national suicide in Germany, 1871-1945 / Rainer C. Baum.</t>
        </is>
      </c>
      <c r="F275" t="inlineStr">
        <is>
          <t>No</t>
        </is>
      </c>
      <c r="G275" t="inlineStr">
        <is>
          <t>1</t>
        </is>
      </c>
      <c r="H275" t="inlineStr">
        <is>
          <t>No</t>
        </is>
      </c>
      <c r="I275" t="inlineStr">
        <is>
          <t>No</t>
        </is>
      </c>
      <c r="J275" t="inlineStr">
        <is>
          <t>0</t>
        </is>
      </c>
      <c r="K275" t="inlineStr">
        <is>
          <t>Baum, Rainer C.</t>
        </is>
      </c>
      <c r="L275" t="inlineStr">
        <is>
          <t>Totowa, N.J. : Rowman and Littlefield, 1981.</t>
        </is>
      </c>
      <c r="M275" t="inlineStr">
        <is>
          <t>1981</t>
        </is>
      </c>
      <c r="O275" t="inlineStr">
        <is>
          <t>eng</t>
        </is>
      </c>
      <c r="P275" t="inlineStr">
        <is>
          <t>nju</t>
        </is>
      </c>
      <c r="R275" t="inlineStr">
        <is>
          <t xml:space="preserve">HN </t>
        </is>
      </c>
      <c r="S275" t="n">
        <v>1</v>
      </c>
      <c r="T275" t="n">
        <v>1</v>
      </c>
      <c r="U275" t="inlineStr">
        <is>
          <t>1994-11-06</t>
        </is>
      </c>
      <c r="V275" t="inlineStr">
        <is>
          <t>1994-11-06</t>
        </is>
      </c>
      <c r="W275" t="inlineStr">
        <is>
          <t>1992-10-14</t>
        </is>
      </c>
      <c r="X275" t="inlineStr">
        <is>
          <t>1992-10-14</t>
        </is>
      </c>
      <c r="Y275" t="n">
        <v>558</v>
      </c>
      <c r="Z275" t="n">
        <v>406</v>
      </c>
      <c r="AA275" t="n">
        <v>413</v>
      </c>
      <c r="AB275" t="n">
        <v>4</v>
      </c>
      <c r="AC275" t="n">
        <v>4</v>
      </c>
      <c r="AD275" t="n">
        <v>18</v>
      </c>
      <c r="AE275" t="n">
        <v>18</v>
      </c>
      <c r="AF275" t="n">
        <v>5</v>
      </c>
      <c r="AG275" t="n">
        <v>5</v>
      </c>
      <c r="AH275" t="n">
        <v>6</v>
      </c>
      <c r="AI275" t="n">
        <v>6</v>
      </c>
      <c r="AJ275" t="n">
        <v>10</v>
      </c>
      <c r="AK275" t="n">
        <v>10</v>
      </c>
      <c r="AL275" t="n">
        <v>3</v>
      </c>
      <c r="AM275" t="n">
        <v>3</v>
      </c>
      <c r="AN275" t="n">
        <v>0</v>
      </c>
      <c r="AO275" t="n">
        <v>0</v>
      </c>
      <c r="AP275" t="inlineStr">
        <is>
          <t>No</t>
        </is>
      </c>
      <c r="AQ275" t="inlineStr">
        <is>
          <t>Yes</t>
        </is>
      </c>
      <c r="AR275">
        <f>HYPERLINK("http://catalog.hathitrust.org/Record/000180833","HathiTrust Record")</f>
        <v/>
      </c>
      <c r="AS275">
        <f>HYPERLINK("https://creighton-primo.hosted.exlibrisgroup.com/primo-explore/search?tab=default_tab&amp;search_scope=EVERYTHING&amp;vid=01CRU&amp;lang=en_US&amp;offset=0&amp;query=any,contains,991005059619702656","Catalog Record")</f>
        <v/>
      </c>
      <c r="AT275">
        <f>HYPERLINK("http://www.worldcat.org/oclc/6916259","WorldCat Record")</f>
        <v/>
      </c>
      <c r="AU275" t="inlineStr">
        <is>
          <t>581821:eng</t>
        </is>
      </c>
      <c r="AV275" t="inlineStr">
        <is>
          <t>6916259</t>
        </is>
      </c>
      <c r="AW275" t="inlineStr">
        <is>
          <t>991005059619702656</t>
        </is>
      </c>
      <c r="AX275" t="inlineStr">
        <is>
          <t>991005059619702656</t>
        </is>
      </c>
      <c r="AY275" t="inlineStr">
        <is>
          <t>2266277260002656</t>
        </is>
      </c>
      <c r="AZ275" t="inlineStr">
        <is>
          <t>BOOK</t>
        </is>
      </c>
      <c r="BB275" t="inlineStr">
        <is>
          <t>9780847669707</t>
        </is>
      </c>
      <c r="BC275" t="inlineStr">
        <is>
          <t>32285001357291</t>
        </is>
      </c>
      <c r="BD275" t="inlineStr">
        <is>
          <t>893619378</t>
        </is>
      </c>
    </row>
    <row r="276">
      <c r="A276" t="inlineStr">
        <is>
          <t>No</t>
        </is>
      </c>
      <c r="B276" t="inlineStr">
        <is>
          <t>HN460.I58 I55 2000</t>
        </is>
      </c>
      <c r="C276" t="inlineStr">
        <is>
          <t>0                      HN 0460000I  58                 I  55          2000</t>
        </is>
      </c>
      <c r="D276" t="inlineStr">
        <is>
          <t>Generation Golf : eine Inspektion / Florian Illies.</t>
        </is>
      </c>
      <c r="F276" t="inlineStr">
        <is>
          <t>No</t>
        </is>
      </c>
      <c r="G276" t="inlineStr">
        <is>
          <t>1</t>
        </is>
      </c>
      <c r="H276" t="inlineStr">
        <is>
          <t>No</t>
        </is>
      </c>
      <c r="I276" t="inlineStr">
        <is>
          <t>No</t>
        </is>
      </c>
      <c r="J276" t="inlineStr">
        <is>
          <t>0</t>
        </is>
      </c>
      <c r="K276" t="inlineStr">
        <is>
          <t>Illies, Florian, 1971-</t>
        </is>
      </c>
      <c r="L276" t="inlineStr">
        <is>
          <t>Berlin : Argon, 2000.</t>
        </is>
      </c>
      <c r="M276" t="inlineStr">
        <is>
          <t>2000</t>
        </is>
      </c>
      <c r="N276" t="inlineStr">
        <is>
          <t>15. Aufl.</t>
        </is>
      </c>
      <c r="O276" t="inlineStr">
        <is>
          <t>ger</t>
        </is>
      </c>
      <c r="P276" t="inlineStr">
        <is>
          <t xml:space="preserve">gw </t>
        </is>
      </c>
      <c r="R276" t="inlineStr">
        <is>
          <t xml:space="preserve">HN </t>
        </is>
      </c>
      <c r="S276" t="n">
        <v>1</v>
      </c>
      <c r="T276" t="n">
        <v>1</v>
      </c>
      <c r="U276" t="inlineStr">
        <is>
          <t>2006-01-20</t>
        </is>
      </c>
      <c r="V276" t="inlineStr">
        <is>
          <t>2006-01-20</t>
        </is>
      </c>
      <c r="W276" t="inlineStr">
        <is>
          <t>2001-09-19</t>
        </is>
      </c>
      <c r="X276" t="inlineStr">
        <is>
          <t>2001-09-19</t>
        </is>
      </c>
      <c r="Y276" t="n">
        <v>66</v>
      </c>
      <c r="Z276" t="n">
        <v>26</v>
      </c>
      <c r="AA276" t="n">
        <v>63</v>
      </c>
      <c r="AB276" t="n">
        <v>1</v>
      </c>
      <c r="AC276" t="n">
        <v>1</v>
      </c>
      <c r="AD276" t="n">
        <v>0</v>
      </c>
      <c r="AE276" t="n">
        <v>1</v>
      </c>
      <c r="AF276" t="n">
        <v>0</v>
      </c>
      <c r="AG276" t="n">
        <v>1</v>
      </c>
      <c r="AH276" t="n">
        <v>0</v>
      </c>
      <c r="AI276" t="n">
        <v>0</v>
      </c>
      <c r="AJ276" t="n">
        <v>0</v>
      </c>
      <c r="AK276" t="n">
        <v>0</v>
      </c>
      <c r="AL276" t="n">
        <v>0</v>
      </c>
      <c r="AM276" t="n">
        <v>0</v>
      </c>
      <c r="AN276" t="n">
        <v>0</v>
      </c>
      <c r="AO276" t="n">
        <v>0</v>
      </c>
      <c r="AP276" t="inlineStr">
        <is>
          <t>No</t>
        </is>
      </c>
      <c r="AQ276" t="inlineStr">
        <is>
          <t>No</t>
        </is>
      </c>
      <c r="AS276">
        <f>HYPERLINK("https://creighton-primo.hosted.exlibrisgroup.com/primo-explore/search?tab=default_tab&amp;search_scope=EVERYTHING&amp;vid=01CRU&amp;lang=en_US&amp;offset=0&amp;query=any,contains,991003601609702656","Catalog Record")</f>
        <v/>
      </c>
      <c r="AT276">
        <f>HYPERLINK("http://www.worldcat.org/oclc/43765138","WorldCat Record")</f>
        <v/>
      </c>
      <c r="AU276" t="inlineStr">
        <is>
          <t>796332348:ger</t>
        </is>
      </c>
      <c r="AV276" t="inlineStr">
        <is>
          <t>43765138</t>
        </is>
      </c>
      <c r="AW276" t="inlineStr">
        <is>
          <t>991003601609702656</t>
        </is>
      </c>
      <c r="AX276" t="inlineStr">
        <is>
          <t>991003601609702656</t>
        </is>
      </c>
      <c r="AY276" t="inlineStr">
        <is>
          <t>2268220580002656</t>
        </is>
      </c>
      <c r="AZ276" t="inlineStr">
        <is>
          <t>BOOK</t>
        </is>
      </c>
      <c r="BB276" t="inlineStr">
        <is>
          <t>9783870245122</t>
        </is>
      </c>
      <c r="BC276" t="inlineStr">
        <is>
          <t>32285004392295</t>
        </is>
      </c>
      <c r="BD276" t="inlineStr">
        <is>
          <t>893234335</t>
        </is>
      </c>
    </row>
    <row r="277">
      <c r="A277" t="inlineStr">
        <is>
          <t>No</t>
        </is>
      </c>
      <c r="B277" t="inlineStr">
        <is>
          <t>HN460.M26 S55 2002</t>
        </is>
      </c>
      <c r="C277" t="inlineStr">
        <is>
          <t>0                      HN 0460000M  26                 S  55          2002</t>
        </is>
      </c>
      <c r="D277" t="inlineStr">
        <is>
          <t>Denn wir sind anders : die Geschichte des Felix S. / Jana Simon.</t>
        </is>
      </c>
      <c r="F277" t="inlineStr">
        <is>
          <t>No</t>
        </is>
      </c>
      <c r="G277" t="inlineStr">
        <is>
          <t>1</t>
        </is>
      </c>
      <c r="H277" t="inlineStr">
        <is>
          <t>No</t>
        </is>
      </c>
      <c r="I277" t="inlineStr">
        <is>
          <t>No</t>
        </is>
      </c>
      <c r="J277" t="inlineStr">
        <is>
          <t>0</t>
        </is>
      </c>
      <c r="K277" t="inlineStr">
        <is>
          <t>Simon, Jana, 1972-</t>
        </is>
      </c>
      <c r="L277" t="inlineStr">
        <is>
          <t>Berlin : Rowohlt Berlin, 2002.</t>
        </is>
      </c>
      <c r="M277" t="inlineStr">
        <is>
          <t>2002</t>
        </is>
      </c>
      <c r="O277" t="inlineStr">
        <is>
          <t>ger</t>
        </is>
      </c>
      <c r="P277" t="inlineStr">
        <is>
          <t xml:space="preserve">gw </t>
        </is>
      </c>
      <c r="R277" t="inlineStr">
        <is>
          <t xml:space="preserve">HN </t>
        </is>
      </c>
      <c r="S277" t="n">
        <v>1</v>
      </c>
      <c r="T277" t="n">
        <v>1</v>
      </c>
      <c r="U277" t="inlineStr">
        <is>
          <t>2005-01-10</t>
        </is>
      </c>
      <c r="V277" t="inlineStr">
        <is>
          <t>2005-01-10</t>
        </is>
      </c>
      <c r="W277" t="inlineStr">
        <is>
          <t>2003-05-19</t>
        </is>
      </c>
      <c r="X277" t="inlineStr">
        <is>
          <t>2003-05-19</t>
        </is>
      </c>
      <c r="Y277" t="n">
        <v>52</v>
      </c>
      <c r="Z277" t="n">
        <v>20</v>
      </c>
      <c r="AA277" t="n">
        <v>26</v>
      </c>
      <c r="AB277" t="n">
        <v>1</v>
      </c>
      <c r="AC277" t="n">
        <v>1</v>
      </c>
      <c r="AD277" t="n">
        <v>0</v>
      </c>
      <c r="AE277" t="n">
        <v>0</v>
      </c>
      <c r="AF277" t="n">
        <v>0</v>
      </c>
      <c r="AG277" t="n">
        <v>0</v>
      </c>
      <c r="AH277" t="n">
        <v>0</v>
      </c>
      <c r="AI277" t="n">
        <v>0</v>
      </c>
      <c r="AJ277" t="n">
        <v>0</v>
      </c>
      <c r="AK277" t="n">
        <v>0</v>
      </c>
      <c r="AL277" t="n">
        <v>0</v>
      </c>
      <c r="AM277" t="n">
        <v>0</v>
      </c>
      <c r="AN277" t="n">
        <v>0</v>
      </c>
      <c r="AO277" t="n">
        <v>0</v>
      </c>
      <c r="AP277" t="inlineStr">
        <is>
          <t>No</t>
        </is>
      </c>
      <c r="AQ277" t="inlineStr">
        <is>
          <t>No</t>
        </is>
      </c>
      <c r="AS277">
        <f>HYPERLINK("https://creighton-primo.hosted.exlibrisgroup.com/primo-explore/search?tab=default_tab&amp;search_scope=EVERYTHING&amp;vid=01CRU&amp;lang=en_US&amp;offset=0&amp;query=any,contains,991004031969702656","Catalog Record")</f>
        <v/>
      </c>
      <c r="AT277">
        <f>HYPERLINK("http://www.worldcat.org/oclc/50005886","WorldCat Record")</f>
        <v/>
      </c>
      <c r="AU277" t="inlineStr">
        <is>
          <t>899053028:ger</t>
        </is>
      </c>
      <c r="AV277" t="inlineStr">
        <is>
          <t>50005886</t>
        </is>
      </c>
      <c r="AW277" t="inlineStr">
        <is>
          <t>991004031969702656</t>
        </is>
      </c>
      <c r="AX277" t="inlineStr">
        <is>
          <t>991004031969702656</t>
        </is>
      </c>
      <c r="AY277" t="inlineStr">
        <is>
          <t>2267222860002656</t>
        </is>
      </c>
      <c r="AZ277" t="inlineStr">
        <is>
          <t>BOOK</t>
        </is>
      </c>
      <c r="BB277" t="inlineStr">
        <is>
          <t>9783871344398</t>
        </is>
      </c>
      <c r="BC277" t="inlineStr">
        <is>
          <t>32285004746896</t>
        </is>
      </c>
      <c r="BD277" t="inlineStr">
        <is>
          <t>893699754</t>
        </is>
      </c>
    </row>
    <row r="278">
      <c r="A278" t="inlineStr">
        <is>
          <t>No</t>
        </is>
      </c>
      <c r="B278" t="inlineStr">
        <is>
          <t>HN460.V5 R57 1995</t>
        </is>
      </c>
      <c r="C278" t="inlineStr">
        <is>
          <t>0                      HN 0460000V  5                  R  57          1995</t>
        </is>
      </c>
      <c r="D278" t="inlineStr">
        <is>
          <t>The Rise of hatred and violence in Germany / published as a public service by Freedom magazine.</t>
        </is>
      </c>
      <c r="F278" t="inlineStr">
        <is>
          <t>No</t>
        </is>
      </c>
      <c r="G278" t="inlineStr">
        <is>
          <t>1</t>
        </is>
      </c>
      <c r="H278" t="inlineStr">
        <is>
          <t>No</t>
        </is>
      </c>
      <c r="I278" t="inlineStr">
        <is>
          <t>No</t>
        </is>
      </c>
      <c r="J278" t="inlineStr">
        <is>
          <t>0</t>
        </is>
      </c>
      <c r="L278" t="inlineStr">
        <is>
          <t>[Los Angeles, Calif. ]: Freedom Magazine, [1995]</t>
        </is>
      </c>
      <c r="M278" t="inlineStr">
        <is>
          <t>1995</t>
        </is>
      </c>
      <c r="O278" t="inlineStr">
        <is>
          <t>eng</t>
        </is>
      </c>
      <c r="P278" t="inlineStr">
        <is>
          <t>cau</t>
        </is>
      </c>
      <c r="R278" t="inlineStr">
        <is>
          <t xml:space="preserve">HN </t>
        </is>
      </c>
      <c r="S278" t="n">
        <v>4</v>
      </c>
      <c r="T278" t="n">
        <v>4</v>
      </c>
      <c r="U278" t="inlineStr">
        <is>
          <t>1996-04-22</t>
        </is>
      </c>
      <c r="V278" t="inlineStr">
        <is>
          <t>1996-04-22</t>
        </is>
      </c>
      <c r="W278" t="inlineStr">
        <is>
          <t>1996-01-18</t>
        </is>
      </c>
      <c r="X278" t="inlineStr">
        <is>
          <t>1996-01-18</t>
        </is>
      </c>
      <c r="Y278" t="n">
        <v>373</v>
      </c>
      <c r="Z278" t="n">
        <v>373</v>
      </c>
      <c r="AA278" t="n">
        <v>376</v>
      </c>
      <c r="AB278" t="n">
        <v>4</v>
      </c>
      <c r="AC278" t="n">
        <v>4</v>
      </c>
      <c r="AD278" t="n">
        <v>16</v>
      </c>
      <c r="AE278" t="n">
        <v>16</v>
      </c>
      <c r="AF278" t="n">
        <v>7</v>
      </c>
      <c r="AG278" t="n">
        <v>7</v>
      </c>
      <c r="AH278" t="n">
        <v>3</v>
      </c>
      <c r="AI278" t="n">
        <v>3</v>
      </c>
      <c r="AJ278" t="n">
        <v>6</v>
      </c>
      <c r="AK278" t="n">
        <v>6</v>
      </c>
      <c r="AL278" t="n">
        <v>3</v>
      </c>
      <c r="AM278" t="n">
        <v>3</v>
      </c>
      <c r="AN278" t="n">
        <v>0</v>
      </c>
      <c r="AO278" t="n">
        <v>0</v>
      </c>
      <c r="AP278" t="inlineStr">
        <is>
          <t>No</t>
        </is>
      </c>
      <c r="AQ278" t="inlineStr">
        <is>
          <t>Yes</t>
        </is>
      </c>
      <c r="AR278">
        <f>HYPERLINK("http://catalog.hathitrust.org/Record/009806147","HathiTrust Record")</f>
        <v/>
      </c>
      <c r="AS278">
        <f>HYPERLINK("https://creighton-primo.hosted.exlibrisgroup.com/primo-explore/search?tab=default_tab&amp;search_scope=EVERYTHING&amp;vid=01CRU&amp;lang=en_US&amp;offset=0&amp;query=any,contains,991002591959702656","Catalog Record")</f>
        <v/>
      </c>
      <c r="AT278">
        <f>HYPERLINK("http://www.worldcat.org/oclc/33965235","WorldCat Record")</f>
        <v/>
      </c>
      <c r="AU278" t="inlineStr">
        <is>
          <t>38932427:eng</t>
        </is>
      </c>
      <c r="AV278" t="inlineStr">
        <is>
          <t>33965235</t>
        </is>
      </c>
      <c r="AW278" t="inlineStr">
        <is>
          <t>991002591959702656</t>
        </is>
      </c>
      <c r="AX278" t="inlineStr">
        <is>
          <t>991002591959702656</t>
        </is>
      </c>
      <c r="AY278" t="inlineStr">
        <is>
          <t>2270849790002656</t>
        </is>
      </c>
      <c r="AZ278" t="inlineStr">
        <is>
          <t>BOOK</t>
        </is>
      </c>
      <c r="BC278" t="inlineStr">
        <is>
          <t>32285002119641</t>
        </is>
      </c>
      <c r="BD278" t="inlineStr">
        <is>
          <t>893685520</t>
        </is>
      </c>
    </row>
    <row r="279">
      <c r="A279" t="inlineStr">
        <is>
          <t>No</t>
        </is>
      </c>
      <c r="B279" t="inlineStr">
        <is>
          <t>HN460.V5 S3613 1993</t>
        </is>
      </c>
      <c r="C279" t="inlineStr">
        <is>
          <t>0                      HN 0460000V  5                  S  3613        1993</t>
        </is>
      </c>
      <c r="D279" t="inlineStr">
        <is>
          <t>The new Reich : violent extremism in unified Germany and beyond / Michael Schmidt ; translated from the German by Daniel Horch.</t>
        </is>
      </c>
      <c r="F279" t="inlineStr">
        <is>
          <t>No</t>
        </is>
      </c>
      <c r="G279" t="inlineStr">
        <is>
          <t>1</t>
        </is>
      </c>
      <c r="H279" t="inlineStr">
        <is>
          <t>No</t>
        </is>
      </c>
      <c r="I279" t="inlineStr">
        <is>
          <t>No</t>
        </is>
      </c>
      <c r="J279" t="inlineStr">
        <is>
          <t>0</t>
        </is>
      </c>
      <c r="K279" t="inlineStr">
        <is>
          <t>Schmidt, Michael.</t>
        </is>
      </c>
      <c r="L279" t="inlineStr">
        <is>
          <t>New York : Pantheon Books, c1993.</t>
        </is>
      </c>
      <c r="M279" t="inlineStr">
        <is>
          <t>1993</t>
        </is>
      </c>
      <c r="N279" t="inlineStr">
        <is>
          <t>1st ed.</t>
        </is>
      </c>
      <c r="O279" t="inlineStr">
        <is>
          <t>eng</t>
        </is>
      </c>
      <c r="P279" t="inlineStr">
        <is>
          <t>nyu</t>
        </is>
      </c>
      <c r="R279" t="inlineStr">
        <is>
          <t xml:space="preserve">HN </t>
        </is>
      </c>
      <c r="S279" t="n">
        <v>4</v>
      </c>
      <c r="T279" t="n">
        <v>4</v>
      </c>
      <c r="U279" t="inlineStr">
        <is>
          <t>1996-04-22</t>
        </is>
      </c>
      <c r="V279" t="inlineStr">
        <is>
          <t>1996-04-22</t>
        </is>
      </c>
      <c r="W279" t="inlineStr">
        <is>
          <t>1993-11-11</t>
        </is>
      </c>
      <c r="X279" t="inlineStr">
        <is>
          <t>1993-11-11</t>
        </is>
      </c>
      <c r="Y279" t="n">
        <v>554</v>
      </c>
      <c r="Z279" t="n">
        <v>489</v>
      </c>
      <c r="AA279" t="n">
        <v>497</v>
      </c>
      <c r="AB279" t="n">
        <v>2</v>
      </c>
      <c r="AC279" t="n">
        <v>2</v>
      </c>
      <c r="AD279" t="n">
        <v>22</v>
      </c>
      <c r="AE279" t="n">
        <v>22</v>
      </c>
      <c r="AF279" t="n">
        <v>9</v>
      </c>
      <c r="AG279" t="n">
        <v>9</v>
      </c>
      <c r="AH279" t="n">
        <v>5</v>
      </c>
      <c r="AI279" t="n">
        <v>5</v>
      </c>
      <c r="AJ279" t="n">
        <v>14</v>
      </c>
      <c r="AK279" t="n">
        <v>14</v>
      </c>
      <c r="AL279" t="n">
        <v>1</v>
      </c>
      <c r="AM279" t="n">
        <v>1</v>
      </c>
      <c r="AN279" t="n">
        <v>0</v>
      </c>
      <c r="AO279" t="n">
        <v>0</v>
      </c>
      <c r="AP279" t="inlineStr">
        <is>
          <t>No</t>
        </is>
      </c>
      <c r="AQ279" t="inlineStr">
        <is>
          <t>Yes</t>
        </is>
      </c>
      <c r="AR279">
        <f>HYPERLINK("http://catalog.hathitrust.org/Record/002716355","HathiTrust Record")</f>
        <v/>
      </c>
      <c r="AS279">
        <f>HYPERLINK("https://creighton-primo.hosted.exlibrisgroup.com/primo-explore/search?tab=default_tab&amp;search_scope=EVERYTHING&amp;vid=01CRU&amp;lang=en_US&amp;offset=0&amp;query=any,contains,991002121619702656","Catalog Record")</f>
        <v/>
      </c>
      <c r="AT279">
        <f>HYPERLINK("http://www.worldcat.org/oclc/27186330","WorldCat Record")</f>
        <v/>
      </c>
      <c r="AU279" t="inlineStr">
        <is>
          <t>346790:eng</t>
        </is>
      </c>
      <c r="AV279" t="inlineStr">
        <is>
          <t>27186330</t>
        </is>
      </c>
      <c r="AW279" t="inlineStr">
        <is>
          <t>991002121619702656</t>
        </is>
      </c>
      <c r="AX279" t="inlineStr">
        <is>
          <t>991002121619702656</t>
        </is>
      </c>
      <c r="AY279" t="inlineStr">
        <is>
          <t>2270588670002656</t>
        </is>
      </c>
      <c r="AZ279" t="inlineStr">
        <is>
          <t>BOOK</t>
        </is>
      </c>
      <c r="BB279" t="inlineStr">
        <is>
          <t>9780679425786</t>
        </is>
      </c>
      <c r="BC279" t="inlineStr">
        <is>
          <t>32285001810869</t>
        </is>
      </c>
      <c r="BD279" t="inlineStr">
        <is>
          <t>893892180</t>
        </is>
      </c>
    </row>
    <row r="280">
      <c r="A280" t="inlineStr">
        <is>
          <t>No</t>
        </is>
      </c>
      <c r="B280" t="inlineStr">
        <is>
          <t>HN470.V3 F7</t>
        </is>
      </c>
      <c r="C280" t="inlineStr">
        <is>
          <t>0                      HN 0470000V  3                  F  7</t>
        </is>
      </c>
      <c r="D280" t="inlineStr">
        <is>
          <t>Vasilika; a village in modern Greece.</t>
        </is>
      </c>
      <c r="F280" t="inlineStr">
        <is>
          <t>No</t>
        </is>
      </c>
      <c r="G280" t="inlineStr">
        <is>
          <t>1</t>
        </is>
      </c>
      <c r="H280" t="inlineStr">
        <is>
          <t>No</t>
        </is>
      </c>
      <c r="I280" t="inlineStr">
        <is>
          <t>No</t>
        </is>
      </c>
      <c r="J280" t="inlineStr">
        <is>
          <t>0</t>
        </is>
      </c>
      <c r="K280" t="inlineStr">
        <is>
          <t>Friedl, Ernestine, 1920-2015.</t>
        </is>
      </c>
      <c r="L280" t="inlineStr">
        <is>
          <t>New York, Holt, Rinehart and Winston [1962]</t>
        </is>
      </c>
      <c r="M280" t="inlineStr">
        <is>
          <t>1962</t>
        </is>
      </c>
      <c r="O280" t="inlineStr">
        <is>
          <t>eng</t>
        </is>
      </c>
      <c r="P280" t="inlineStr">
        <is>
          <t>nyu</t>
        </is>
      </c>
      <c r="Q280" t="inlineStr">
        <is>
          <t>Case studies in cultural anthropology</t>
        </is>
      </c>
      <c r="R280" t="inlineStr">
        <is>
          <t xml:space="preserve">HN </t>
        </is>
      </c>
      <c r="S280" t="n">
        <v>11</v>
      </c>
      <c r="T280" t="n">
        <v>11</v>
      </c>
      <c r="U280" t="inlineStr">
        <is>
          <t>2000-08-30</t>
        </is>
      </c>
      <c r="V280" t="inlineStr">
        <is>
          <t>2000-08-30</t>
        </is>
      </c>
      <c r="W280" t="inlineStr">
        <is>
          <t>1997-11-03</t>
        </is>
      </c>
      <c r="X280" t="inlineStr">
        <is>
          <t>1997-11-03</t>
        </is>
      </c>
      <c r="Y280" t="n">
        <v>1034</v>
      </c>
      <c r="Z280" t="n">
        <v>849</v>
      </c>
      <c r="AA280" t="n">
        <v>876</v>
      </c>
      <c r="AB280" t="n">
        <v>7</v>
      </c>
      <c r="AC280" t="n">
        <v>7</v>
      </c>
      <c r="AD280" t="n">
        <v>34</v>
      </c>
      <c r="AE280" t="n">
        <v>36</v>
      </c>
      <c r="AF280" t="n">
        <v>14</v>
      </c>
      <c r="AG280" t="n">
        <v>15</v>
      </c>
      <c r="AH280" t="n">
        <v>5</v>
      </c>
      <c r="AI280" t="n">
        <v>6</v>
      </c>
      <c r="AJ280" t="n">
        <v>16</v>
      </c>
      <c r="AK280" t="n">
        <v>16</v>
      </c>
      <c r="AL280" t="n">
        <v>5</v>
      </c>
      <c r="AM280" t="n">
        <v>5</v>
      </c>
      <c r="AN280" t="n">
        <v>0</v>
      </c>
      <c r="AO280" t="n">
        <v>0</v>
      </c>
      <c r="AP280" t="inlineStr">
        <is>
          <t>No</t>
        </is>
      </c>
      <c r="AQ280" t="inlineStr">
        <is>
          <t>No</t>
        </is>
      </c>
      <c r="AS280">
        <f>HYPERLINK("https://creighton-primo.hosted.exlibrisgroup.com/primo-explore/search?tab=default_tab&amp;search_scope=EVERYTHING&amp;vid=01CRU&amp;lang=en_US&amp;offset=0&amp;query=any,contains,991002035849702656","Catalog Record")</f>
        <v/>
      </c>
      <c r="AT280">
        <f>HYPERLINK("http://www.worldcat.org/oclc/260560","WorldCat Record")</f>
        <v/>
      </c>
      <c r="AU280" t="inlineStr">
        <is>
          <t>400985:eng</t>
        </is>
      </c>
      <c r="AV280" t="inlineStr">
        <is>
          <t>260560</t>
        </is>
      </c>
      <c r="AW280" t="inlineStr">
        <is>
          <t>991002035849702656</t>
        </is>
      </c>
      <c r="AX280" t="inlineStr">
        <is>
          <t>991002035849702656</t>
        </is>
      </c>
      <c r="AY280" t="inlineStr">
        <is>
          <t>2262488780002656</t>
        </is>
      </c>
      <c r="AZ280" t="inlineStr">
        <is>
          <t>BOOK</t>
        </is>
      </c>
      <c r="BC280" t="inlineStr">
        <is>
          <t>32285003259941</t>
        </is>
      </c>
      <c r="BD280" t="inlineStr">
        <is>
          <t>893232486</t>
        </is>
      </c>
    </row>
    <row r="281">
      <c r="A281" t="inlineStr">
        <is>
          <t>No</t>
        </is>
      </c>
      <c r="B281" t="inlineStr">
        <is>
          <t>HN49.C6 C593 1998</t>
        </is>
      </c>
      <c r="C281" t="inlineStr">
        <is>
          <t>0                      HN 0049000C  6                  C  593         1998</t>
        </is>
      </c>
      <c r="D281" t="inlineStr">
        <is>
          <t>Community building : renewal, well-being, and shared responsibility / edited by Patricia L. Ewalt, Edith M. Freeman, Dennis L. Poole ; with a foreword by John B. Turner.</t>
        </is>
      </c>
      <c r="F281" t="inlineStr">
        <is>
          <t>No</t>
        </is>
      </c>
      <c r="G281" t="inlineStr">
        <is>
          <t>1</t>
        </is>
      </c>
      <c r="H281" t="inlineStr">
        <is>
          <t>No</t>
        </is>
      </c>
      <c r="I281" t="inlineStr">
        <is>
          <t>No</t>
        </is>
      </c>
      <c r="J281" t="inlineStr">
        <is>
          <t>0</t>
        </is>
      </c>
      <c r="L281" t="inlineStr">
        <is>
          <t>Washington, DC : NASW Press, C1998.</t>
        </is>
      </c>
      <c r="M281" t="inlineStr">
        <is>
          <t>1998</t>
        </is>
      </c>
      <c r="O281" t="inlineStr">
        <is>
          <t>eng</t>
        </is>
      </c>
      <c r="P281" t="inlineStr">
        <is>
          <t>dcu</t>
        </is>
      </c>
      <c r="R281" t="inlineStr">
        <is>
          <t xml:space="preserve">HN </t>
        </is>
      </c>
      <c r="S281" t="n">
        <v>3</v>
      </c>
      <c r="T281" t="n">
        <v>3</v>
      </c>
      <c r="U281" t="inlineStr">
        <is>
          <t>2007-03-27</t>
        </is>
      </c>
      <c r="V281" t="inlineStr">
        <is>
          <t>2007-03-27</t>
        </is>
      </c>
      <c r="W281" t="inlineStr">
        <is>
          <t>2002-09-24</t>
        </is>
      </c>
      <c r="X281" t="inlineStr">
        <is>
          <t>2002-09-24</t>
        </is>
      </c>
      <c r="Y281" t="n">
        <v>420</v>
      </c>
      <c r="Z281" t="n">
        <v>360</v>
      </c>
      <c r="AA281" t="n">
        <v>362</v>
      </c>
      <c r="AB281" t="n">
        <v>3</v>
      </c>
      <c r="AC281" t="n">
        <v>3</v>
      </c>
      <c r="AD281" t="n">
        <v>16</v>
      </c>
      <c r="AE281" t="n">
        <v>16</v>
      </c>
      <c r="AF281" t="n">
        <v>5</v>
      </c>
      <c r="AG281" t="n">
        <v>5</v>
      </c>
      <c r="AH281" t="n">
        <v>5</v>
      </c>
      <c r="AI281" t="n">
        <v>5</v>
      </c>
      <c r="AJ281" t="n">
        <v>7</v>
      </c>
      <c r="AK281" t="n">
        <v>7</v>
      </c>
      <c r="AL281" t="n">
        <v>2</v>
      </c>
      <c r="AM281" t="n">
        <v>2</v>
      </c>
      <c r="AN281" t="n">
        <v>0</v>
      </c>
      <c r="AO281" t="n">
        <v>0</v>
      </c>
      <c r="AP281" t="inlineStr">
        <is>
          <t>No</t>
        </is>
      </c>
      <c r="AQ281" t="inlineStr">
        <is>
          <t>Yes</t>
        </is>
      </c>
      <c r="AR281">
        <f>HYPERLINK("http://catalog.hathitrust.org/Record/003290436","HathiTrust Record")</f>
        <v/>
      </c>
      <c r="AS281">
        <f>HYPERLINK("https://creighton-primo.hosted.exlibrisgroup.com/primo-explore/search?tab=default_tab&amp;search_scope=EVERYTHING&amp;vid=01CRU&amp;lang=en_US&amp;offset=0&amp;query=any,contains,991003894029702656","Catalog Record")</f>
        <v/>
      </c>
      <c r="AT281">
        <f>HYPERLINK("http://www.worldcat.org/oclc/38288734","WorldCat Record")</f>
        <v/>
      </c>
      <c r="AU281" t="inlineStr">
        <is>
          <t>894509946:eng</t>
        </is>
      </c>
      <c r="AV281" t="inlineStr">
        <is>
          <t>38288734</t>
        </is>
      </c>
      <c r="AW281" t="inlineStr">
        <is>
          <t>991003894029702656</t>
        </is>
      </c>
      <c r="AX281" t="inlineStr">
        <is>
          <t>991003894029702656</t>
        </is>
      </c>
      <c r="AY281" t="inlineStr">
        <is>
          <t>2259478410002656</t>
        </is>
      </c>
      <c r="AZ281" t="inlineStr">
        <is>
          <t>BOOK</t>
        </is>
      </c>
      <c r="BB281" t="inlineStr">
        <is>
          <t>9780871012920</t>
        </is>
      </c>
      <c r="BC281" t="inlineStr">
        <is>
          <t>32285004648357</t>
        </is>
      </c>
      <c r="BD281" t="inlineStr">
        <is>
          <t>893318543</t>
        </is>
      </c>
    </row>
    <row r="282">
      <c r="A282" t="inlineStr">
        <is>
          <t>No</t>
        </is>
      </c>
      <c r="B282" t="inlineStr">
        <is>
          <t>HN49.C6 E75 1999</t>
        </is>
      </c>
      <c r="C282" t="inlineStr">
        <is>
          <t>0                      HN 0049000C  6                  E  75          1999</t>
        </is>
      </c>
      <c r="D282" t="inlineStr">
        <is>
          <t>Reflections on community organization : enduring themes and critical issues / edited by Jack Rothman.</t>
        </is>
      </c>
      <c r="F282" t="inlineStr">
        <is>
          <t>No</t>
        </is>
      </c>
      <c r="G282" t="inlineStr">
        <is>
          <t>1</t>
        </is>
      </c>
      <c r="H282" t="inlineStr">
        <is>
          <t>No</t>
        </is>
      </c>
      <c r="I282" t="inlineStr">
        <is>
          <t>No</t>
        </is>
      </c>
      <c r="J282" t="inlineStr">
        <is>
          <t>0</t>
        </is>
      </c>
      <c r="L282" t="inlineStr">
        <is>
          <t>Itasca, Ill. : F.E. Peacock, Pub., c1999.</t>
        </is>
      </c>
      <c r="M282" t="inlineStr">
        <is>
          <t>1999</t>
        </is>
      </c>
      <c r="O282" t="inlineStr">
        <is>
          <t>eng</t>
        </is>
      </c>
      <c r="P282" t="inlineStr">
        <is>
          <t>ilu</t>
        </is>
      </c>
      <c r="R282" t="inlineStr">
        <is>
          <t xml:space="preserve">HN </t>
        </is>
      </c>
      <c r="S282" t="n">
        <v>4</v>
      </c>
      <c r="T282" t="n">
        <v>4</v>
      </c>
      <c r="U282" t="inlineStr">
        <is>
          <t>2000-01-26</t>
        </is>
      </c>
      <c r="V282" t="inlineStr">
        <is>
          <t>2000-01-26</t>
        </is>
      </c>
      <c r="W282" t="inlineStr">
        <is>
          <t>1999-04-05</t>
        </is>
      </c>
      <c r="X282" t="inlineStr">
        <is>
          <t>1999-04-05</t>
        </is>
      </c>
      <c r="Y282" t="n">
        <v>131</v>
      </c>
      <c r="Z282" t="n">
        <v>96</v>
      </c>
      <c r="AA282" t="n">
        <v>102</v>
      </c>
      <c r="AB282" t="n">
        <v>2</v>
      </c>
      <c r="AC282" t="n">
        <v>2</v>
      </c>
      <c r="AD282" t="n">
        <v>8</v>
      </c>
      <c r="AE282" t="n">
        <v>8</v>
      </c>
      <c r="AF282" t="n">
        <v>1</v>
      </c>
      <c r="AG282" t="n">
        <v>1</v>
      </c>
      <c r="AH282" t="n">
        <v>2</v>
      </c>
      <c r="AI282" t="n">
        <v>2</v>
      </c>
      <c r="AJ282" t="n">
        <v>5</v>
      </c>
      <c r="AK282" t="n">
        <v>5</v>
      </c>
      <c r="AL282" t="n">
        <v>1</v>
      </c>
      <c r="AM282" t="n">
        <v>1</v>
      </c>
      <c r="AN282" t="n">
        <v>0</v>
      </c>
      <c r="AO282" t="n">
        <v>0</v>
      </c>
      <c r="AP282" t="inlineStr">
        <is>
          <t>No</t>
        </is>
      </c>
      <c r="AQ282" t="inlineStr">
        <is>
          <t>Yes</t>
        </is>
      </c>
      <c r="AR282">
        <f>HYPERLINK("http://catalog.hathitrust.org/Record/004080171","HathiTrust Record")</f>
        <v/>
      </c>
      <c r="AS282">
        <f>HYPERLINK("https://creighton-primo.hosted.exlibrisgroup.com/primo-explore/search?tab=default_tab&amp;search_scope=EVERYTHING&amp;vid=01CRU&amp;lang=en_US&amp;offset=0&amp;query=any,contains,991003007119702656","Catalog Record")</f>
        <v/>
      </c>
      <c r="AT282">
        <f>HYPERLINK("http://www.worldcat.org/oclc/40766205","WorldCat Record")</f>
        <v/>
      </c>
      <c r="AU282" t="inlineStr">
        <is>
          <t>731463:eng</t>
        </is>
      </c>
      <c r="AV282" t="inlineStr">
        <is>
          <t>40766205</t>
        </is>
      </c>
      <c r="AW282" t="inlineStr">
        <is>
          <t>991003007119702656</t>
        </is>
      </c>
      <c r="AX282" t="inlineStr">
        <is>
          <t>991003007119702656</t>
        </is>
      </c>
      <c r="AY282" t="inlineStr">
        <is>
          <t>2267557740002656</t>
        </is>
      </c>
      <c r="AZ282" t="inlineStr">
        <is>
          <t>BOOK</t>
        </is>
      </c>
      <c r="BB282" t="inlineStr">
        <is>
          <t>9780875814162</t>
        </is>
      </c>
      <c r="BC282" t="inlineStr">
        <is>
          <t>32285003548756</t>
        </is>
      </c>
      <c r="BD282" t="inlineStr">
        <is>
          <t>893524318</t>
        </is>
      </c>
    </row>
    <row r="283">
      <c r="A283" t="inlineStr">
        <is>
          <t>No</t>
        </is>
      </c>
      <c r="B283" t="inlineStr">
        <is>
          <t>HN49.C6 E79 1999</t>
        </is>
      </c>
      <c r="C283" t="inlineStr">
        <is>
          <t>0                      HN 0049000C  6                  E  79          1999</t>
        </is>
      </c>
      <c r="D283" t="inlineStr">
        <is>
          <t>Taking action in organizations and communities / John L. Erlich, Jack Rothman, Joseph G. Teresa.</t>
        </is>
      </c>
      <c r="F283" t="inlineStr">
        <is>
          <t>No</t>
        </is>
      </c>
      <c r="G283" t="inlineStr">
        <is>
          <t>1</t>
        </is>
      </c>
      <c r="H283" t="inlineStr">
        <is>
          <t>No</t>
        </is>
      </c>
      <c r="I283" t="inlineStr">
        <is>
          <t>No</t>
        </is>
      </c>
      <c r="J283" t="inlineStr">
        <is>
          <t>0</t>
        </is>
      </c>
      <c r="K283" t="inlineStr">
        <is>
          <t>Erlich, John.</t>
        </is>
      </c>
      <c r="L283" t="inlineStr">
        <is>
          <t>Dubuque, Iowa : Eddie Bowers Pub., c1999.</t>
        </is>
      </c>
      <c r="M283" t="inlineStr">
        <is>
          <t>1999</t>
        </is>
      </c>
      <c r="N283" t="inlineStr">
        <is>
          <t>2nd ed.</t>
        </is>
      </c>
      <c r="O283" t="inlineStr">
        <is>
          <t>eng</t>
        </is>
      </c>
      <c r="P283" t="inlineStr">
        <is>
          <t>iau</t>
        </is>
      </c>
      <c r="R283" t="inlineStr">
        <is>
          <t xml:space="preserve">HN </t>
        </is>
      </c>
      <c r="S283" t="n">
        <v>2</v>
      </c>
      <c r="T283" t="n">
        <v>2</v>
      </c>
      <c r="U283" t="inlineStr">
        <is>
          <t>2010-03-23</t>
        </is>
      </c>
      <c r="V283" t="inlineStr">
        <is>
          <t>2010-03-23</t>
        </is>
      </c>
      <c r="W283" t="inlineStr">
        <is>
          <t>2000-01-11</t>
        </is>
      </c>
      <c r="X283" t="inlineStr">
        <is>
          <t>2000-01-11</t>
        </is>
      </c>
      <c r="Y283" t="n">
        <v>66</v>
      </c>
      <c r="Z283" t="n">
        <v>61</v>
      </c>
      <c r="AA283" t="n">
        <v>68</v>
      </c>
      <c r="AB283" t="n">
        <v>1</v>
      </c>
      <c r="AC283" t="n">
        <v>1</v>
      </c>
      <c r="AD283" t="n">
        <v>0</v>
      </c>
      <c r="AE283" t="n">
        <v>0</v>
      </c>
      <c r="AF283" t="n">
        <v>0</v>
      </c>
      <c r="AG283" t="n">
        <v>0</v>
      </c>
      <c r="AH283" t="n">
        <v>0</v>
      </c>
      <c r="AI283" t="n">
        <v>0</v>
      </c>
      <c r="AJ283" t="n">
        <v>0</v>
      </c>
      <c r="AK283" t="n">
        <v>0</v>
      </c>
      <c r="AL283" t="n">
        <v>0</v>
      </c>
      <c r="AM283" t="n">
        <v>0</v>
      </c>
      <c r="AN283" t="n">
        <v>0</v>
      </c>
      <c r="AO283" t="n">
        <v>0</v>
      </c>
      <c r="AP283" t="inlineStr">
        <is>
          <t>No</t>
        </is>
      </c>
      <c r="AQ283" t="inlineStr">
        <is>
          <t>Yes</t>
        </is>
      </c>
      <c r="AR283">
        <f>HYPERLINK("http://catalog.hathitrust.org/Record/004578505","HathiTrust Record")</f>
        <v/>
      </c>
      <c r="AS283">
        <f>HYPERLINK("https://creighton-primo.hosted.exlibrisgroup.com/primo-explore/search?tab=default_tab&amp;search_scope=EVERYTHING&amp;vid=01CRU&amp;lang=en_US&amp;offset=0&amp;query=any,contains,991003002239702656","Catalog Record")</f>
        <v/>
      </c>
      <c r="AT283">
        <f>HYPERLINK("http://www.worldcat.org/oclc/40677558","WorldCat Record")</f>
        <v/>
      </c>
      <c r="AU283" t="inlineStr">
        <is>
          <t>25684887:eng</t>
        </is>
      </c>
      <c r="AV283" t="inlineStr">
        <is>
          <t>40677558</t>
        </is>
      </c>
      <c r="AW283" t="inlineStr">
        <is>
          <t>991003002239702656</t>
        </is>
      </c>
      <c r="AX283" t="inlineStr">
        <is>
          <t>991003002239702656</t>
        </is>
      </c>
      <c r="AY283" t="inlineStr">
        <is>
          <t>2263382390002656</t>
        </is>
      </c>
      <c r="AZ283" t="inlineStr">
        <is>
          <t>BOOK</t>
        </is>
      </c>
      <c r="BB283" t="inlineStr">
        <is>
          <t>9780945483885</t>
        </is>
      </c>
      <c r="BC283" t="inlineStr">
        <is>
          <t>32285003639704</t>
        </is>
      </c>
      <c r="BD283" t="inlineStr">
        <is>
          <t>893251897</t>
        </is>
      </c>
    </row>
    <row r="284">
      <c r="A284" t="inlineStr">
        <is>
          <t>No</t>
        </is>
      </c>
      <c r="B284" t="inlineStr">
        <is>
          <t>HN49.C6 K34 1994</t>
        </is>
      </c>
      <c r="C284" t="inlineStr">
        <is>
          <t>0                      HN 0049000C  6                  K  34          1994</t>
        </is>
      </c>
      <c r="D284" t="inlineStr">
        <is>
          <t>How people get power / Si Kahn ; with a foreword by Paul David Wellstone and an introd. by Chandra Talpade Mohanty.</t>
        </is>
      </c>
      <c r="F284" t="inlineStr">
        <is>
          <t>No</t>
        </is>
      </c>
      <c r="G284" t="inlineStr">
        <is>
          <t>1</t>
        </is>
      </c>
      <c r="H284" t="inlineStr">
        <is>
          <t>No</t>
        </is>
      </c>
      <c r="I284" t="inlineStr">
        <is>
          <t>No</t>
        </is>
      </c>
      <c r="J284" t="inlineStr">
        <is>
          <t>0</t>
        </is>
      </c>
      <c r="K284" t="inlineStr">
        <is>
          <t>Kahn, Si.</t>
        </is>
      </c>
      <c r="L284" t="inlineStr">
        <is>
          <t>Washington, DC : National Association of Social Workers, 1994.</t>
        </is>
      </c>
      <c r="M284" t="inlineStr">
        <is>
          <t>1994</t>
        </is>
      </c>
      <c r="N284" t="inlineStr">
        <is>
          <t>Rev. ed.</t>
        </is>
      </c>
      <c r="O284" t="inlineStr">
        <is>
          <t>eng</t>
        </is>
      </c>
      <c r="P284" t="inlineStr">
        <is>
          <t>dcu</t>
        </is>
      </c>
      <c r="R284" t="inlineStr">
        <is>
          <t xml:space="preserve">HN </t>
        </is>
      </c>
      <c r="S284" t="n">
        <v>7</v>
      </c>
      <c r="T284" t="n">
        <v>7</v>
      </c>
      <c r="U284" t="inlineStr">
        <is>
          <t>2010-03-23</t>
        </is>
      </c>
      <c r="V284" t="inlineStr">
        <is>
          <t>2010-03-23</t>
        </is>
      </c>
      <c r="W284" t="inlineStr">
        <is>
          <t>1994-08-15</t>
        </is>
      </c>
      <c r="X284" t="inlineStr">
        <is>
          <t>1994-08-15</t>
        </is>
      </c>
      <c r="Y284" t="n">
        <v>507</v>
      </c>
      <c r="Z284" t="n">
        <v>449</v>
      </c>
      <c r="AA284" t="n">
        <v>457</v>
      </c>
      <c r="AB284" t="n">
        <v>5</v>
      </c>
      <c r="AC284" t="n">
        <v>5</v>
      </c>
      <c r="AD284" t="n">
        <v>20</v>
      </c>
      <c r="AE284" t="n">
        <v>20</v>
      </c>
      <c r="AF284" t="n">
        <v>6</v>
      </c>
      <c r="AG284" t="n">
        <v>6</v>
      </c>
      <c r="AH284" t="n">
        <v>5</v>
      </c>
      <c r="AI284" t="n">
        <v>5</v>
      </c>
      <c r="AJ284" t="n">
        <v>9</v>
      </c>
      <c r="AK284" t="n">
        <v>9</v>
      </c>
      <c r="AL284" t="n">
        <v>4</v>
      </c>
      <c r="AM284" t="n">
        <v>4</v>
      </c>
      <c r="AN284" t="n">
        <v>0</v>
      </c>
      <c r="AO284" t="n">
        <v>0</v>
      </c>
      <c r="AP284" t="inlineStr">
        <is>
          <t>No</t>
        </is>
      </c>
      <c r="AQ284" t="inlineStr">
        <is>
          <t>Yes</t>
        </is>
      </c>
      <c r="AR284">
        <f>HYPERLINK("http://catalog.hathitrust.org/Record/002980293","HathiTrust Record")</f>
        <v/>
      </c>
      <c r="AS284">
        <f>HYPERLINK("https://creighton-primo.hosted.exlibrisgroup.com/primo-explore/search?tab=default_tab&amp;search_scope=EVERYTHING&amp;vid=01CRU&amp;lang=en_US&amp;offset=0&amp;query=any,contains,991002328009702656","Catalog Record")</f>
        <v/>
      </c>
      <c r="AT284">
        <f>HYPERLINK("http://www.worldcat.org/oclc/30318713","WorldCat Record")</f>
        <v/>
      </c>
      <c r="AU284" t="inlineStr">
        <is>
          <t>3855965285:eng</t>
        </is>
      </c>
      <c r="AV284" t="inlineStr">
        <is>
          <t>30318713</t>
        </is>
      </c>
      <c r="AW284" t="inlineStr">
        <is>
          <t>991002328009702656</t>
        </is>
      </c>
      <c r="AX284" t="inlineStr">
        <is>
          <t>991002328009702656</t>
        </is>
      </c>
      <c r="AY284" t="inlineStr">
        <is>
          <t>2265361040002656</t>
        </is>
      </c>
      <c r="AZ284" t="inlineStr">
        <is>
          <t>BOOK</t>
        </is>
      </c>
      <c r="BB284" t="inlineStr">
        <is>
          <t>9780871012364</t>
        </is>
      </c>
      <c r="BC284" t="inlineStr">
        <is>
          <t>32285001942944</t>
        </is>
      </c>
      <c r="BD284" t="inlineStr">
        <is>
          <t>893347379</t>
        </is>
      </c>
    </row>
    <row r="285">
      <c r="A285" t="inlineStr">
        <is>
          <t>No</t>
        </is>
      </c>
      <c r="B285" t="inlineStr">
        <is>
          <t>HN49.C6 M33 1986</t>
        </is>
      </c>
      <c r="C285" t="inlineStr">
        <is>
          <t>0                      HN 0049000C  6                  M  33          1986</t>
        </is>
      </c>
      <c r="D285" t="inlineStr">
        <is>
          <t>Go to the people : releasing the rural poor through the people's school system / James B. Mayfield.</t>
        </is>
      </c>
      <c r="F285" t="inlineStr">
        <is>
          <t>No</t>
        </is>
      </c>
      <c r="G285" t="inlineStr">
        <is>
          <t>1</t>
        </is>
      </c>
      <c r="H285" t="inlineStr">
        <is>
          <t>No</t>
        </is>
      </c>
      <c r="I285" t="inlineStr">
        <is>
          <t>No</t>
        </is>
      </c>
      <c r="J285" t="inlineStr">
        <is>
          <t>0</t>
        </is>
      </c>
      <c r="K285" t="inlineStr">
        <is>
          <t>Mayfield, James B.</t>
        </is>
      </c>
      <c r="L285" t="inlineStr">
        <is>
          <t>West Hartford, Ct. : Kumarian Press, [1986], c1985.</t>
        </is>
      </c>
      <c r="M285" t="inlineStr">
        <is>
          <t>1986</t>
        </is>
      </c>
      <c r="O285" t="inlineStr">
        <is>
          <t>eng</t>
        </is>
      </c>
      <c r="P285" t="inlineStr">
        <is>
          <t>ctu</t>
        </is>
      </c>
      <c r="Q285" t="inlineStr">
        <is>
          <t>Kumarian Press library of management for development</t>
        </is>
      </c>
      <c r="R285" t="inlineStr">
        <is>
          <t xml:space="preserve">HN </t>
        </is>
      </c>
      <c r="S285" t="n">
        <v>2</v>
      </c>
      <c r="T285" t="n">
        <v>2</v>
      </c>
      <c r="U285" t="inlineStr">
        <is>
          <t>1998-02-25</t>
        </is>
      </c>
      <c r="V285" t="inlineStr">
        <is>
          <t>1998-02-25</t>
        </is>
      </c>
      <c r="W285" t="inlineStr">
        <is>
          <t>1992-09-25</t>
        </is>
      </c>
      <c r="X285" t="inlineStr">
        <is>
          <t>1992-09-25</t>
        </is>
      </c>
      <c r="Y285" t="n">
        <v>93</v>
      </c>
      <c r="Z285" t="n">
        <v>76</v>
      </c>
      <c r="AA285" t="n">
        <v>77</v>
      </c>
      <c r="AB285" t="n">
        <v>2</v>
      </c>
      <c r="AC285" t="n">
        <v>2</v>
      </c>
      <c r="AD285" t="n">
        <v>3</v>
      </c>
      <c r="AE285" t="n">
        <v>3</v>
      </c>
      <c r="AF285" t="n">
        <v>0</v>
      </c>
      <c r="AG285" t="n">
        <v>0</v>
      </c>
      <c r="AH285" t="n">
        <v>1</v>
      </c>
      <c r="AI285" t="n">
        <v>1</v>
      </c>
      <c r="AJ285" t="n">
        <v>2</v>
      </c>
      <c r="AK285" t="n">
        <v>2</v>
      </c>
      <c r="AL285" t="n">
        <v>1</v>
      </c>
      <c r="AM285" t="n">
        <v>1</v>
      </c>
      <c r="AN285" t="n">
        <v>0</v>
      </c>
      <c r="AO285" t="n">
        <v>0</v>
      </c>
      <c r="AP285" t="inlineStr">
        <is>
          <t>No</t>
        </is>
      </c>
      <c r="AQ285" t="inlineStr">
        <is>
          <t>No</t>
        </is>
      </c>
      <c r="AS285">
        <f>HYPERLINK("https://creighton-primo.hosted.exlibrisgroup.com/primo-explore/search?tab=default_tab&amp;search_scope=EVERYTHING&amp;vid=01CRU&amp;lang=en_US&amp;offset=0&amp;query=any,contains,991000768769702656","Catalog Record")</f>
        <v/>
      </c>
      <c r="AT285">
        <f>HYPERLINK("http://www.worldcat.org/oclc/13008672","WorldCat Record")</f>
        <v/>
      </c>
      <c r="AU285" t="inlineStr">
        <is>
          <t>288350127:eng</t>
        </is>
      </c>
      <c r="AV285" t="inlineStr">
        <is>
          <t>13008672</t>
        </is>
      </c>
      <c r="AW285" t="inlineStr">
        <is>
          <t>991000768769702656</t>
        </is>
      </c>
      <c r="AX285" t="inlineStr">
        <is>
          <t>991000768769702656</t>
        </is>
      </c>
      <c r="AY285" t="inlineStr">
        <is>
          <t>2265508520002656</t>
        </is>
      </c>
      <c r="AZ285" t="inlineStr">
        <is>
          <t>BOOK</t>
        </is>
      </c>
      <c r="BB285" t="inlineStr">
        <is>
          <t>9780931816352</t>
        </is>
      </c>
      <c r="BC285" t="inlineStr">
        <is>
          <t>32285001269827</t>
        </is>
      </c>
      <c r="BD285" t="inlineStr">
        <is>
          <t>893249648</t>
        </is>
      </c>
    </row>
    <row r="286">
      <c r="A286" t="inlineStr">
        <is>
          <t>No</t>
        </is>
      </c>
      <c r="B286" t="inlineStr">
        <is>
          <t>HN49.C6 N67 2003</t>
        </is>
      </c>
      <c r="C286" t="inlineStr">
        <is>
          <t>0                      HN 0049000C  6                  N  67          2003</t>
        </is>
      </c>
      <c r="D286" t="inlineStr">
        <is>
          <t>Getting started in communication : a practical guide for activists and organisations / Michael Norton and Purba Dutt.</t>
        </is>
      </c>
      <c r="F286" t="inlineStr">
        <is>
          <t>No</t>
        </is>
      </c>
      <c r="G286" t="inlineStr">
        <is>
          <t>1</t>
        </is>
      </c>
      <c r="H286" t="inlineStr">
        <is>
          <t>No</t>
        </is>
      </c>
      <c r="I286" t="inlineStr">
        <is>
          <t>No</t>
        </is>
      </c>
      <c r="J286" t="inlineStr">
        <is>
          <t>0</t>
        </is>
      </c>
      <c r="K286" t="inlineStr">
        <is>
          <t>Norton, Michael, 1942-</t>
        </is>
      </c>
      <c r="L286" t="inlineStr">
        <is>
          <t>New Delhi ; Thousand Oaks, Calif. : Sage Publications, 2003.</t>
        </is>
      </c>
      <c r="M286" t="inlineStr">
        <is>
          <t>2003</t>
        </is>
      </c>
      <c r="O286" t="inlineStr">
        <is>
          <t>eng</t>
        </is>
      </c>
      <c r="P286" t="inlineStr">
        <is>
          <t xml:space="preserve">ii </t>
        </is>
      </c>
      <c r="R286" t="inlineStr">
        <is>
          <t xml:space="preserve">HN </t>
        </is>
      </c>
      <c r="S286" t="n">
        <v>1</v>
      </c>
      <c r="T286" t="n">
        <v>1</v>
      </c>
      <c r="U286" t="inlineStr">
        <is>
          <t>2005-01-06</t>
        </is>
      </c>
      <c r="V286" t="inlineStr">
        <is>
          <t>2005-01-06</t>
        </is>
      </c>
      <c r="W286" t="inlineStr">
        <is>
          <t>2005-01-06</t>
        </is>
      </c>
      <c r="X286" t="inlineStr">
        <is>
          <t>2005-01-06</t>
        </is>
      </c>
      <c r="Y286" t="n">
        <v>116</v>
      </c>
      <c r="Z286" t="n">
        <v>70</v>
      </c>
      <c r="AA286" t="n">
        <v>72</v>
      </c>
      <c r="AB286" t="n">
        <v>1</v>
      </c>
      <c r="AC286" t="n">
        <v>1</v>
      </c>
      <c r="AD286" t="n">
        <v>3</v>
      </c>
      <c r="AE286" t="n">
        <v>3</v>
      </c>
      <c r="AF286" t="n">
        <v>0</v>
      </c>
      <c r="AG286" t="n">
        <v>0</v>
      </c>
      <c r="AH286" t="n">
        <v>1</v>
      </c>
      <c r="AI286" t="n">
        <v>1</v>
      </c>
      <c r="AJ286" t="n">
        <v>2</v>
      </c>
      <c r="AK286" t="n">
        <v>2</v>
      </c>
      <c r="AL286" t="n">
        <v>0</v>
      </c>
      <c r="AM286" t="n">
        <v>0</v>
      </c>
      <c r="AN286" t="n">
        <v>0</v>
      </c>
      <c r="AO286" t="n">
        <v>0</v>
      </c>
      <c r="AP286" t="inlineStr">
        <is>
          <t>No</t>
        </is>
      </c>
      <c r="AQ286" t="inlineStr">
        <is>
          <t>Yes</t>
        </is>
      </c>
      <c r="AR286">
        <f>HYPERLINK("http://catalog.hathitrust.org/Record/004907787","HathiTrust Record")</f>
        <v/>
      </c>
      <c r="AS286">
        <f>HYPERLINK("https://creighton-primo.hosted.exlibrisgroup.com/primo-explore/search?tab=default_tab&amp;search_scope=EVERYTHING&amp;vid=01CRU&amp;lang=en_US&amp;offset=0&amp;query=any,contains,991004426939702656","Catalog Record")</f>
        <v/>
      </c>
      <c r="AT286">
        <f>HYPERLINK("http://www.worldcat.org/oclc/52216114","WorldCat Record")</f>
        <v/>
      </c>
      <c r="AU286" t="inlineStr">
        <is>
          <t>757001:eng</t>
        </is>
      </c>
      <c r="AV286" t="inlineStr">
        <is>
          <t>52216114</t>
        </is>
      </c>
      <c r="AW286" t="inlineStr">
        <is>
          <t>991004426939702656</t>
        </is>
      </c>
      <c r="AX286" t="inlineStr">
        <is>
          <t>991004426939702656</t>
        </is>
      </c>
      <c r="AY286" t="inlineStr">
        <is>
          <t>2257033410002656</t>
        </is>
      </c>
      <c r="AZ286" t="inlineStr">
        <is>
          <t>BOOK</t>
        </is>
      </c>
      <c r="BB286" t="inlineStr">
        <is>
          <t>9780761998198</t>
        </is>
      </c>
      <c r="BC286" t="inlineStr">
        <is>
          <t>32285005019111</t>
        </is>
      </c>
      <c r="BD286" t="inlineStr">
        <is>
          <t>893687715</t>
        </is>
      </c>
    </row>
    <row r="287">
      <c r="A287" t="inlineStr">
        <is>
          <t>No</t>
        </is>
      </c>
      <c r="B287" t="inlineStr">
        <is>
          <t>HN49.C6 R875 1983</t>
        </is>
      </c>
      <c r="C287" t="inlineStr">
        <is>
          <t>0                      HN 0049000C  6                  R  875         1983</t>
        </is>
      </c>
      <c r="D287" t="inlineStr">
        <is>
          <t>Rural development and the state : contradictions and dilemmas in developing countries / edited by David A.M. Lea and D.P. Chaudhri.</t>
        </is>
      </c>
      <c r="F287" t="inlineStr">
        <is>
          <t>No</t>
        </is>
      </c>
      <c r="G287" t="inlineStr">
        <is>
          <t>1</t>
        </is>
      </c>
      <c r="H287" t="inlineStr">
        <is>
          <t>No</t>
        </is>
      </c>
      <c r="I287" t="inlineStr">
        <is>
          <t>No</t>
        </is>
      </c>
      <c r="J287" t="inlineStr">
        <is>
          <t>0</t>
        </is>
      </c>
      <c r="L287" t="inlineStr">
        <is>
          <t>London ; New York : Methuen, 1983.</t>
        </is>
      </c>
      <c r="M287" t="inlineStr">
        <is>
          <t>1983</t>
        </is>
      </c>
      <c r="O287" t="inlineStr">
        <is>
          <t>eng</t>
        </is>
      </c>
      <c r="P287" t="inlineStr">
        <is>
          <t>enk</t>
        </is>
      </c>
      <c r="R287" t="inlineStr">
        <is>
          <t xml:space="preserve">HN </t>
        </is>
      </c>
      <c r="S287" t="n">
        <v>1</v>
      </c>
      <c r="T287" t="n">
        <v>1</v>
      </c>
      <c r="U287" t="inlineStr">
        <is>
          <t>2000-09-18</t>
        </is>
      </c>
      <c r="V287" t="inlineStr">
        <is>
          <t>2000-09-18</t>
        </is>
      </c>
      <c r="W287" t="inlineStr">
        <is>
          <t>1992-09-25</t>
        </is>
      </c>
      <c r="X287" t="inlineStr">
        <is>
          <t>1992-09-25</t>
        </is>
      </c>
      <c r="Y287" t="n">
        <v>337</v>
      </c>
      <c r="Z287" t="n">
        <v>160</v>
      </c>
      <c r="AA287" t="n">
        <v>166</v>
      </c>
      <c r="AB287" t="n">
        <v>4</v>
      </c>
      <c r="AC287" t="n">
        <v>4</v>
      </c>
      <c r="AD287" t="n">
        <v>4</v>
      </c>
      <c r="AE287" t="n">
        <v>4</v>
      </c>
      <c r="AF287" t="n">
        <v>0</v>
      </c>
      <c r="AG287" t="n">
        <v>0</v>
      </c>
      <c r="AH287" t="n">
        <v>1</v>
      </c>
      <c r="AI287" t="n">
        <v>1</v>
      </c>
      <c r="AJ287" t="n">
        <v>1</v>
      </c>
      <c r="AK287" t="n">
        <v>1</v>
      </c>
      <c r="AL287" t="n">
        <v>3</v>
      </c>
      <c r="AM287" t="n">
        <v>3</v>
      </c>
      <c r="AN287" t="n">
        <v>0</v>
      </c>
      <c r="AO287" t="n">
        <v>0</v>
      </c>
      <c r="AP287" t="inlineStr">
        <is>
          <t>No</t>
        </is>
      </c>
      <c r="AQ287" t="inlineStr">
        <is>
          <t>No</t>
        </is>
      </c>
      <c r="AS287">
        <f>HYPERLINK("https://creighton-primo.hosted.exlibrisgroup.com/primo-explore/search?tab=default_tab&amp;search_scope=EVERYTHING&amp;vid=01CRU&amp;lang=en_US&amp;offset=0&amp;query=any,contains,991000181949702656","Catalog Record")</f>
        <v/>
      </c>
      <c r="AT287">
        <f>HYPERLINK("http://www.worldcat.org/oclc/9392185","WorldCat Record")</f>
        <v/>
      </c>
      <c r="AU287" t="inlineStr">
        <is>
          <t>836719353:eng</t>
        </is>
      </c>
      <c r="AV287" t="inlineStr">
        <is>
          <t>9392185</t>
        </is>
      </c>
      <c r="AW287" t="inlineStr">
        <is>
          <t>991000181949702656</t>
        </is>
      </c>
      <c r="AX287" t="inlineStr">
        <is>
          <t>991000181949702656</t>
        </is>
      </c>
      <c r="AY287" t="inlineStr">
        <is>
          <t>2266436650002656</t>
        </is>
      </c>
      <c r="AZ287" t="inlineStr">
        <is>
          <t>BOOK</t>
        </is>
      </c>
      <c r="BB287" t="inlineStr">
        <is>
          <t>9780416313208</t>
        </is>
      </c>
      <c r="BC287" t="inlineStr">
        <is>
          <t>32285001269850</t>
        </is>
      </c>
      <c r="BD287" t="inlineStr">
        <is>
          <t>893626235</t>
        </is>
      </c>
    </row>
    <row r="288">
      <c r="A288" t="inlineStr">
        <is>
          <t>No</t>
        </is>
      </c>
      <c r="B288" t="inlineStr">
        <is>
          <t>HN49.C6 S86 1998</t>
        </is>
      </c>
      <c r="C288" t="inlineStr">
        <is>
          <t>0                      HN 0049000C  6                  S  86          1998</t>
        </is>
      </c>
      <c r="D288" t="inlineStr">
        <is>
          <t>Sustainable community development : studies in economic, environmental, and cultural revitalization / edited by Marie D. Hoff.</t>
        </is>
      </c>
      <c r="F288" t="inlineStr">
        <is>
          <t>No</t>
        </is>
      </c>
      <c r="G288" t="inlineStr">
        <is>
          <t>1</t>
        </is>
      </c>
      <c r="H288" t="inlineStr">
        <is>
          <t>No</t>
        </is>
      </c>
      <c r="I288" t="inlineStr">
        <is>
          <t>No</t>
        </is>
      </c>
      <c r="J288" t="inlineStr">
        <is>
          <t>0</t>
        </is>
      </c>
      <c r="L288" t="inlineStr">
        <is>
          <t>Boca Raton, Fla. : Lewis Publishers, c1998.</t>
        </is>
      </c>
      <c r="M288" t="inlineStr">
        <is>
          <t>1998</t>
        </is>
      </c>
      <c r="O288" t="inlineStr">
        <is>
          <t>eng</t>
        </is>
      </c>
      <c r="P288" t="inlineStr">
        <is>
          <t>flu</t>
        </is>
      </c>
      <c r="R288" t="inlineStr">
        <is>
          <t xml:space="preserve">HN </t>
        </is>
      </c>
      <c r="S288" t="n">
        <v>5</v>
      </c>
      <c r="T288" t="n">
        <v>5</v>
      </c>
      <c r="U288" t="inlineStr">
        <is>
          <t>2008-06-25</t>
        </is>
      </c>
      <c r="V288" t="inlineStr">
        <is>
          <t>2008-06-25</t>
        </is>
      </c>
      <c r="W288" t="inlineStr">
        <is>
          <t>1998-12-15</t>
        </is>
      </c>
      <c r="X288" t="inlineStr">
        <is>
          <t>1998-12-15</t>
        </is>
      </c>
      <c r="Y288" t="n">
        <v>295</v>
      </c>
      <c r="Z288" t="n">
        <v>198</v>
      </c>
      <c r="AA288" t="n">
        <v>198</v>
      </c>
      <c r="AB288" t="n">
        <v>3</v>
      </c>
      <c r="AC288" t="n">
        <v>3</v>
      </c>
      <c r="AD288" t="n">
        <v>11</v>
      </c>
      <c r="AE288" t="n">
        <v>11</v>
      </c>
      <c r="AF288" t="n">
        <v>1</v>
      </c>
      <c r="AG288" t="n">
        <v>1</v>
      </c>
      <c r="AH288" t="n">
        <v>4</v>
      </c>
      <c r="AI288" t="n">
        <v>4</v>
      </c>
      <c r="AJ288" t="n">
        <v>7</v>
      </c>
      <c r="AK288" t="n">
        <v>7</v>
      </c>
      <c r="AL288" t="n">
        <v>2</v>
      </c>
      <c r="AM288" t="n">
        <v>2</v>
      </c>
      <c r="AN288" t="n">
        <v>0</v>
      </c>
      <c r="AO288" t="n">
        <v>0</v>
      </c>
      <c r="AP288" t="inlineStr">
        <is>
          <t>No</t>
        </is>
      </c>
      <c r="AQ288" t="inlineStr">
        <is>
          <t>No</t>
        </is>
      </c>
      <c r="AS288">
        <f>HYPERLINK("https://creighton-primo.hosted.exlibrisgroup.com/primo-explore/search?tab=default_tab&amp;search_scope=EVERYTHING&amp;vid=01CRU&amp;lang=en_US&amp;offset=0&amp;query=any,contains,991005428259702656","Catalog Record")</f>
        <v/>
      </c>
      <c r="AT288">
        <f>HYPERLINK("http://www.worldcat.org/oclc/39001091","WorldCat Record")</f>
        <v/>
      </c>
      <c r="AU288" t="inlineStr">
        <is>
          <t>9593555309:eng</t>
        </is>
      </c>
      <c r="AV288" t="inlineStr">
        <is>
          <t>39001091</t>
        </is>
      </c>
      <c r="AW288" t="inlineStr">
        <is>
          <t>991005428259702656</t>
        </is>
      </c>
      <c r="AX288" t="inlineStr">
        <is>
          <t>991005428259702656</t>
        </is>
      </c>
      <c r="AY288" t="inlineStr">
        <is>
          <t>2260733830002656</t>
        </is>
      </c>
      <c r="AZ288" t="inlineStr">
        <is>
          <t>BOOK</t>
        </is>
      </c>
      <c r="BB288" t="inlineStr">
        <is>
          <t>9781574441291</t>
        </is>
      </c>
      <c r="BC288" t="inlineStr">
        <is>
          <t>32285003506705</t>
        </is>
      </c>
      <c r="BD288" t="inlineStr">
        <is>
          <t>893339080</t>
        </is>
      </c>
    </row>
    <row r="289">
      <c r="A289" t="inlineStr">
        <is>
          <t>No</t>
        </is>
      </c>
      <c r="B289" t="inlineStr">
        <is>
          <t>HN49.F5 G74 2001</t>
        </is>
      </c>
      <c r="C289" t="inlineStr">
        <is>
          <t>0                      HN 0049000F  5                  G  74          2001</t>
        </is>
      </c>
      <c r="D289" t="inlineStr">
        <is>
          <t>The money tree : a survival kit for small communities / by Gus Gregory.</t>
        </is>
      </c>
      <c r="F289" t="inlineStr">
        <is>
          <t>No</t>
        </is>
      </c>
      <c r="G289" t="inlineStr">
        <is>
          <t>1</t>
        </is>
      </c>
      <c r="H289" t="inlineStr">
        <is>
          <t>No</t>
        </is>
      </c>
      <c r="I289" t="inlineStr">
        <is>
          <t>No</t>
        </is>
      </c>
      <c r="J289" t="inlineStr">
        <is>
          <t>0</t>
        </is>
      </c>
      <c r="K289" t="inlineStr">
        <is>
          <t>Gregory, Gus.</t>
        </is>
      </c>
      <c r="L289" t="inlineStr">
        <is>
          <t>Pittsburgh, Penn. : Dorrance Press, c2001.</t>
        </is>
      </c>
      <c r="M289" t="inlineStr">
        <is>
          <t>2001</t>
        </is>
      </c>
      <c r="O289" t="inlineStr">
        <is>
          <t>eng</t>
        </is>
      </c>
      <c r="P289" t="inlineStr">
        <is>
          <t>pau</t>
        </is>
      </c>
      <c r="R289" t="inlineStr">
        <is>
          <t xml:space="preserve">HN </t>
        </is>
      </c>
      <c r="S289" t="n">
        <v>1</v>
      </c>
      <c r="T289" t="n">
        <v>1</v>
      </c>
      <c r="U289" t="inlineStr">
        <is>
          <t>2002-05-02</t>
        </is>
      </c>
      <c r="V289" t="inlineStr">
        <is>
          <t>2002-05-02</t>
        </is>
      </c>
      <c r="W289" t="inlineStr">
        <is>
          <t>2002-04-25</t>
        </is>
      </c>
      <c r="X289" t="inlineStr">
        <is>
          <t>2002-04-25</t>
        </is>
      </c>
      <c r="Y289" t="n">
        <v>4</v>
      </c>
      <c r="Z289" t="n">
        <v>4</v>
      </c>
      <c r="AA289" t="n">
        <v>4</v>
      </c>
      <c r="AB289" t="n">
        <v>1</v>
      </c>
      <c r="AC289" t="n">
        <v>1</v>
      </c>
      <c r="AD289" t="n">
        <v>0</v>
      </c>
      <c r="AE289" t="n">
        <v>0</v>
      </c>
      <c r="AF289" t="n">
        <v>0</v>
      </c>
      <c r="AG289" t="n">
        <v>0</v>
      </c>
      <c r="AH289" t="n">
        <v>0</v>
      </c>
      <c r="AI289" t="n">
        <v>0</v>
      </c>
      <c r="AJ289" t="n">
        <v>0</v>
      </c>
      <c r="AK289" t="n">
        <v>0</v>
      </c>
      <c r="AL289" t="n">
        <v>0</v>
      </c>
      <c r="AM289" t="n">
        <v>0</v>
      </c>
      <c r="AN289" t="n">
        <v>0</v>
      </c>
      <c r="AO289" t="n">
        <v>0</v>
      </c>
      <c r="AP289" t="inlineStr">
        <is>
          <t>No</t>
        </is>
      </c>
      <c r="AQ289" t="inlineStr">
        <is>
          <t>No</t>
        </is>
      </c>
      <c r="AS289">
        <f>HYPERLINK("https://creighton-primo.hosted.exlibrisgroup.com/primo-explore/search?tab=default_tab&amp;search_scope=EVERYTHING&amp;vid=01CRU&amp;lang=en_US&amp;offset=0&amp;query=any,contains,991003797289702656","Catalog Record")</f>
        <v/>
      </c>
      <c r="AT289">
        <f>HYPERLINK("http://www.worldcat.org/oclc/49053184","WorldCat Record")</f>
        <v/>
      </c>
      <c r="AU289" t="inlineStr">
        <is>
          <t>37915104:eng</t>
        </is>
      </c>
      <c r="AV289" t="inlineStr">
        <is>
          <t>49053184</t>
        </is>
      </c>
      <c r="AW289" t="inlineStr">
        <is>
          <t>991003797289702656</t>
        </is>
      </c>
      <c r="AX289" t="inlineStr">
        <is>
          <t>991003797289702656</t>
        </is>
      </c>
      <c r="AY289" t="inlineStr">
        <is>
          <t>2260816790002656</t>
        </is>
      </c>
      <c r="AZ289" t="inlineStr">
        <is>
          <t>BOOK</t>
        </is>
      </c>
      <c r="BB289" t="inlineStr">
        <is>
          <t>9780805951912</t>
        </is>
      </c>
      <c r="BC289" t="inlineStr">
        <is>
          <t>32285004591706</t>
        </is>
      </c>
      <c r="BD289" t="inlineStr">
        <is>
          <t>893686986</t>
        </is>
      </c>
    </row>
    <row r="290">
      <c r="A290" t="inlineStr">
        <is>
          <t>No</t>
        </is>
      </c>
      <c r="B290" t="inlineStr">
        <is>
          <t>HN49.I56 N67 2001</t>
        </is>
      </c>
      <c r="C290" t="inlineStr">
        <is>
          <t>0                      HN 0049000I  56                 N  67          2001</t>
        </is>
      </c>
      <c r="D290" t="inlineStr">
        <is>
          <t>Digital divide : civic engagement, information poverty, and the Internet worldwide / Pippa Norris.</t>
        </is>
      </c>
      <c r="F290" t="inlineStr">
        <is>
          <t>No</t>
        </is>
      </c>
      <c r="G290" t="inlineStr">
        <is>
          <t>1</t>
        </is>
      </c>
      <c r="H290" t="inlineStr">
        <is>
          <t>No</t>
        </is>
      </c>
      <c r="I290" t="inlineStr">
        <is>
          <t>No</t>
        </is>
      </c>
      <c r="J290" t="inlineStr">
        <is>
          <t>0</t>
        </is>
      </c>
      <c r="K290" t="inlineStr">
        <is>
          <t>Norris, Pippa.</t>
        </is>
      </c>
      <c r="L290" t="inlineStr">
        <is>
          <t>Cambridge ; New York : Cambridge University Press, 2001.</t>
        </is>
      </c>
      <c r="M290" t="inlineStr">
        <is>
          <t>2001</t>
        </is>
      </c>
      <c r="O290" t="inlineStr">
        <is>
          <t>eng</t>
        </is>
      </c>
      <c r="P290" t="inlineStr">
        <is>
          <t>enk</t>
        </is>
      </c>
      <c r="Q290" t="inlineStr">
        <is>
          <t>Communication, society, and politics</t>
        </is>
      </c>
      <c r="R290" t="inlineStr">
        <is>
          <t xml:space="preserve">HN </t>
        </is>
      </c>
      <c r="S290" t="n">
        <v>5</v>
      </c>
      <c r="T290" t="n">
        <v>5</v>
      </c>
      <c r="U290" t="inlineStr">
        <is>
          <t>2009-05-18</t>
        </is>
      </c>
      <c r="V290" t="inlineStr">
        <is>
          <t>2009-05-18</t>
        </is>
      </c>
      <c r="W290" t="inlineStr">
        <is>
          <t>2003-09-30</t>
        </is>
      </c>
      <c r="X290" t="inlineStr">
        <is>
          <t>2003-09-30</t>
        </is>
      </c>
      <c r="Y290" t="n">
        <v>763</v>
      </c>
      <c r="Z290" t="n">
        <v>536</v>
      </c>
      <c r="AA290" t="n">
        <v>562</v>
      </c>
      <c r="AB290" t="n">
        <v>2</v>
      </c>
      <c r="AC290" t="n">
        <v>2</v>
      </c>
      <c r="AD290" t="n">
        <v>29</v>
      </c>
      <c r="AE290" t="n">
        <v>29</v>
      </c>
      <c r="AF290" t="n">
        <v>13</v>
      </c>
      <c r="AG290" t="n">
        <v>13</v>
      </c>
      <c r="AH290" t="n">
        <v>8</v>
      </c>
      <c r="AI290" t="n">
        <v>8</v>
      </c>
      <c r="AJ290" t="n">
        <v>13</v>
      </c>
      <c r="AK290" t="n">
        <v>13</v>
      </c>
      <c r="AL290" t="n">
        <v>1</v>
      </c>
      <c r="AM290" t="n">
        <v>1</v>
      </c>
      <c r="AN290" t="n">
        <v>1</v>
      </c>
      <c r="AO290" t="n">
        <v>1</v>
      </c>
      <c r="AP290" t="inlineStr">
        <is>
          <t>No</t>
        </is>
      </c>
      <c r="AQ290" t="inlineStr">
        <is>
          <t>No</t>
        </is>
      </c>
      <c r="AS290">
        <f>HYPERLINK("https://creighton-primo.hosted.exlibrisgroup.com/primo-explore/search?tab=default_tab&amp;search_scope=EVERYTHING&amp;vid=01CRU&amp;lang=en_US&amp;offset=0&amp;query=any,contains,991004107709702656","Catalog Record")</f>
        <v/>
      </c>
      <c r="AT290">
        <f>HYPERLINK("http://www.worldcat.org/oclc/46359519","WorldCat Record")</f>
        <v/>
      </c>
      <c r="AU290" t="inlineStr">
        <is>
          <t>793050415:eng</t>
        </is>
      </c>
      <c r="AV290" t="inlineStr">
        <is>
          <t>46359519</t>
        </is>
      </c>
      <c r="AW290" t="inlineStr">
        <is>
          <t>991004107709702656</t>
        </is>
      </c>
      <c r="AX290" t="inlineStr">
        <is>
          <t>991004107709702656</t>
        </is>
      </c>
      <c r="AY290" t="inlineStr">
        <is>
          <t>2261289070002656</t>
        </is>
      </c>
      <c r="AZ290" t="inlineStr">
        <is>
          <t>BOOK</t>
        </is>
      </c>
      <c r="BB290" t="inlineStr">
        <is>
          <t>9780521002233</t>
        </is>
      </c>
      <c r="BC290" t="inlineStr">
        <is>
          <t>32285004786355</t>
        </is>
      </c>
      <c r="BD290" t="inlineStr">
        <is>
          <t>893259327</t>
        </is>
      </c>
    </row>
    <row r="291">
      <c r="A291" t="inlineStr">
        <is>
          <t>No</t>
        </is>
      </c>
      <c r="B291" t="inlineStr">
        <is>
          <t>HN49.I56 R47 2005</t>
        </is>
      </c>
      <c r="C291" t="inlineStr">
        <is>
          <t>0                      HN 0049000I  56                 R  47          2005</t>
        </is>
      </c>
      <c r="D291" t="inlineStr">
        <is>
          <t>Rete retorica : prospettive retoriche della rete / a cura di Luca Rosati, Federica Venier.</t>
        </is>
      </c>
      <c r="F291" t="inlineStr">
        <is>
          <t>No</t>
        </is>
      </c>
      <c r="G291" t="inlineStr">
        <is>
          <t>1</t>
        </is>
      </c>
      <c r="H291" t="inlineStr">
        <is>
          <t>No</t>
        </is>
      </c>
      <c r="I291" t="inlineStr">
        <is>
          <t>No</t>
        </is>
      </c>
      <c r="J291" t="inlineStr">
        <is>
          <t>0</t>
        </is>
      </c>
      <c r="L291" t="inlineStr">
        <is>
          <t>Perugia : Guerra, 2005.</t>
        </is>
      </c>
      <c r="M291" t="inlineStr">
        <is>
          <t>2005</t>
        </is>
      </c>
      <c r="O291" t="inlineStr">
        <is>
          <t>ita</t>
        </is>
      </c>
      <c r="P291" t="inlineStr">
        <is>
          <t xml:space="preserve">it </t>
        </is>
      </c>
      <c r="R291" t="inlineStr">
        <is>
          <t xml:space="preserve">HN </t>
        </is>
      </c>
      <c r="S291" t="n">
        <v>1</v>
      </c>
      <c r="T291" t="n">
        <v>1</v>
      </c>
      <c r="U291" t="inlineStr">
        <is>
          <t>2006-06-26</t>
        </is>
      </c>
      <c r="V291" t="inlineStr">
        <is>
          <t>2006-06-26</t>
        </is>
      </c>
      <c r="W291" t="inlineStr">
        <is>
          <t>2006-06-26</t>
        </is>
      </c>
      <c r="X291" t="inlineStr">
        <is>
          <t>2006-06-26</t>
        </is>
      </c>
      <c r="Y291" t="n">
        <v>10</v>
      </c>
      <c r="Z291" t="n">
        <v>6</v>
      </c>
      <c r="AA291" t="n">
        <v>6</v>
      </c>
      <c r="AB291" t="n">
        <v>1</v>
      </c>
      <c r="AC291" t="n">
        <v>1</v>
      </c>
      <c r="AD291" t="n">
        <v>0</v>
      </c>
      <c r="AE291" t="n">
        <v>0</v>
      </c>
      <c r="AF291" t="n">
        <v>0</v>
      </c>
      <c r="AG291" t="n">
        <v>0</v>
      </c>
      <c r="AH291" t="n">
        <v>0</v>
      </c>
      <c r="AI291" t="n">
        <v>0</v>
      </c>
      <c r="AJ291" t="n">
        <v>0</v>
      </c>
      <c r="AK291" t="n">
        <v>0</v>
      </c>
      <c r="AL291" t="n">
        <v>0</v>
      </c>
      <c r="AM291" t="n">
        <v>0</v>
      </c>
      <c r="AN291" t="n">
        <v>0</v>
      </c>
      <c r="AO291" t="n">
        <v>0</v>
      </c>
      <c r="AP291" t="inlineStr">
        <is>
          <t>No</t>
        </is>
      </c>
      <c r="AQ291" t="inlineStr">
        <is>
          <t>No</t>
        </is>
      </c>
      <c r="AS291">
        <f>HYPERLINK("https://creighton-primo.hosted.exlibrisgroup.com/primo-explore/search?tab=default_tab&amp;search_scope=EVERYTHING&amp;vid=01CRU&amp;lang=en_US&amp;offset=0&amp;query=any,contains,991004726559702656","Catalog Record")</f>
        <v/>
      </c>
      <c r="AT291">
        <f>HYPERLINK("http://www.worldcat.org/oclc/68598989","WorldCat Record")</f>
        <v/>
      </c>
      <c r="AU291" t="inlineStr">
        <is>
          <t>51917844:ita</t>
        </is>
      </c>
      <c r="AV291" t="inlineStr">
        <is>
          <t>68598989</t>
        </is>
      </c>
      <c r="AW291" t="inlineStr">
        <is>
          <t>991004726559702656</t>
        </is>
      </c>
      <c r="AX291" t="inlineStr">
        <is>
          <t>991004726559702656</t>
        </is>
      </c>
      <c r="AY291" t="inlineStr">
        <is>
          <t>2256158950002656</t>
        </is>
      </c>
      <c r="AZ291" t="inlineStr">
        <is>
          <t>BOOK</t>
        </is>
      </c>
      <c r="BB291" t="inlineStr">
        <is>
          <t>9788877158697</t>
        </is>
      </c>
      <c r="BC291" t="inlineStr">
        <is>
          <t>32285005191977</t>
        </is>
      </c>
      <c r="BD291" t="inlineStr">
        <is>
          <t>893712949</t>
        </is>
      </c>
    </row>
    <row r="292">
      <c r="A292" t="inlineStr">
        <is>
          <t>No</t>
        </is>
      </c>
      <c r="B292" t="inlineStr">
        <is>
          <t>HN49.M3 M42 1984</t>
        </is>
      </c>
      <c r="C292" t="inlineStr">
        <is>
          <t>0                      HN 0049000M  3                  M  42          1984</t>
        </is>
      </c>
      <c r="D292" t="inlineStr">
        <is>
          <t>Media for people in cities : a study of community media in the urban context / edited by Peter M. Lewis.</t>
        </is>
      </c>
      <c r="F292" t="inlineStr">
        <is>
          <t>No</t>
        </is>
      </c>
      <c r="G292" t="inlineStr">
        <is>
          <t>1</t>
        </is>
      </c>
      <c r="H292" t="inlineStr">
        <is>
          <t>No</t>
        </is>
      </c>
      <c r="I292" t="inlineStr">
        <is>
          <t>No</t>
        </is>
      </c>
      <c r="J292" t="inlineStr">
        <is>
          <t>0</t>
        </is>
      </c>
      <c r="L292" t="inlineStr">
        <is>
          <t>[Paris] : United Nations Educational Scientific and Cultural Organization, [1984?]</t>
        </is>
      </c>
      <c r="M292" t="inlineStr">
        <is>
          <t>1984</t>
        </is>
      </c>
      <c r="O292" t="inlineStr">
        <is>
          <t>eng</t>
        </is>
      </c>
      <c r="P292" t="inlineStr">
        <is>
          <t xml:space="preserve">fr </t>
        </is>
      </c>
      <c r="R292" t="inlineStr">
        <is>
          <t xml:space="preserve">HN </t>
        </is>
      </c>
      <c r="S292" t="n">
        <v>2</v>
      </c>
      <c r="T292" t="n">
        <v>2</v>
      </c>
      <c r="U292" t="inlineStr">
        <is>
          <t>2006-03-02</t>
        </is>
      </c>
      <c r="V292" t="inlineStr">
        <is>
          <t>2006-03-02</t>
        </is>
      </c>
      <c r="W292" t="inlineStr">
        <is>
          <t>1992-09-25</t>
        </is>
      </c>
      <c r="X292" t="inlineStr">
        <is>
          <t>1992-09-25</t>
        </is>
      </c>
      <c r="Y292" t="n">
        <v>61</v>
      </c>
      <c r="Z292" t="n">
        <v>38</v>
      </c>
      <c r="AA292" t="n">
        <v>42</v>
      </c>
      <c r="AB292" t="n">
        <v>1</v>
      </c>
      <c r="AC292" t="n">
        <v>1</v>
      </c>
      <c r="AD292" t="n">
        <v>1</v>
      </c>
      <c r="AE292" t="n">
        <v>1</v>
      </c>
      <c r="AF292" t="n">
        <v>0</v>
      </c>
      <c r="AG292" t="n">
        <v>0</v>
      </c>
      <c r="AH292" t="n">
        <v>1</v>
      </c>
      <c r="AI292" t="n">
        <v>1</v>
      </c>
      <c r="AJ292" t="n">
        <v>0</v>
      </c>
      <c r="AK292" t="n">
        <v>0</v>
      </c>
      <c r="AL292" t="n">
        <v>0</v>
      </c>
      <c r="AM292" t="n">
        <v>0</v>
      </c>
      <c r="AN292" t="n">
        <v>0</v>
      </c>
      <c r="AO292" t="n">
        <v>0</v>
      </c>
      <c r="AP292" t="inlineStr">
        <is>
          <t>No</t>
        </is>
      </c>
      <c r="AQ292" t="inlineStr">
        <is>
          <t>Yes</t>
        </is>
      </c>
      <c r="AR292">
        <f>HYPERLINK("http://catalog.hathitrust.org/Record/000330900","HathiTrust Record")</f>
        <v/>
      </c>
      <c r="AS292">
        <f>HYPERLINK("https://creighton-primo.hosted.exlibrisgroup.com/primo-explore/search?tab=default_tab&amp;search_scope=EVERYTHING&amp;vid=01CRU&amp;lang=en_US&amp;offset=0&amp;query=any,contains,991000615009702656","Catalog Record")</f>
        <v/>
      </c>
      <c r="AT292">
        <f>HYPERLINK("http://www.worldcat.org/oclc/11924475","WorldCat Record")</f>
        <v/>
      </c>
      <c r="AU292" t="inlineStr">
        <is>
          <t>918685438:eng</t>
        </is>
      </c>
      <c r="AV292" t="inlineStr">
        <is>
          <t>11924475</t>
        </is>
      </c>
      <c r="AW292" t="inlineStr">
        <is>
          <t>991000615009702656</t>
        </is>
      </c>
      <c r="AX292" t="inlineStr">
        <is>
          <t>991000615009702656</t>
        </is>
      </c>
      <c r="AY292" t="inlineStr">
        <is>
          <t>2272069290002656</t>
        </is>
      </c>
      <c r="AZ292" t="inlineStr">
        <is>
          <t>BOOK</t>
        </is>
      </c>
      <c r="BC292" t="inlineStr">
        <is>
          <t>32285001269868</t>
        </is>
      </c>
      <c r="BD292" t="inlineStr">
        <is>
          <t>893339720</t>
        </is>
      </c>
    </row>
    <row r="293">
      <c r="A293" t="inlineStr">
        <is>
          <t>No</t>
        </is>
      </c>
      <c r="B293" t="inlineStr">
        <is>
          <t>HN49.P6 T56 2007</t>
        </is>
      </c>
      <c r="C293" t="inlineStr">
        <is>
          <t>0                      HN 0049000P  6                  T  56          2007</t>
        </is>
      </c>
      <c r="D293" t="inlineStr">
        <is>
          <t>Power and empowerment / Neil Thompson.</t>
        </is>
      </c>
      <c r="F293" t="inlineStr">
        <is>
          <t>No</t>
        </is>
      </c>
      <c r="G293" t="inlineStr">
        <is>
          <t>1</t>
        </is>
      </c>
      <c r="H293" t="inlineStr">
        <is>
          <t>No</t>
        </is>
      </c>
      <c r="I293" t="inlineStr">
        <is>
          <t>No</t>
        </is>
      </c>
      <c r="J293" t="inlineStr">
        <is>
          <t>0</t>
        </is>
      </c>
      <c r="K293" t="inlineStr">
        <is>
          <t>Thompson, Neil, 1955-</t>
        </is>
      </c>
      <c r="L293" t="inlineStr">
        <is>
          <t>Lyme Regis, Dorset : Russell House Pub., 2007.</t>
        </is>
      </c>
      <c r="M293" t="inlineStr">
        <is>
          <t>2007</t>
        </is>
      </c>
      <c r="O293" t="inlineStr">
        <is>
          <t>eng</t>
        </is>
      </c>
      <c r="P293" t="inlineStr">
        <is>
          <t>enk</t>
        </is>
      </c>
      <c r="Q293" t="inlineStr">
        <is>
          <t>Theory into practice</t>
        </is>
      </c>
      <c r="R293" t="inlineStr">
        <is>
          <t xml:space="preserve">HN </t>
        </is>
      </c>
      <c r="S293" t="n">
        <v>2</v>
      </c>
      <c r="T293" t="n">
        <v>2</v>
      </c>
      <c r="U293" t="inlineStr">
        <is>
          <t>2010-02-10</t>
        </is>
      </c>
      <c r="V293" t="inlineStr">
        <is>
          <t>2010-02-10</t>
        </is>
      </c>
      <c r="W293" t="inlineStr">
        <is>
          <t>2010-02-04</t>
        </is>
      </c>
      <c r="X293" t="inlineStr">
        <is>
          <t>2010-02-04</t>
        </is>
      </c>
      <c r="Y293" t="n">
        <v>84</v>
      </c>
      <c r="Z293" t="n">
        <v>25</v>
      </c>
      <c r="AA293" t="n">
        <v>25</v>
      </c>
      <c r="AB293" t="n">
        <v>1</v>
      </c>
      <c r="AC293" t="n">
        <v>1</v>
      </c>
      <c r="AD293" t="n">
        <v>0</v>
      </c>
      <c r="AE293" t="n">
        <v>0</v>
      </c>
      <c r="AF293" t="n">
        <v>0</v>
      </c>
      <c r="AG293" t="n">
        <v>0</v>
      </c>
      <c r="AH293" t="n">
        <v>0</v>
      </c>
      <c r="AI293" t="n">
        <v>0</v>
      </c>
      <c r="AJ293" t="n">
        <v>0</v>
      </c>
      <c r="AK293" t="n">
        <v>0</v>
      </c>
      <c r="AL293" t="n">
        <v>0</v>
      </c>
      <c r="AM293" t="n">
        <v>0</v>
      </c>
      <c r="AN293" t="n">
        <v>0</v>
      </c>
      <c r="AO293" t="n">
        <v>0</v>
      </c>
      <c r="AP293" t="inlineStr">
        <is>
          <t>No</t>
        </is>
      </c>
      <c r="AQ293" t="inlineStr">
        <is>
          <t>No</t>
        </is>
      </c>
      <c r="AS293">
        <f>HYPERLINK("https://creighton-primo.hosted.exlibrisgroup.com/primo-explore/search?tab=default_tab&amp;search_scope=EVERYTHING&amp;vid=01CRU&amp;lang=en_US&amp;offset=0&amp;query=any,contains,991005361629702656","Catalog Record")</f>
        <v/>
      </c>
      <c r="AT293">
        <f>HYPERLINK("http://www.worldcat.org/oclc/104602656","WorldCat Record")</f>
        <v/>
      </c>
      <c r="AU293" t="inlineStr">
        <is>
          <t>88103329:eng</t>
        </is>
      </c>
      <c r="AV293" t="inlineStr">
        <is>
          <t>104602656</t>
        </is>
      </c>
      <c r="AW293" t="inlineStr">
        <is>
          <t>991005361629702656</t>
        </is>
      </c>
      <c r="AX293" t="inlineStr">
        <is>
          <t>991005361629702656</t>
        </is>
      </c>
      <c r="AY293" t="inlineStr">
        <is>
          <t>2261569560002656</t>
        </is>
      </c>
      <c r="AZ293" t="inlineStr">
        <is>
          <t>BOOK</t>
        </is>
      </c>
      <c r="BB293" t="inlineStr">
        <is>
          <t>9781903855997</t>
        </is>
      </c>
      <c r="BC293" t="inlineStr">
        <is>
          <t>32285005571939</t>
        </is>
      </c>
      <c r="BD293" t="inlineStr">
        <is>
          <t>893594911</t>
        </is>
      </c>
    </row>
    <row r="294">
      <c r="A294" t="inlineStr">
        <is>
          <t>No</t>
        </is>
      </c>
      <c r="B294" t="inlineStr">
        <is>
          <t>HN49.R33 D43 2010</t>
        </is>
      </c>
      <c r="C294" t="inlineStr">
        <is>
          <t>0                      HN 0049000R  33                 D  43          2010</t>
        </is>
      </c>
      <c r="D294" t="inlineStr">
        <is>
          <t>Radicalization : the life writings of political prisoners / Melissa Dearey.</t>
        </is>
      </c>
      <c r="F294" t="inlineStr">
        <is>
          <t>No</t>
        </is>
      </c>
      <c r="G294" t="inlineStr">
        <is>
          <t>1</t>
        </is>
      </c>
      <c r="H294" t="inlineStr">
        <is>
          <t>No</t>
        </is>
      </c>
      <c r="I294" t="inlineStr">
        <is>
          <t>No</t>
        </is>
      </c>
      <c r="J294" t="inlineStr">
        <is>
          <t>0</t>
        </is>
      </c>
      <c r="K294" t="inlineStr">
        <is>
          <t>Dearey, Melissa.</t>
        </is>
      </c>
      <c r="L294" t="inlineStr">
        <is>
          <t>Oxon ; New York : Routledge, 2010.</t>
        </is>
      </c>
      <c r="M294" t="inlineStr">
        <is>
          <t>2010</t>
        </is>
      </c>
      <c r="O294" t="inlineStr">
        <is>
          <t>eng</t>
        </is>
      </c>
      <c r="P294" t="inlineStr">
        <is>
          <t>enk</t>
        </is>
      </c>
      <c r="R294" t="inlineStr">
        <is>
          <t xml:space="preserve">HN </t>
        </is>
      </c>
      <c r="S294" t="n">
        <v>1</v>
      </c>
      <c r="T294" t="n">
        <v>1</v>
      </c>
      <c r="U294" t="inlineStr">
        <is>
          <t>2010-11-29</t>
        </is>
      </c>
      <c r="V294" t="inlineStr">
        <is>
          <t>2010-11-29</t>
        </is>
      </c>
      <c r="W294" t="inlineStr">
        <is>
          <t>2010-11-29</t>
        </is>
      </c>
      <c r="X294" t="inlineStr">
        <is>
          <t>2010-11-29</t>
        </is>
      </c>
      <c r="Y294" t="n">
        <v>121</v>
      </c>
      <c r="Z294" t="n">
        <v>84</v>
      </c>
      <c r="AA294" t="n">
        <v>158</v>
      </c>
      <c r="AB294" t="n">
        <v>1</v>
      </c>
      <c r="AC294" t="n">
        <v>1</v>
      </c>
      <c r="AD294" t="n">
        <v>3</v>
      </c>
      <c r="AE294" t="n">
        <v>4</v>
      </c>
      <c r="AF294" t="n">
        <v>1</v>
      </c>
      <c r="AG294" t="n">
        <v>1</v>
      </c>
      <c r="AH294" t="n">
        <v>1</v>
      </c>
      <c r="AI294" t="n">
        <v>1</v>
      </c>
      <c r="AJ294" t="n">
        <v>3</v>
      </c>
      <c r="AK294" t="n">
        <v>4</v>
      </c>
      <c r="AL294" t="n">
        <v>0</v>
      </c>
      <c r="AM294" t="n">
        <v>0</v>
      </c>
      <c r="AN294" t="n">
        <v>0</v>
      </c>
      <c r="AO294" t="n">
        <v>0</v>
      </c>
      <c r="AP294" t="inlineStr">
        <is>
          <t>No</t>
        </is>
      </c>
      <c r="AQ294" t="inlineStr">
        <is>
          <t>No</t>
        </is>
      </c>
      <c r="AS294">
        <f>HYPERLINK("https://creighton-primo.hosted.exlibrisgroup.com/primo-explore/search?tab=default_tab&amp;search_scope=EVERYTHING&amp;vid=01CRU&amp;lang=en_US&amp;offset=0&amp;query=any,contains,991000224889702656","Catalog Record")</f>
        <v/>
      </c>
      <c r="AT294">
        <f>HYPERLINK("http://www.worldcat.org/oclc/311757392","WorldCat Record")</f>
        <v/>
      </c>
      <c r="AU294" t="inlineStr">
        <is>
          <t>803916762:eng</t>
        </is>
      </c>
      <c r="AV294" t="inlineStr">
        <is>
          <t>311757392</t>
        </is>
      </c>
      <c r="AW294" t="inlineStr">
        <is>
          <t>991000224889702656</t>
        </is>
      </c>
      <c r="AX294" t="inlineStr">
        <is>
          <t>991000224889702656</t>
        </is>
      </c>
      <c r="AY294" t="inlineStr">
        <is>
          <t>2254754230002656</t>
        </is>
      </c>
      <c r="AZ294" t="inlineStr">
        <is>
          <t>BOOK</t>
        </is>
      </c>
      <c r="BB294" t="inlineStr">
        <is>
          <t>9780415467728</t>
        </is>
      </c>
      <c r="BC294" t="inlineStr">
        <is>
          <t>32285005607436</t>
        </is>
      </c>
      <c r="BD294" t="inlineStr">
        <is>
          <t>893351467</t>
        </is>
      </c>
    </row>
    <row r="295">
      <c r="A295" t="inlineStr">
        <is>
          <t>No</t>
        </is>
      </c>
      <c r="B295" t="inlineStr">
        <is>
          <t>HN49.V64 E444 1996</t>
        </is>
      </c>
      <c r="C295" t="inlineStr">
        <is>
          <t>0                      HN 0049000V  64                 E  444         1996</t>
        </is>
      </c>
      <c r="D295" t="inlineStr">
        <is>
          <t>The volunteer recruitment [and membership development] book / Susan J. Ellis.</t>
        </is>
      </c>
      <c r="F295" t="inlineStr">
        <is>
          <t>No</t>
        </is>
      </c>
      <c r="G295" t="inlineStr">
        <is>
          <t>1</t>
        </is>
      </c>
      <c r="H295" t="inlineStr">
        <is>
          <t>No</t>
        </is>
      </c>
      <c r="I295" t="inlineStr">
        <is>
          <t>No</t>
        </is>
      </c>
      <c r="J295" t="inlineStr">
        <is>
          <t>0</t>
        </is>
      </c>
      <c r="K295" t="inlineStr">
        <is>
          <t>Ellis, Susan J.</t>
        </is>
      </c>
      <c r="L295" t="inlineStr">
        <is>
          <t>Philadelphia, Pa. : Energize, 1996.</t>
        </is>
      </c>
      <c r="M295" t="inlineStr">
        <is>
          <t>1996</t>
        </is>
      </c>
      <c r="N295" t="inlineStr">
        <is>
          <t>2nd ed.</t>
        </is>
      </c>
      <c r="O295" t="inlineStr">
        <is>
          <t>eng</t>
        </is>
      </c>
      <c r="P295" t="inlineStr">
        <is>
          <t>pau</t>
        </is>
      </c>
      <c r="R295" t="inlineStr">
        <is>
          <t xml:space="preserve">HN </t>
        </is>
      </c>
      <c r="S295" t="n">
        <v>12</v>
      </c>
      <c r="T295" t="n">
        <v>12</v>
      </c>
      <c r="U295" t="inlineStr">
        <is>
          <t>2004-07-26</t>
        </is>
      </c>
      <c r="V295" t="inlineStr">
        <is>
          <t>2004-07-26</t>
        </is>
      </c>
      <c r="W295" t="inlineStr">
        <is>
          <t>1996-12-02</t>
        </is>
      </c>
      <c r="X295" t="inlineStr">
        <is>
          <t>1996-12-02</t>
        </is>
      </c>
      <c r="Y295" t="n">
        <v>183</v>
      </c>
      <c r="Z295" t="n">
        <v>165</v>
      </c>
      <c r="AA295" t="n">
        <v>410</v>
      </c>
      <c r="AB295" t="n">
        <v>3</v>
      </c>
      <c r="AC295" t="n">
        <v>5</v>
      </c>
      <c r="AD295" t="n">
        <v>2</v>
      </c>
      <c r="AE295" t="n">
        <v>5</v>
      </c>
      <c r="AF295" t="n">
        <v>1</v>
      </c>
      <c r="AG295" t="n">
        <v>2</v>
      </c>
      <c r="AH295" t="n">
        <v>0</v>
      </c>
      <c r="AI295" t="n">
        <v>1</v>
      </c>
      <c r="AJ295" t="n">
        <v>0</v>
      </c>
      <c r="AK295" t="n">
        <v>2</v>
      </c>
      <c r="AL295" t="n">
        <v>1</v>
      </c>
      <c r="AM295" t="n">
        <v>1</v>
      </c>
      <c r="AN295" t="n">
        <v>0</v>
      </c>
      <c r="AO295" t="n">
        <v>0</v>
      </c>
      <c r="AP295" t="inlineStr">
        <is>
          <t>No</t>
        </is>
      </c>
      <c r="AQ295" t="inlineStr">
        <is>
          <t>No</t>
        </is>
      </c>
      <c r="AS295">
        <f>HYPERLINK("https://creighton-primo.hosted.exlibrisgroup.com/primo-explore/search?tab=default_tab&amp;search_scope=EVERYTHING&amp;vid=01CRU&amp;lang=en_US&amp;offset=0&amp;query=any,contains,991002693769702656","Catalog Record")</f>
        <v/>
      </c>
      <c r="AT295">
        <f>HYPERLINK("http://www.worldcat.org/oclc/35175011","WorldCat Record")</f>
        <v/>
      </c>
      <c r="AU295" t="inlineStr">
        <is>
          <t>37969969:eng</t>
        </is>
      </c>
      <c r="AV295" t="inlineStr">
        <is>
          <t>35175011</t>
        </is>
      </c>
      <c r="AW295" t="inlineStr">
        <is>
          <t>991002693769702656</t>
        </is>
      </c>
      <c r="AX295" t="inlineStr">
        <is>
          <t>991002693769702656</t>
        </is>
      </c>
      <c r="AY295" t="inlineStr">
        <is>
          <t>2271999520002656</t>
        </is>
      </c>
      <c r="AZ295" t="inlineStr">
        <is>
          <t>BOOK</t>
        </is>
      </c>
      <c r="BB295" t="inlineStr">
        <is>
          <t>9780940576186</t>
        </is>
      </c>
      <c r="BC295" t="inlineStr">
        <is>
          <t>32285002387099</t>
        </is>
      </c>
      <c r="BD295" t="inlineStr">
        <is>
          <t>893704391</t>
        </is>
      </c>
    </row>
    <row r="296">
      <c r="A296" t="inlineStr">
        <is>
          <t>No</t>
        </is>
      </c>
      <c r="B296" t="inlineStr">
        <is>
          <t>HN49.V64 K375 2003</t>
        </is>
      </c>
      <c r="C296" t="inlineStr">
        <is>
          <t>0                      HN 0049000V  64                 K  375         2003</t>
        </is>
      </c>
      <c r="D296" t="inlineStr">
        <is>
          <t>For the common good? : American civic life and the golden age of fraternity / Jason Kaufman.</t>
        </is>
      </c>
      <c r="F296" t="inlineStr">
        <is>
          <t>No</t>
        </is>
      </c>
      <c r="G296" t="inlineStr">
        <is>
          <t>1</t>
        </is>
      </c>
      <c r="H296" t="inlineStr">
        <is>
          <t>No</t>
        </is>
      </c>
      <c r="I296" t="inlineStr">
        <is>
          <t>No</t>
        </is>
      </c>
      <c r="J296" t="inlineStr">
        <is>
          <t>0</t>
        </is>
      </c>
      <c r="K296" t="inlineStr">
        <is>
          <t>Kaufman, Jason Andrew, 1970-</t>
        </is>
      </c>
      <c r="L296" t="inlineStr">
        <is>
          <t>New York ; Oxford : Oxford University Press, 2003.</t>
        </is>
      </c>
      <c r="M296" t="inlineStr">
        <is>
          <t>2003</t>
        </is>
      </c>
      <c r="O296" t="inlineStr">
        <is>
          <t>eng</t>
        </is>
      </c>
      <c r="P296" t="inlineStr">
        <is>
          <t>nyu</t>
        </is>
      </c>
      <c r="R296" t="inlineStr">
        <is>
          <t xml:space="preserve">HN </t>
        </is>
      </c>
      <c r="S296" t="n">
        <v>4</v>
      </c>
      <c r="T296" t="n">
        <v>4</v>
      </c>
      <c r="U296" t="inlineStr">
        <is>
          <t>2010-09-24</t>
        </is>
      </c>
      <c r="V296" t="inlineStr">
        <is>
          <t>2010-09-24</t>
        </is>
      </c>
      <c r="W296" t="inlineStr">
        <is>
          <t>2004-02-24</t>
        </is>
      </c>
      <c r="X296" t="inlineStr">
        <is>
          <t>2004-02-24</t>
        </is>
      </c>
      <c r="Y296" t="n">
        <v>458</v>
      </c>
      <c r="Z296" t="n">
        <v>420</v>
      </c>
      <c r="AA296" t="n">
        <v>464</v>
      </c>
      <c r="AB296" t="n">
        <v>7</v>
      </c>
      <c r="AC296" t="n">
        <v>7</v>
      </c>
      <c r="AD296" t="n">
        <v>23</v>
      </c>
      <c r="AE296" t="n">
        <v>25</v>
      </c>
      <c r="AF296" t="n">
        <v>8</v>
      </c>
      <c r="AG296" t="n">
        <v>8</v>
      </c>
      <c r="AH296" t="n">
        <v>5</v>
      </c>
      <c r="AI296" t="n">
        <v>6</v>
      </c>
      <c r="AJ296" t="n">
        <v>11</v>
      </c>
      <c r="AK296" t="n">
        <v>12</v>
      </c>
      <c r="AL296" t="n">
        <v>6</v>
      </c>
      <c r="AM296" t="n">
        <v>6</v>
      </c>
      <c r="AN296" t="n">
        <v>0</v>
      </c>
      <c r="AO296" t="n">
        <v>0</v>
      </c>
      <c r="AP296" t="inlineStr">
        <is>
          <t>No</t>
        </is>
      </c>
      <c r="AQ296" t="inlineStr">
        <is>
          <t>Yes</t>
        </is>
      </c>
      <c r="AR296">
        <f>HYPERLINK("http://catalog.hathitrust.org/Record/004275385","HathiTrust Record")</f>
        <v/>
      </c>
      <c r="AS296">
        <f>HYPERLINK("https://creighton-primo.hosted.exlibrisgroup.com/primo-explore/search?tab=default_tab&amp;search_scope=EVERYTHING&amp;vid=01CRU&amp;lang=en_US&amp;offset=0&amp;query=any,contains,991004219149702656","Catalog Record")</f>
        <v/>
      </c>
      <c r="AT296">
        <f>HYPERLINK("http://www.worldcat.org/oclc/48943595","WorldCat Record")</f>
        <v/>
      </c>
      <c r="AU296" t="inlineStr">
        <is>
          <t>661627:eng</t>
        </is>
      </c>
      <c r="AV296" t="inlineStr">
        <is>
          <t>48943595</t>
        </is>
      </c>
      <c r="AW296" t="inlineStr">
        <is>
          <t>991004219149702656</t>
        </is>
      </c>
      <c r="AX296" t="inlineStr">
        <is>
          <t>991004219149702656</t>
        </is>
      </c>
      <c r="AY296" t="inlineStr">
        <is>
          <t>2256762330002656</t>
        </is>
      </c>
      <c r="AZ296" t="inlineStr">
        <is>
          <t>BOOK</t>
        </is>
      </c>
      <c r="BB296" t="inlineStr">
        <is>
          <t>9780195148589</t>
        </is>
      </c>
      <c r="BC296" t="inlineStr">
        <is>
          <t>32285004639992</t>
        </is>
      </c>
      <c r="BD296" t="inlineStr">
        <is>
          <t>893331322</t>
        </is>
      </c>
    </row>
    <row r="297">
      <c r="A297" t="inlineStr">
        <is>
          <t>No</t>
        </is>
      </c>
      <c r="B297" t="inlineStr">
        <is>
          <t>HN49.W6 M345 2007</t>
        </is>
      </c>
      <c r="C297" t="inlineStr">
        <is>
          <t>0                      HN 0049000W  6                  M  345         2007</t>
        </is>
      </c>
      <c r="D297" t="inlineStr">
        <is>
          <t>Women, power, and political change / Bonnie G. Mani.</t>
        </is>
      </c>
      <c r="F297" t="inlineStr">
        <is>
          <t>No</t>
        </is>
      </c>
      <c r="G297" t="inlineStr">
        <is>
          <t>1</t>
        </is>
      </c>
      <c r="H297" t="inlineStr">
        <is>
          <t>No</t>
        </is>
      </c>
      <c r="I297" t="inlineStr">
        <is>
          <t>No</t>
        </is>
      </c>
      <c r="J297" t="inlineStr">
        <is>
          <t>0</t>
        </is>
      </c>
      <c r="K297" t="inlineStr">
        <is>
          <t>Mani, Bonnie G.</t>
        </is>
      </c>
      <c r="L297" t="inlineStr">
        <is>
          <t>Lanham, MD : Lexington Books, c2007.</t>
        </is>
      </c>
      <c r="M297" t="inlineStr">
        <is>
          <t>2007</t>
        </is>
      </c>
      <c r="O297" t="inlineStr">
        <is>
          <t>eng</t>
        </is>
      </c>
      <c r="P297" t="inlineStr">
        <is>
          <t>mdu</t>
        </is>
      </c>
      <c r="R297" t="inlineStr">
        <is>
          <t xml:space="preserve">HN </t>
        </is>
      </c>
      <c r="S297" t="n">
        <v>1</v>
      </c>
      <c r="T297" t="n">
        <v>1</v>
      </c>
      <c r="U297" t="inlineStr">
        <is>
          <t>2008-01-22</t>
        </is>
      </c>
      <c r="V297" t="inlineStr">
        <is>
          <t>2008-01-22</t>
        </is>
      </c>
      <c r="W297" t="inlineStr">
        <is>
          <t>2008-01-22</t>
        </is>
      </c>
      <c r="X297" t="inlineStr">
        <is>
          <t>2008-01-22</t>
        </is>
      </c>
      <c r="Y297" t="n">
        <v>321</v>
      </c>
      <c r="Z297" t="n">
        <v>281</v>
      </c>
      <c r="AA297" t="n">
        <v>288</v>
      </c>
      <c r="AB297" t="n">
        <v>2</v>
      </c>
      <c r="AC297" t="n">
        <v>2</v>
      </c>
      <c r="AD297" t="n">
        <v>14</v>
      </c>
      <c r="AE297" t="n">
        <v>14</v>
      </c>
      <c r="AF297" t="n">
        <v>7</v>
      </c>
      <c r="AG297" t="n">
        <v>7</v>
      </c>
      <c r="AH297" t="n">
        <v>6</v>
      </c>
      <c r="AI297" t="n">
        <v>6</v>
      </c>
      <c r="AJ297" t="n">
        <v>6</v>
      </c>
      <c r="AK297" t="n">
        <v>6</v>
      </c>
      <c r="AL297" t="n">
        <v>1</v>
      </c>
      <c r="AM297" t="n">
        <v>1</v>
      </c>
      <c r="AN297" t="n">
        <v>0</v>
      </c>
      <c r="AO297" t="n">
        <v>0</v>
      </c>
      <c r="AP297" t="inlineStr">
        <is>
          <t>No</t>
        </is>
      </c>
      <c r="AQ297" t="inlineStr">
        <is>
          <t>No</t>
        </is>
      </c>
      <c r="AS297">
        <f>HYPERLINK("https://creighton-primo.hosted.exlibrisgroup.com/primo-explore/search?tab=default_tab&amp;search_scope=EVERYTHING&amp;vid=01CRU&amp;lang=en_US&amp;offset=0&amp;query=any,contains,991005170119702656","Catalog Record")</f>
        <v/>
      </c>
      <c r="AT297">
        <f>HYPERLINK("http://www.worldcat.org/oclc/70836685","WorldCat Record")</f>
        <v/>
      </c>
      <c r="AU297" t="inlineStr">
        <is>
          <t>57857630:eng</t>
        </is>
      </c>
      <c r="AV297" t="inlineStr">
        <is>
          <t>70836685</t>
        </is>
      </c>
      <c r="AW297" t="inlineStr">
        <is>
          <t>991005170119702656</t>
        </is>
      </c>
      <c r="AX297" t="inlineStr">
        <is>
          <t>991005170119702656</t>
        </is>
      </c>
      <c r="AY297" t="inlineStr">
        <is>
          <t>2267839450002656</t>
        </is>
      </c>
      <c r="AZ297" t="inlineStr">
        <is>
          <t>BOOK</t>
        </is>
      </c>
      <c r="BB297" t="inlineStr">
        <is>
          <t>9780739111215</t>
        </is>
      </c>
      <c r="BC297" t="inlineStr">
        <is>
          <t>32285005379630</t>
        </is>
      </c>
      <c r="BD297" t="inlineStr">
        <is>
          <t>893877051</t>
        </is>
      </c>
    </row>
    <row r="298">
      <c r="A298" t="inlineStr">
        <is>
          <t>No</t>
        </is>
      </c>
      <c r="B298" t="inlineStr">
        <is>
          <t>HN490.S6 W44 1982</t>
        </is>
      </c>
      <c r="C298" t="inlineStr">
        <is>
          <t>0                      HN 0490000S  6                  W  44          1982</t>
        </is>
      </c>
      <c r="D298" t="inlineStr">
        <is>
          <t>Ritual brotherhood in Renaissance Florence / Ronald F.E. Weissman.</t>
        </is>
      </c>
      <c r="F298" t="inlineStr">
        <is>
          <t>No</t>
        </is>
      </c>
      <c r="G298" t="inlineStr">
        <is>
          <t>1</t>
        </is>
      </c>
      <c r="H298" t="inlineStr">
        <is>
          <t>No</t>
        </is>
      </c>
      <c r="I298" t="inlineStr">
        <is>
          <t>No</t>
        </is>
      </c>
      <c r="J298" t="inlineStr">
        <is>
          <t>0</t>
        </is>
      </c>
      <c r="K298" t="inlineStr">
        <is>
          <t>Weissman, Ronald F. E.</t>
        </is>
      </c>
      <c r="L298" t="inlineStr">
        <is>
          <t>New York : Academic Press, c1982.</t>
        </is>
      </c>
      <c r="M298" t="inlineStr">
        <is>
          <t>1982</t>
        </is>
      </c>
      <c r="O298" t="inlineStr">
        <is>
          <t>eng</t>
        </is>
      </c>
      <c r="P298" t="inlineStr">
        <is>
          <t>nyu</t>
        </is>
      </c>
      <c r="Q298" t="inlineStr">
        <is>
          <t>Population and social structure. Advances in historical demography</t>
        </is>
      </c>
      <c r="R298" t="inlineStr">
        <is>
          <t xml:space="preserve">HN </t>
        </is>
      </c>
      <c r="S298" t="n">
        <v>4</v>
      </c>
      <c r="T298" t="n">
        <v>4</v>
      </c>
      <c r="U298" t="inlineStr">
        <is>
          <t>1999-04-16</t>
        </is>
      </c>
      <c r="V298" t="inlineStr">
        <is>
          <t>1999-04-16</t>
        </is>
      </c>
      <c r="W298" t="inlineStr">
        <is>
          <t>1992-10-14</t>
        </is>
      </c>
      <c r="X298" t="inlineStr">
        <is>
          <t>1992-10-14</t>
        </is>
      </c>
      <c r="Y298" t="n">
        <v>398</v>
      </c>
      <c r="Z298" t="n">
        <v>322</v>
      </c>
      <c r="AA298" t="n">
        <v>365</v>
      </c>
      <c r="AB298" t="n">
        <v>2</v>
      </c>
      <c r="AC298" t="n">
        <v>3</v>
      </c>
      <c r="AD298" t="n">
        <v>17</v>
      </c>
      <c r="AE298" t="n">
        <v>21</v>
      </c>
      <c r="AF298" t="n">
        <v>3</v>
      </c>
      <c r="AG298" t="n">
        <v>5</v>
      </c>
      <c r="AH298" t="n">
        <v>6</v>
      </c>
      <c r="AI298" t="n">
        <v>8</v>
      </c>
      <c r="AJ298" t="n">
        <v>13</v>
      </c>
      <c r="AK298" t="n">
        <v>14</v>
      </c>
      <c r="AL298" t="n">
        <v>1</v>
      </c>
      <c r="AM298" t="n">
        <v>2</v>
      </c>
      <c r="AN298" t="n">
        <v>0</v>
      </c>
      <c r="AO298" t="n">
        <v>0</v>
      </c>
      <c r="AP298" t="inlineStr">
        <is>
          <t>No</t>
        </is>
      </c>
      <c r="AQ298" t="inlineStr">
        <is>
          <t>Yes</t>
        </is>
      </c>
      <c r="AR298">
        <f>HYPERLINK("http://catalog.hathitrust.org/Record/007117108","HathiTrust Record")</f>
        <v/>
      </c>
      <c r="AS298">
        <f>HYPERLINK("https://creighton-primo.hosted.exlibrisgroup.com/primo-explore/search?tab=default_tab&amp;search_scope=EVERYTHING&amp;vid=01CRU&amp;lang=en_US&amp;offset=0&amp;query=any,contains,991005172409702656","Catalog Record")</f>
        <v/>
      </c>
      <c r="AT298">
        <f>HYPERLINK("http://www.worldcat.org/oclc/7875956","WorldCat Record")</f>
        <v/>
      </c>
      <c r="AU298" t="inlineStr">
        <is>
          <t>409954:eng</t>
        </is>
      </c>
      <c r="AV298" t="inlineStr">
        <is>
          <t>7875956</t>
        </is>
      </c>
      <c r="AW298" t="inlineStr">
        <is>
          <t>991005172409702656</t>
        </is>
      </c>
      <c r="AX298" t="inlineStr">
        <is>
          <t>991005172409702656</t>
        </is>
      </c>
      <c r="AY298" t="inlineStr">
        <is>
          <t>2268058660002656</t>
        </is>
      </c>
      <c r="AZ298" t="inlineStr">
        <is>
          <t>BOOK</t>
        </is>
      </c>
      <c r="BB298" t="inlineStr">
        <is>
          <t>9780127444802</t>
        </is>
      </c>
      <c r="BC298" t="inlineStr">
        <is>
          <t>32285001357382</t>
        </is>
      </c>
      <c r="BD298" t="inlineStr">
        <is>
          <t>893332522</t>
        </is>
      </c>
    </row>
    <row r="299">
      <c r="A299" t="inlineStr">
        <is>
          <t>No</t>
        </is>
      </c>
      <c r="B299" t="inlineStr">
        <is>
          <t>HN523 .P4</t>
        </is>
      </c>
      <c r="C299" t="inlineStr">
        <is>
          <t>0                      HN 0523000P  4</t>
        </is>
      </c>
      <c r="D299" t="inlineStr">
        <is>
          <t>The Peasant in nineteenth-century Russia, edited by Wayne S. Vucinich. Contributors: John S. Curtiss [and others]</t>
        </is>
      </c>
      <c r="F299" t="inlineStr">
        <is>
          <t>No</t>
        </is>
      </c>
      <c r="G299" t="inlineStr">
        <is>
          <t>1</t>
        </is>
      </c>
      <c r="H299" t="inlineStr">
        <is>
          <t>No</t>
        </is>
      </c>
      <c r="I299" t="inlineStr">
        <is>
          <t>No</t>
        </is>
      </c>
      <c r="J299" t="inlineStr">
        <is>
          <t>0</t>
        </is>
      </c>
      <c r="L299" t="inlineStr">
        <is>
          <t>Stanford, Calif., Stanford University Press, 1968.</t>
        </is>
      </c>
      <c r="M299" t="inlineStr">
        <is>
          <t>1968</t>
        </is>
      </c>
      <c r="O299" t="inlineStr">
        <is>
          <t>eng</t>
        </is>
      </c>
      <c r="P299" t="inlineStr">
        <is>
          <t>cau</t>
        </is>
      </c>
      <c r="R299" t="inlineStr">
        <is>
          <t xml:space="preserve">HN </t>
        </is>
      </c>
      <c r="S299" t="n">
        <v>4</v>
      </c>
      <c r="T299" t="n">
        <v>4</v>
      </c>
      <c r="U299" t="inlineStr">
        <is>
          <t>2005-06-30</t>
        </is>
      </c>
      <c r="V299" t="inlineStr">
        <is>
          <t>2005-06-30</t>
        </is>
      </c>
      <c r="W299" t="inlineStr">
        <is>
          <t>1997-09-03</t>
        </is>
      </c>
      <c r="X299" t="inlineStr">
        <is>
          <t>1997-09-03</t>
        </is>
      </c>
      <c r="Y299" t="n">
        <v>925</v>
      </c>
      <c r="Z299" t="n">
        <v>755</v>
      </c>
      <c r="AA299" t="n">
        <v>762</v>
      </c>
      <c r="AB299" t="n">
        <v>7</v>
      </c>
      <c r="AC299" t="n">
        <v>7</v>
      </c>
      <c r="AD299" t="n">
        <v>37</v>
      </c>
      <c r="AE299" t="n">
        <v>37</v>
      </c>
      <c r="AF299" t="n">
        <v>12</v>
      </c>
      <c r="AG299" t="n">
        <v>12</v>
      </c>
      <c r="AH299" t="n">
        <v>10</v>
      </c>
      <c r="AI299" t="n">
        <v>10</v>
      </c>
      <c r="AJ299" t="n">
        <v>17</v>
      </c>
      <c r="AK299" t="n">
        <v>17</v>
      </c>
      <c r="AL299" t="n">
        <v>6</v>
      </c>
      <c r="AM299" t="n">
        <v>6</v>
      </c>
      <c r="AN299" t="n">
        <v>0</v>
      </c>
      <c r="AO299" t="n">
        <v>0</v>
      </c>
      <c r="AP299" t="inlineStr">
        <is>
          <t>No</t>
        </is>
      </c>
      <c r="AQ299" t="inlineStr">
        <is>
          <t>No</t>
        </is>
      </c>
      <c r="AS299">
        <f>HYPERLINK("https://creighton-primo.hosted.exlibrisgroup.com/primo-explore/search?tab=default_tab&amp;search_scope=EVERYTHING&amp;vid=01CRU&amp;lang=en_US&amp;offset=0&amp;query=any,contains,991002034259702656","Catalog Record")</f>
        <v/>
      </c>
      <c r="AT299">
        <f>HYPERLINK("http://www.worldcat.org/oclc/260490","WorldCat Record")</f>
        <v/>
      </c>
      <c r="AU299" t="inlineStr">
        <is>
          <t>459374:eng</t>
        </is>
      </c>
      <c r="AV299" t="inlineStr">
        <is>
          <t>260490</t>
        </is>
      </c>
      <c r="AW299" t="inlineStr">
        <is>
          <t>991002034259702656</t>
        </is>
      </c>
      <c r="AX299" t="inlineStr">
        <is>
          <t>991002034259702656</t>
        </is>
      </c>
      <c r="AY299" t="inlineStr">
        <is>
          <t>2262549250002656</t>
        </is>
      </c>
      <c r="AZ299" t="inlineStr">
        <is>
          <t>BOOK</t>
        </is>
      </c>
      <c r="BC299" t="inlineStr">
        <is>
          <t>32285003161964</t>
        </is>
      </c>
      <c r="BD299" t="inlineStr">
        <is>
          <t>893503944</t>
        </is>
      </c>
    </row>
    <row r="300">
      <c r="A300" t="inlineStr">
        <is>
          <t>No</t>
        </is>
      </c>
      <c r="B300" t="inlineStr">
        <is>
          <t>HN523.5 .D8</t>
        </is>
      </c>
      <c r="C300" t="inlineStr">
        <is>
          <t>0                      HN 0523500D  8</t>
        </is>
      </c>
      <c r="D300" t="inlineStr">
        <is>
          <t>The peasants of central Russia, by Stephen P. Dunn and Ethel Dunn.</t>
        </is>
      </c>
      <c r="F300" t="inlineStr">
        <is>
          <t>No</t>
        </is>
      </c>
      <c r="G300" t="inlineStr">
        <is>
          <t>1</t>
        </is>
      </c>
      <c r="H300" t="inlineStr">
        <is>
          <t>No</t>
        </is>
      </c>
      <c r="I300" t="inlineStr">
        <is>
          <t>No</t>
        </is>
      </c>
      <c r="J300" t="inlineStr">
        <is>
          <t>0</t>
        </is>
      </c>
      <c r="K300" t="inlineStr">
        <is>
          <t>Dunn, Stephen Porter, 1928-</t>
        </is>
      </c>
      <c r="L300" t="inlineStr">
        <is>
          <t>New York, Holt, Rinehart and Winston [1967]</t>
        </is>
      </c>
      <c r="M300" t="inlineStr">
        <is>
          <t>1967</t>
        </is>
      </c>
      <c r="O300" t="inlineStr">
        <is>
          <t>eng</t>
        </is>
      </c>
      <c r="P300" t="inlineStr">
        <is>
          <t>nyu</t>
        </is>
      </c>
      <c r="Q300" t="inlineStr">
        <is>
          <t>Case studies in cultural anthropology</t>
        </is>
      </c>
      <c r="R300" t="inlineStr">
        <is>
          <t xml:space="preserve">HN </t>
        </is>
      </c>
      <c r="S300" t="n">
        <v>4</v>
      </c>
      <c r="T300" t="n">
        <v>4</v>
      </c>
      <c r="U300" t="inlineStr">
        <is>
          <t>2000-08-28</t>
        </is>
      </c>
      <c r="V300" t="inlineStr">
        <is>
          <t>2000-08-28</t>
        </is>
      </c>
      <c r="W300" t="inlineStr">
        <is>
          <t>1997-08-07</t>
        </is>
      </c>
      <c r="X300" t="inlineStr">
        <is>
          <t>1997-08-07</t>
        </is>
      </c>
      <c r="Y300" t="n">
        <v>832</v>
      </c>
      <c r="Z300" t="n">
        <v>681</v>
      </c>
      <c r="AA300" t="n">
        <v>731</v>
      </c>
      <c r="AB300" t="n">
        <v>3</v>
      </c>
      <c r="AC300" t="n">
        <v>4</v>
      </c>
      <c r="AD300" t="n">
        <v>25</v>
      </c>
      <c r="AE300" t="n">
        <v>27</v>
      </c>
      <c r="AF300" t="n">
        <v>9</v>
      </c>
      <c r="AG300" t="n">
        <v>10</v>
      </c>
      <c r="AH300" t="n">
        <v>8</v>
      </c>
      <c r="AI300" t="n">
        <v>8</v>
      </c>
      <c r="AJ300" t="n">
        <v>12</v>
      </c>
      <c r="AK300" t="n">
        <v>12</v>
      </c>
      <c r="AL300" t="n">
        <v>2</v>
      </c>
      <c r="AM300" t="n">
        <v>3</v>
      </c>
      <c r="AN300" t="n">
        <v>0</v>
      </c>
      <c r="AO300" t="n">
        <v>0</v>
      </c>
      <c r="AP300" t="inlineStr">
        <is>
          <t>No</t>
        </is>
      </c>
      <c r="AQ300" t="inlineStr">
        <is>
          <t>Yes</t>
        </is>
      </c>
      <c r="AR300">
        <f>HYPERLINK("http://catalog.hathitrust.org/Record/000975795","HathiTrust Record")</f>
        <v/>
      </c>
      <c r="AS300">
        <f>HYPERLINK("https://creighton-primo.hosted.exlibrisgroup.com/primo-explore/search?tab=default_tab&amp;search_scope=EVERYTHING&amp;vid=01CRU&amp;lang=en_US&amp;offset=0&amp;query=any,contains,991002015319702656","Catalog Record")</f>
        <v/>
      </c>
      <c r="AT300">
        <f>HYPERLINK("http://www.worldcat.org/oclc/259146","WorldCat Record")</f>
        <v/>
      </c>
      <c r="AU300" t="inlineStr">
        <is>
          <t>1364761:eng</t>
        </is>
      </c>
      <c r="AV300" t="inlineStr">
        <is>
          <t>259146</t>
        </is>
      </c>
      <c r="AW300" t="inlineStr">
        <is>
          <t>991002015319702656</t>
        </is>
      </c>
      <c r="AX300" t="inlineStr">
        <is>
          <t>991002015319702656</t>
        </is>
      </c>
      <c r="AY300" t="inlineStr">
        <is>
          <t>2271357530002656</t>
        </is>
      </c>
      <c r="AZ300" t="inlineStr">
        <is>
          <t>BOOK</t>
        </is>
      </c>
      <c r="BC300" t="inlineStr">
        <is>
          <t>32285003086161</t>
        </is>
      </c>
      <c r="BD300" t="inlineStr">
        <is>
          <t>893615591</t>
        </is>
      </c>
    </row>
    <row r="301">
      <c r="A301" t="inlineStr">
        <is>
          <t>No</t>
        </is>
      </c>
      <c r="B301" t="inlineStr">
        <is>
          <t>HN523.5 .F4 2002</t>
        </is>
      </c>
      <c r="C301" t="inlineStr">
        <is>
          <t>0                      HN 0523500F  4           2002</t>
        </is>
      </c>
      <c r="D301" t="inlineStr">
        <is>
          <t>Fears in post communist societies : a comparative perspective / edited by Vladimir Shlapentokh and Eric Shiraev.</t>
        </is>
      </c>
      <c r="F301" t="inlineStr">
        <is>
          <t>No</t>
        </is>
      </c>
      <c r="G301" t="inlineStr">
        <is>
          <t>1</t>
        </is>
      </c>
      <c r="H301" t="inlineStr">
        <is>
          <t>No</t>
        </is>
      </c>
      <c r="I301" t="inlineStr">
        <is>
          <t>No</t>
        </is>
      </c>
      <c r="J301" t="inlineStr">
        <is>
          <t>0</t>
        </is>
      </c>
      <c r="L301" t="inlineStr">
        <is>
          <t>New York : Palgrave, 2002.</t>
        </is>
      </c>
      <c r="M301" t="inlineStr">
        <is>
          <t>2002</t>
        </is>
      </c>
      <c r="N301" t="inlineStr">
        <is>
          <t>1st ed.</t>
        </is>
      </c>
      <c r="O301" t="inlineStr">
        <is>
          <t>eng</t>
        </is>
      </c>
      <c r="P301" t="inlineStr">
        <is>
          <t>nyu</t>
        </is>
      </c>
      <c r="R301" t="inlineStr">
        <is>
          <t xml:space="preserve">HN </t>
        </is>
      </c>
      <c r="S301" t="n">
        <v>3</v>
      </c>
      <c r="T301" t="n">
        <v>3</v>
      </c>
      <c r="U301" t="inlineStr">
        <is>
          <t>2007-08-21</t>
        </is>
      </c>
      <c r="V301" t="inlineStr">
        <is>
          <t>2007-08-21</t>
        </is>
      </c>
      <c r="W301" t="inlineStr">
        <is>
          <t>2003-03-19</t>
        </is>
      </c>
      <c r="X301" t="inlineStr">
        <is>
          <t>2003-03-19</t>
        </is>
      </c>
      <c r="Y301" t="n">
        <v>212</v>
      </c>
      <c r="Z301" t="n">
        <v>163</v>
      </c>
      <c r="AA301" t="n">
        <v>163</v>
      </c>
      <c r="AB301" t="n">
        <v>2</v>
      </c>
      <c r="AC301" t="n">
        <v>2</v>
      </c>
      <c r="AD301" t="n">
        <v>8</v>
      </c>
      <c r="AE301" t="n">
        <v>8</v>
      </c>
      <c r="AF301" t="n">
        <v>0</v>
      </c>
      <c r="AG301" t="n">
        <v>0</v>
      </c>
      <c r="AH301" t="n">
        <v>3</v>
      </c>
      <c r="AI301" t="n">
        <v>3</v>
      </c>
      <c r="AJ301" t="n">
        <v>6</v>
      </c>
      <c r="AK301" t="n">
        <v>6</v>
      </c>
      <c r="AL301" t="n">
        <v>1</v>
      </c>
      <c r="AM301" t="n">
        <v>1</v>
      </c>
      <c r="AN301" t="n">
        <v>0</v>
      </c>
      <c r="AO301" t="n">
        <v>0</v>
      </c>
      <c r="AP301" t="inlineStr">
        <is>
          <t>No</t>
        </is>
      </c>
      <c r="AQ301" t="inlineStr">
        <is>
          <t>No</t>
        </is>
      </c>
      <c r="AS301">
        <f>HYPERLINK("https://creighton-primo.hosted.exlibrisgroup.com/primo-explore/search?tab=default_tab&amp;search_scope=EVERYTHING&amp;vid=01CRU&amp;lang=en_US&amp;offset=0&amp;query=any,contains,991003991259702656","Catalog Record")</f>
        <v/>
      </c>
      <c r="AT301">
        <f>HYPERLINK("http://www.worldcat.org/oclc/47869951","WorldCat Record")</f>
        <v/>
      </c>
      <c r="AU301" t="inlineStr">
        <is>
          <t>795386269:eng</t>
        </is>
      </c>
      <c r="AV301" t="inlineStr">
        <is>
          <t>47869951</t>
        </is>
      </c>
      <c r="AW301" t="inlineStr">
        <is>
          <t>991003991259702656</t>
        </is>
      </c>
      <c r="AX301" t="inlineStr">
        <is>
          <t>991003991259702656</t>
        </is>
      </c>
      <c r="AY301" t="inlineStr">
        <is>
          <t>2269849520002656</t>
        </is>
      </c>
      <c r="AZ301" t="inlineStr">
        <is>
          <t>BOOK</t>
        </is>
      </c>
      <c r="BB301" t="inlineStr">
        <is>
          <t>9780312293543</t>
        </is>
      </c>
      <c r="BC301" t="inlineStr">
        <is>
          <t>32285004685482</t>
        </is>
      </c>
      <c r="BD301" t="inlineStr">
        <is>
          <t>893712026</t>
        </is>
      </c>
    </row>
    <row r="302">
      <c r="A302" t="inlineStr">
        <is>
          <t>No</t>
        </is>
      </c>
      <c r="B302" t="inlineStr">
        <is>
          <t>HN523.5 .I913 1975b</t>
        </is>
      </c>
      <c r="C302" t="inlineStr">
        <is>
          <t>0                      HN 0523500I  913         1975b</t>
        </is>
      </c>
      <c r="D302" t="inlineStr">
        <is>
          <t>From under the rubble / by Alexander Solzhenitsyn ... [et al.] : translated by A.M. Brock ... [et al.] under the direction of Michael Scammell ; with an introd. by Max Hayward.</t>
        </is>
      </c>
      <c r="F302" t="inlineStr">
        <is>
          <t>No</t>
        </is>
      </c>
      <c r="G302" t="inlineStr">
        <is>
          <t>1</t>
        </is>
      </c>
      <c r="H302" t="inlineStr">
        <is>
          <t>No</t>
        </is>
      </c>
      <c r="I302" t="inlineStr">
        <is>
          <t>No</t>
        </is>
      </c>
      <c r="J302" t="inlineStr">
        <is>
          <t>0</t>
        </is>
      </c>
      <c r="K302" t="inlineStr">
        <is>
          <t>Solzhenit͡syn, Aleksandr Isaevich, 1918-2008. Iz pod glyb. English.</t>
        </is>
      </c>
      <c r="L302" t="inlineStr">
        <is>
          <t>Boston : Little, Brown, [1975]</t>
        </is>
      </c>
      <c r="M302" t="inlineStr">
        <is>
          <t>1975</t>
        </is>
      </c>
      <c r="N302" t="inlineStr">
        <is>
          <t>1st English language ed.</t>
        </is>
      </c>
      <c r="O302" t="inlineStr">
        <is>
          <t>eng</t>
        </is>
      </c>
      <c r="P302" t="inlineStr">
        <is>
          <t>mau</t>
        </is>
      </c>
      <c r="R302" t="inlineStr">
        <is>
          <t xml:space="preserve">HN </t>
        </is>
      </c>
      <c r="S302" t="n">
        <v>1</v>
      </c>
      <c r="T302" t="n">
        <v>1</v>
      </c>
      <c r="U302" t="inlineStr">
        <is>
          <t>2002-11-08</t>
        </is>
      </c>
      <c r="V302" t="inlineStr">
        <is>
          <t>2002-11-08</t>
        </is>
      </c>
      <c r="W302" t="inlineStr">
        <is>
          <t>1997-08-07</t>
        </is>
      </c>
      <c r="X302" t="inlineStr">
        <is>
          <t>1997-08-07</t>
        </is>
      </c>
      <c r="Y302" t="n">
        <v>1501</v>
      </c>
      <c r="Z302" t="n">
        <v>1395</v>
      </c>
      <c r="AA302" t="n">
        <v>1440</v>
      </c>
      <c r="AB302" t="n">
        <v>11</v>
      </c>
      <c r="AC302" t="n">
        <v>11</v>
      </c>
      <c r="AD302" t="n">
        <v>41</v>
      </c>
      <c r="AE302" t="n">
        <v>42</v>
      </c>
      <c r="AF302" t="n">
        <v>14</v>
      </c>
      <c r="AG302" t="n">
        <v>14</v>
      </c>
      <c r="AH302" t="n">
        <v>9</v>
      </c>
      <c r="AI302" t="n">
        <v>10</v>
      </c>
      <c r="AJ302" t="n">
        <v>20</v>
      </c>
      <c r="AK302" t="n">
        <v>21</v>
      </c>
      <c r="AL302" t="n">
        <v>7</v>
      </c>
      <c r="AM302" t="n">
        <v>7</v>
      </c>
      <c r="AN302" t="n">
        <v>0</v>
      </c>
      <c r="AO302" t="n">
        <v>0</v>
      </c>
      <c r="AP302" t="inlineStr">
        <is>
          <t>No</t>
        </is>
      </c>
      <c r="AQ302" t="inlineStr">
        <is>
          <t>No</t>
        </is>
      </c>
      <c r="AS302">
        <f>HYPERLINK("https://creighton-primo.hosted.exlibrisgroup.com/primo-explore/search?tab=default_tab&amp;search_scope=EVERYTHING&amp;vid=01CRU&amp;lang=en_US&amp;offset=0&amp;query=any,contains,991003662649702656","Catalog Record")</f>
        <v/>
      </c>
      <c r="AT302">
        <f>HYPERLINK("http://www.worldcat.org/oclc/1273457","WorldCat Record")</f>
        <v/>
      </c>
      <c r="AU302" t="inlineStr">
        <is>
          <t>350768015:eng</t>
        </is>
      </c>
      <c r="AV302" t="inlineStr">
        <is>
          <t>1273457</t>
        </is>
      </c>
      <c r="AW302" t="inlineStr">
        <is>
          <t>991003662649702656</t>
        </is>
      </c>
      <c r="AX302" t="inlineStr">
        <is>
          <t>991003662649702656</t>
        </is>
      </c>
      <c r="AY302" t="inlineStr">
        <is>
          <t>2267762940002656</t>
        </is>
      </c>
      <c r="AZ302" t="inlineStr">
        <is>
          <t>BOOK</t>
        </is>
      </c>
      <c r="BB302" t="inlineStr">
        <is>
          <t>9780316803724</t>
        </is>
      </c>
      <c r="BC302" t="inlineStr">
        <is>
          <t>32285003086179</t>
        </is>
      </c>
      <c r="BD302" t="inlineStr">
        <is>
          <t>893692981</t>
        </is>
      </c>
    </row>
    <row r="303">
      <c r="A303" t="inlineStr">
        <is>
          <t>No</t>
        </is>
      </c>
      <c r="B303" t="inlineStr">
        <is>
          <t>HN523.5 .S434 1989</t>
        </is>
      </c>
      <c r="C303" t="inlineStr">
        <is>
          <t>0                      HN 0523500S  434         1989</t>
        </is>
      </c>
      <c r="D303" t="inlineStr">
        <is>
          <t>Public and private life of the Soviet people : changing values in post-Stalin Russia / by Vladimir Shlapentokh.</t>
        </is>
      </c>
      <c r="F303" t="inlineStr">
        <is>
          <t>No</t>
        </is>
      </c>
      <c r="G303" t="inlineStr">
        <is>
          <t>1</t>
        </is>
      </c>
      <c r="H303" t="inlineStr">
        <is>
          <t>No</t>
        </is>
      </c>
      <c r="I303" t="inlineStr">
        <is>
          <t>No</t>
        </is>
      </c>
      <c r="J303" t="inlineStr">
        <is>
          <t>0</t>
        </is>
      </c>
      <c r="K303" t="inlineStr">
        <is>
          <t>Shlapentokh, Vladimir.</t>
        </is>
      </c>
      <c r="L303" t="inlineStr">
        <is>
          <t>New York : Oxford University Press, 1989.</t>
        </is>
      </c>
      <c r="M303" t="inlineStr">
        <is>
          <t>1989</t>
        </is>
      </c>
      <c r="O303" t="inlineStr">
        <is>
          <t>eng</t>
        </is>
      </c>
      <c r="P303" t="inlineStr">
        <is>
          <t>nyu</t>
        </is>
      </c>
      <c r="R303" t="inlineStr">
        <is>
          <t xml:space="preserve">HN </t>
        </is>
      </c>
      <c r="S303" t="n">
        <v>2</v>
      </c>
      <c r="T303" t="n">
        <v>2</v>
      </c>
      <c r="U303" t="inlineStr">
        <is>
          <t>1997-11-20</t>
        </is>
      </c>
      <c r="V303" t="inlineStr">
        <is>
          <t>1997-11-20</t>
        </is>
      </c>
      <c r="W303" t="inlineStr">
        <is>
          <t>1989-10-23</t>
        </is>
      </c>
      <c r="X303" t="inlineStr">
        <is>
          <t>1989-10-23</t>
        </is>
      </c>
      <c r="Y303" t="n">
        <v>594</v>
      </c>
      <c r="Z303" t="n">
        <v>461</v>
      </c>
      <c r="AA303" t="n">
        <v>462</v>
      </c>
      <c r="AB303" t="n">
        <v>3</v>
      </c>
      <c r="AC303" t="n">
        <v>3</v>
      </c>
      <c r="AD303" t="n">
        <v>23</v>
      </c>
      <c r="AE303" t="n">
        <v>23</v>
      </c>
      <c r="AF303" t="n">
        <v>9</v>
      </c>
      <c r="AG303" t="n">
        <v>9</v>
      </c>
      <c r="AH303" t="n">
        <v>7</v>
      </c>
      <c r="AI303" t="n">
        <v>7</v>
      </c>
      <c r="AJ303" t="n">
        <v>10</v>
      </c>
      <c r="AK303" t="n">
        <v>10</v>
      </c>
      <c r="AL303" t="n">
        <v>2</v>
      </c>
      <c r="AM303" t="n">
        <v>2</v>
      </c>
      <c r="AN303" t="n">
        <v>0</v>
      </c>
      <c r="AO303" t="n">
        <v>0</v>
      </c>
      <c r="AP303" t="inlineStr">
        <is>
          <t>No</t>
        </is>
      </c>
      <c r="AQ303" t="inlineStr">
        <is>
          <t>No</t>
        </is>
      </c>
      <c r="AS303">
        <f>HYPERLINK("https://creighton-primo.hosted.exlibrisgroup.com/primo-explore/search?tab=default_tab&amp;search_scope=EVERYTHING&amp;vid=01CRU&amp;lang=en_US&amp;offset=0&amp;query=any,contains,991001203139702656","Catalog Record")</f>
        <v/>
      </c>
      <c r="AT303">
        <f>HYPERLINK("http://www.worldcat.org/oclc/17327089","WorldCat Record")</f>
        <v/>
      </c>
      <c r="AU303" t="inlineStr">
        <is>
          <t>795476058:eng</t>
        </is>
      </c>
      <c r="AV303" t="inlineStr">
        <is>
          <t>17327089</t>
        </is>
      </c>
      <c r="AW303" t="inlineStr">
        <is>
          <t>991001203139702656</t>
        </is>
      </c>
      <c r="AX303" t="inlineStr">
        <is>
          <t>991001203139702656</t>
        </is>
      </c>
      <c r="AY303" t="inlineStr">
        <is>
          <t>2261637750002656</t>
        </is>
      </c>
      <c r="AZ303" t="inlineStr">
        <is>
          <t>BOOK</t>
        </is>
      </c>
      <c r="BB303" t="inlineStr">
        <is>
          <t>9780195042665</t>
        </is>
      </c>
      <c r="BC303" t="inlineStr">
        <is>
          <t>32285000003797</t>
        </is>
      </c>
      <c r="BD303" t="inlineStr">
        <is>
          <t>893250051</t>
        </is>
      </c>
    </row>
    <row r="304">
      <c r="A304" t="inlineStr">
        <is>
          <t>No</t>
        </is>
      </c>
      <c r="B304" t="inlineStr">
        <is>
          <t>HN523.5 .S573 1994</t>
        </is>
      </c>
      <c r="C304" t="inlineStr">
        <is>
          <t>0                      HN 0523500S  573         1994</t>
        </is>
      </c>
      <c r="D304" t="inlineStr">
        <is>
          <t>The social legacy of communism / edited by James R. Millar and Sharon L. Wolchik.</t>
        </is>
      </c>
      <c r="F304" t="inlineStr">
        <is>
          <t>No</t>
        </is>
      </c>
      <c r="G304" t="inlineStr">
        <is>
          <t>1</t>
        </is>
      </c>
      <c r="H304" t="inlineStr">
        <is>
          <t>No</t>
        </is>
      </c>
      <c r="I304" t="inlineStr">
        <is>
          <t>No</t>
        </is>
      </c>
      <c r="J304" t="inlineStr">
        <is>
          <t>0</t>
        </is>
      </c>
      <c r="L304" t="inlineStr">
        <is>
          <t>[Washington, D.C.] : Woodrow Wilson Center Press ; Cambridge [England] ; New York : Cambridge University Press, 1994.</t>
        </is>
      </c>
      <c r="M304" t="inlineStr">
        <is>
          <t>1994</t>
        </is>
      </c>
      <c r="O304" t="inlineStr">
        <is>
          <t>eng</t>
        </is>
      </c>
      <c r="P304" t="inlineStr">
        <is>
          <t>dcu</t>
        </is>
      </c>
      <c r="Q304" t="inlineStr">
        <is>
          <t>Woodrow Wilson Center series</t>
        </is>
      </c>
      <c r="R304" t="inlineStr">
        <is>
          <t xml:space="preserve">HN </t>
        </is>
      </c>
      <c r="S304" t="n">
        <v>16</v>
      </c>
      <c r="T304" t="n">
        <v>16</v>
      </c>
      <c r="U304" t="inlineStr">
        <is>
          <t>1999-12-01</t>
        </is>
      </c>
      <c r="V304" t="inlineStr">
        <is>
          <t>1999-12-01</t>
        </is>
      </c>
      <c r="W304" t="inlineStr">
        <is>
          <t>1996-02-20</t>
        </is>
      </c>
      <c r="X304" t="inlineStr">
        <is>
          <t>1996-02-20</t>
        </is>
      </c>
      <c r="Y304" t="n">
        <v>420</v>
      </c>
      <c r="Z304" t="n">
        <v>300</v>
      </c>
      <c r="AA304" t="n">
        <v>300</v>
      </c>
      <c r="AB304" t="n">
        <v>3</v>
      </c>
      <c r="AC304" t="n">
        <v>3</v>
      </c>
      <c r="AD304" t="n">
        <v>19</v>
      </c>
      <c r="AE304" t="n">
        <v>19</v>
      </c>
      <c r="AF304" t="n">
        <v>7</v>
      </c>
      <c r="AG304" t="n">
        <v>7</v>
      </c>
      <c r="AH304" t="n">
        <v>7</v>
      </c>
      <c r="AI304" t="n">
        <v>7</v>
      </c>
      <c r="AJ304" t="n">
        <v>10</v>
      </c>
      <c r="AK304" t="n">
        <v>10</v>
      </c>
      <c r="AL304" t="n">
        <v>2</v>
      </c>
      <c r="AM304" t="n">
        <v>2</v>
      </c>
      <c r="AN304" t="n">
        <v>0</v>
      </c>
      <c r="AO304" t="n">
        <v>0</v>
      </c>
      <c r="AP304" t="inlineStr">
        <is>
          <t>No</t>
        </is>
      </c>
      <c r="AQ304" t="inlineStr">
        <is>
          <t>No</t>
        </is>
      </c>
      <c r="AS304">
        <f>HYPERLINK("https://creighton-primo.hosted.exlibrisgroup.com/primo-explore/search?tab=default_tab&amp;search_scope=EVERYTHING&amp;vid=01CRU&amp;lang=en_US&amp;offset=0&amp;query=any,contains,991002291099702656","Catalog Record")</f>
        <v/>
      </c>
      <c r="AT304">
        <f>HYPERLINK("http://www.worldcat.org/oclc/29702284","WorldCat Record")</f>
        <v/>
      </c>
      <c r="AU304" t="inlineStr">
        <is>
          <t>480709516:eng</t>
        </is>
      </c>
      <c r="AV304" t="inlineStr">
        <is>
          <t>29702284</t>
        </is>
      </c>
      <c r="AW304" t="inlineStr">
        <is>
          <t>991002291099702656</t>
        </is>
      </c>
      <c r="AX304" t="inlineStr">
        <is>
          <t>991002291099702656</t>
        </is>
      </c>
      <c r="AY304" t="inlineStr">
        <is>
          <t>2261307510002656</t>
        </is>
      </c>
      <c r="AZ304" t="inlineStr">
        <is>
          <t>BOOK</t>
        </is>
      </c>
      <c r="BB304" t="inlineStr">
        <is>
          <t>9780521461825</t>
        </is>
      </c>
      <c r="BC304" t="inlineStr">
        <is>
          <t>32285002136777</t>
        </is>
      </c>
      <c r="BD304" t="inlineStr">
        <is>
          <t>893898577</t>
        </is>
      </c>
    </row>
    <row r="305">
      <c r="A305" t="inlineStr">
        <is>
          <t>No</t>
        </is>
      </c>
      <c r="B305" t="inlineStr">
        <is>
          <t>HN526 .P66 1965</t>
        </is>
      </c>
      <c r="C305" t="inlineStr">
        <is>
          <t>0                      HN 0526000P  66          1965</t>
        </is>
      </c>
      <c r="D305" t="inlineStr">
        <is>
          <t>Reflections of a Russian statesman [by] Konstantin P. Pobedonstsev [Translated from the Russian by Robert Crozier Long.</t>
        </is>
      </c>
      <c r="F305" t="inlineStr">
        <is>
          <t>No</t>
        </is>
      </c>
      <c r="G305" t="inlineStr">
        <is>
          <t>1</t>
        </is>
      </c>
      <c r="H305" t="inlineStr">
        <is>
          <t>No</t>
        </is>
      </c>
      <c r="I305" t="inlineStr">
        <is>
          <t>No</t>
        </is>
      </c>
      <c r="J305" t="inlineStr">
        <is>
          <t>0</t>
        </is>
      </c>
      <c r="K305" t="inlineStr">
        <is>
          <t>Pobedonost︠s︡ev, Konstantin Petrovich, 1827-1907.</t>
        </is>
      </c>
      <c r="L305" t="inlineStr">
        <is>
          <t>Ann Arbor] University of Michigan Press [1965]</t>
        </is>
      </c>
      <c r="M305" t="inlineStr">
        <is>
          <t>1965</t>
        </is>
      </c>
      <c r="O305" t="inlineStr">
        <is>
          <t>eng</t>
        </is>
      </c>
      <c r="P305" t="inlineStr">
        <is>
          <t>miu</t>
        </is>
      </c>
      <c r="Q305" t="inlineStr">
        <is>
          <t>Ann Arbor paperbacks ; AA104</t>
        </is>
      </c>
      <c r="R305" t="inlineStr">
        <is>
          <t xml:space="preserve">HN </t>
        </is>
      </c>
      <c r="S305" t="n">
        <v>1</v>
      </c>
      <c r="T305" t="n">
        <v>1</v>
      </c>
      <c r="U305" t="inlineStr">
        <is>
          <t>2002-04-22</t>
        </is>
      </c>
      <c r="V305" t="inlineStr">
        <is>
          <t>2002-04-22</t>
        </is>
      </c>
      <c r="W305" t="inlineStr">
        <is>
          <t>1997-08-07</t>
        </is>
      </c>
      <c r="X305" t="inlineStr">
        <is>
          <t>1997-08-07</t>
        </is>
      </c>
      <c r="Y305" t="n">
        <v>571</v>
      </c>
      <c r="Z305" t="n">
        <v>492</v>
      </c>
      <c r="AA305" t="n">
        <v>510</v>
      </c>
      <c r="AB305" t="n">
        <v>4</v>
      </c>
      <c r="AC305" t="n">
        <v>4</v>
      </c>
      <c r="AD305" t="n">
        <v>33</v>
      </c>
      <c r="AE305" t="n">
        <v>33</v>
      </c>
      <c r="AF305" t="n">
        <v>13</v>
      </c>
      <c r="AG305" t="n">
        <v>13</v>
      </c>
      <c r="AH305" t="n">
        <v>8</v>
      </c>
      <c r="AI305" t="n">
        <v>8</v>
      </c>
      <c r="AJ305" t="n">
        <v>17</v>
      </c>
      <c r="AK305" t="n">
        <v>17</v>
      </c>
      <c r="AL305" t="n">
        <v>2</v>
      </c>
      <c r="AM305" t="n">
        <v>2</v>
      </c>
      <c r="AN305" t="n">
        <v>1</v>
      </c>
      <c r="AO305" t="n">
        <v>1</v>
      </c>
      <c r="AP305" t="inlineStr">
        <is>
          <t>No</t>
        </is>
      </c>
      <c r="AQ305" t="inlineStr">
        <is>
          <t>Yes</t>
        </is>
      </c>
      <c r="AR305">
        <f>HYPERLINK("http://catalog.hathitrust.org/Record/001601438","HathiTrust Record")</f>
        <v/>
      </c>
      <c r="AS305">
        <f>HYPERLINK("https://creighton-primo.hosted.exlibrisgroup.com/primo-explore/search?tab=default_tab&amp;search_scope=EVERYTHING&amp;vid=01CRU&amp;lang=en_US&amp;offset=0&amp;query=any,contains,991002033939702656","Catalog Record")</f>
        <v/>
      </c>
      <c r="AT305">
        <f>HYPERLINK("http://www.worldcat.org/oclc/260352","WorldCat Record")</f>
        <v/>
      </c>
      <c r="AU305" t="inlineStr">
        <is>
          <t>8910158313:eng</t>
        </is>
      </c>
      <c r="AV305" t="inlineStr">
        <is>
          <t>260352</t>
        </is>
      </c>
      <c r="AW305" t="inlineStr">
        <is>
          <t>991002033939702656</t>
        </is>
      </c>
      <c r="AX305" t="inlineStr">
        <is>
          <t>991002033939702656</t>
        </is>
      </c>
      <c r="AY305" t="inlineStr">
        <is>
          <t>2262553510002656</t>
        </is>
      </c>
      <c r="AZ305" t="inlineStr">
        <is>
          <t>BOOK</t>
        </is>
      </c>
      <c r="BC305" t="inlineStr">
        <is>
          <t>32285003086195</t>
        </is>
      </c>
      <c r="BD305" t="inlineStr">
        <is>
          <t>893523107</t>
        </is>
      </c>
    </row>
    <row r="306">
      <c r="A306" t="inlineStr">
        <is>
          <t>No</t>
        </is>
      </c>
      <c r="B306" t="inlineStr">
        <is>
          <t>HN530.2.A8 A53 1994</t>
        </is>
      </c>
      <c r="C306" t="inlineStr">
        <is>
          <t>0                      HN 0530200A  8                  A  53          1994</t>
        </is>
      </c>
      <c r="D306" t="inlineStr">
        <is>
          <t>A social history of twentieth-century Russia / Vladimir Andrle.</t>
        </is>
      </c>
      <c r="F306" t="inlineStr">
        <is>
          <t>No</t>
        </is>
      </c>
      <c r="G306" t="inlineStr">
        <is>
          <t>1</t>
        </is>
      </c>
      <c r="H306" t="inlineStr">
        <is>
          <t>No</t>
        </is>
      </c>
      <c r="I306" t="inlineStr">
        <is>
          <t>No</t>
        </is>
      </c>
      <c r="J306" t="inlineStr">
        <is>
          <t>0</t>
        </is>
      </c>
      <c r="K306" t="inlineStr">
        <is>
          <t>Andrle, Vladimir.</t>
        </is>
      </c>
      <c r="L306" t="inlineStr">
        <is>
          <t>London ; New York : Edward Arnold : Distributed in the USA by Routledge, Chapman and Hall, 1994.</t>
        </is>
      </c>
      <c r="M306" t="inlineStr">
        <is>
          <t>1994</t>
        </is>
      </c>
      <c r="O306" t="inlineStr">
        <is>
          <t>eng</t>
        </is>
      </c>
      <c r="P306" t="inlineStr">
        <is>
          <t>enk</t>
        </is>
      </c>
      <c r="R306" t="inlineStr">
        <is>
          <t xml:space="preserve">HN </t>
        </is>
      </c>
      <c r="S306" t="n">
        <v>3</v>
      </c>
      <c r="T306" t="n">
        <v>3</v>
      </c>
      <c r="U306" t="inlineStr">
        <is>
          <t>1998-04-06</t>
        </is>
      </c>
      <c r="V306" t="inlineStr">
        <is>
          <t>1998-04-06</t>
        </is>
      </c>
      <c r="W306" t="inlineStr">
        <is>
          <t>1996-04-25</t>
        </is>
      </c>
      <c r="X306" t="inlineStr">
        <is>
          <t>1996-04-25</t>
        </is>
      </c>
      <c r="Y306" t="n">
        <v>379</v>
      </c>
      <c r="Z306" t="n">
        <v>231</v>
      </c>
      <c r="AA306" t="n">
        <v>240</v>
      </c>
      <c r="AB306" t="n">
        <v>2</v>
      </c>
      <c r="AC306" t="n">
        <v>2</v>
      </c>
      <c r="AD306" t="n">
        <v>9</v>
      </c>
      <c r="AE306" t="n">
        <v>9</v>
      </c>
      <c r="AF306" t="n">
        <v>3</v>
      </c>
      <c r="AG306" t="n">
        <v>3</v>
      </c>
      <c r="AH306" t="n">
        <v>5</v>
      </c>
      <c r="AI306" t="n">
        <v>5</v>
      </c>
      <c r="AJ306" t="n">
        <v>5</v>
      </c>
      <c r="AK306" t="n">
        <v>5</v>
      </c>
      <c r="AL306" t="n">
        <v>1</v>
      </c>
      <c r="AM306" t="n">
        <v>1</v>
      </c>
      <c r="AN306" t="n">
        <v>0</v>
      </c>
      <c r="AO306" t="n">
        <v>0</v>
      </c>
      <c r="AP306" t="inlineStr">
        <is>
          <t>No</t>
        </is>
      </c>
      <c r="AQ306" t="inlineStr">
        <is>
          <t>No</t>
        </is>
      </c>
      <c r="AS306">
        <f>HYPERLINK("https://creighton-primo.hosted.exlibrisgroup.com/primo-explore/search?tab=default_tab&amp;search_scope=EVERYTHING&amp;vid=01CRU&amp;lang=en_US&amp;offset=0&amp;query=any,contains,991002436729702656","Catalog Record")</f>
        <v/>
      </c>
      <c r="AT306">
        <f>HYPERLINK("http://www.worldcat.org/oclc/31754712","WorldCat Record")</f>
        <v/>
      </c>
      <c r="AU306" t="inlineStr">
        <is>
          <t>33614355:eng</t>
        </is>
      </c>
      <c r="AV306" t="inlineStr">
        <is>
          <t>31754712</t>
        </is>
      </c>
      <c r="AW306" t="inlineStr">
        <is>
          <t>991002436729702656</t>
        </is>
      </c>
      <c r="AX306" t="inlineStr">
        <is>
          <t>991002436729702656</t>
        </is>
      </c>
      <c r="AY306" t="inlineStr">
        <is>
          <t>2270961390002656</t>
        </is>
      </c>
      <c r="AZ306" t="inlineStr">
        <is>
          <t>BOOK</t>
        </is>
      </c>
      <c r="BB306" t="inlineStr">
        <is>
          <t>9780340525159</t>
        </is>
      </c>
      <c r="BC306" t="inlineStr">
        <is>
          <t>32285002157658</t>
        </is>
      </c>
      <c r="BD306" t="inlineStr">
        <is>
          <t>893597455</t>
        </is>
      </c>
    </row>
    <row r="307">
      <c r="A307" t="inlineStr">
        <is>
          <t>No</t>
        </is>
      </c>
      <c r="B307" t="inlineStr">
        <is>
          <t>HN530.2.A8 B79 2001</t>
        </is>
      </c>
      <c r="C307" t="inlineStr">
        <is>
          <t>0                      HN 0530200A  8                  B  79          2001</t>
        </is>
      </c>
      <c r="D307" t="inlineStr">
        <is>
          <t>Casino Moscow : a tale of greed and adventure on capitalism's wildest frontier / Matthew Brzezinski.</t>
        </is>
      </c>
      <c r="F307" t="inlineStr">
        <is>
          <t>No</t>
        </is>
      </c>
      <c r="G307" t="inlineStr">
        <is>
          <t>1</t>
        </is>
      </c>
      <c r="H307" t="inlineStr">
        <is>
          <t>No</t>
        </is>
      </c>
      <c r="I307" t="inlineStr">
        <is>
          <t>No</t>
        </is>
      </c>
      <c r="J307" t="inlineStr">
        <is>
          <t>0</t>
        </is>
      </c>
      <c r="K307" t="inlineStr">
        <is>
          <t>Brzezinski, Matthew, 1965-</t>
        </is>
      </c>
      <c r="L307" t="inlineStr">
        <is>
          <t>New York : Free Press, c2001.</t>
        </is>
      </c>
      <c r="M307" t="inlineStr">
        <is>
          <t>2001</t>
        </is>
      </c>
      <c r="O307" t="inlineStr">
        <is>
          <t>eng</t>
        </is>
      </c>
      <c r="P307" t="inlineStr">
        <is>
          <t>nyu</t>
        </is>
      </c>
      <c r="R307" t="inlineStr">
        <is>
          <t xml:space="preserve">HN </t>
        </is>
      </c>
      <c r="S307" t="n">
        <v>1</v>
      </c>
      <c r="T307" t="n">
        <v>1</v>
      </c>
      <c r="U307" t="inlineStr">
        <is>
          <t>2001-07-10</t>
        </is>
      </c>
      <c r="V307" t="inlineStr">
        <is>
          <t>2001-07-10</t>
        </is>
      </c>
      <c r="W307" t="inlineStr">
        <is>
          <t>2001-07-10</t>
        </is>
      </c>
      <c r="X307" t="inlineStr">
        <is>
          <t>2001-07-10</t>
        </is>
      </c>
      <c r="Y307" t="n">
        <v>435</v>
      </c>
      <c r="Z307" t="n">
        <v>393</v>
      </c>
      <c r="AA307" t="n">
        <v>423</v>
      </c>
      <c r="AB307" t="n">
        <v>5</v>
      </c>
      <c r="AC307" t="n">
        <v>5</v>
      </c>
      <c r="AD307" t="n">
        <v>14</v>
      </c>
      <c r="AE307" t="n">
        <v>14</v>
      </c>
      <c r="AF307" t="n">
        <v>4</v>
      </c>
      <c r="AG307" t="n">
        <v>4</v>
      </c>
      <c r="AH307" t="n">
        <v>2</v>
      </c>
      <c r="AI307" t="n">
        <v>2</v>
      </c>
      <c r="AJ307" t="n">
        <v>9</v>
      </c>
      <c r="AK307" t="n">
        <v>9</v>
      </c>
      <c r="AL307" t="n">
        <v>3</v>
      </c>
      <c r="AM307" t="n">
        <v>3</v>
      </c>
      <c r="AN307" t="n">
        <v>0</v>
      </c>
      <c r="AO307" t="n">
        <v>0</v>
      </c>
      <c r="AP307" t="inlineStr">
        <is>
          <t>No</t>
        </is>
      </c>
      <c r="AQ307" t="inlineStr">
        <is>
          <t>No</t>
        </is>
      </c>
      <c r="AS307">
        <f>HYPERLINK("https://creighton-primo.hosted.exlibrisgroup.com/primo-explore/search?tab=default_tab&amp;search_scope=EVERYTHING&amp;vid=01CRU&amp;lang=en_US&amp;offset=0&amp;query=any,contains,991003557639702656","Catalog Record")</f>
        <v/>
      </c>
      <c r="AT307">
        <f>HYPERLINK("http://www.worldcat.org/oclc/46822371","WorldCat Record")</f>
        <v/>
      </c>
      <c r="AU307" t="inlineStr">
        <is>
          <t>56670455:eng</t>
        </is>
      </c>
      <c r="AV307" t="inlineStr">
        <is>
          <t>46822371</t>
        </is>
      </c>
      <c r="AW307" t="inlineStr">
        <is>
          <t>991003557639702656</t>
        </is>
      </c>
      <c r="AX307" t="inlineStr">
        <is>
          <t>991003557639702656</t>
        </is>
      </c>
      <c r="AY307" t="inlineStr">
        <is>
          <t>2260819250002656</t>
        </is>
      </c>
      <c r="AZ307" t="inlineStr">
        <is>
          <t>BOOK</t>
        </is>
      </c>
      <c r="BB307" t="inlineStr">
        <is>
          <t>9780684869766</t>
        </is>
      </c>
      <c r="BC307" t="inlineStr">
        <is>
          <t>32285004330915</t>
        </is>
      </c>
      <c r="BD307" t="inlineStr">
        <is>
          <t>893416510</t>
        </is>
      </c>
    </row>
    <row r="308">
      <c r="A308" t="inlineStr">
        <is>
          <t>No</t>
        </is>
      </c>
      <c r="B308" t="inlineStr">
        <is>
          <t>HN530.2.A8 R868 1999</t>
        </is>
      </c>
      <c r="C308" t="inlineStr">
        <is>
          <t>0                      HN 0530200A  8                  R  868         1999</t>
        </is>
      </c>
      <c r="D308" t="inlineStr">
        <is>
          <t>The Russian transformation : political, sociological, and psychological aspects / edited by Betty Glad and Eric Shiraev.</t>
        </is>
      </c>
      <c r="F308" t="inlineStr">
        <is>
          <t>No</t>
        </is>
      </c>
      <c r="G308" t="inlineStr">
        <is>
          <t>1</t>
        </is>
      </c>
      <c r="H308" t="inlineStr">
        <is>
          <t>No</t>
        </is>
      </c>
      <c r="I308" t="inlineStr">
        <is>
          <t>No</t>
        </is>
      </c>
      <c r="J308" t="inlineStr">
        <is>
          <t>0</t>
        </is>
      </c>
      <c r="L308" t="inlineStr">
        <is>
          <t>New York : St. Martin's Press, 1999.</t>
        </is>
      </c>
      <c r="M308" t="inlineStr">
        <is>
          <t>1999</t>
        </is>
      </c>
      <c r="O308" t="inlineStr">
        <is>
          <t>eng</t>
        </is>
      </c>
      <c r="P308" t="inlineStr">
        <is>
          <t>nyu</t>
        </is>
      </c>
      <c r="R308" t="inlineStr">
        <is>
          <t xml:space="preserve">HN </t>
        </is>
      </c>
      <c r="S308" t="n">
        <v>3</v>
      </c>
      <c r="T308" t="n">
        <v>3</v>
      </c>
      <c r="U308" t="inlineStr">
        <is>
          <t>2009-09-25</t>
        </is>
      </c>
      <c r="V308" t="inlineStr">
        <is>
          <t>2009-09-25</t>
        </is>
      </c>
      <c r="W308" t="inlineStr">
        <is>
          <t>2001-01-17</t>
        </is>
      </c>
      <c r="X308" t="inlineStr">
        <is>
          <t>2001-01-17</t>
        </is>
      </c>
      <c r="Y308" t="n">
        <v>346</v>
      </c>
      <c r="Z308" t="n">
        <v>294</v>
      </c>
      <c r="AA308" t="n">
        <v>300</v>
      </c>
      <c r="AB308" t="n">
        <v>3</v>
      </c>
      <c r="AC308" t="n">
        <v>3</v>
      </c>
      <c r="AD308" t="n">
        <v>15</v>
      </c>
      <c r="AE308" t="n">
        <v>15</v>
      </c>
      <c r="AF308" t="n">
        <v>3</v>
      </c>
      <c r="AG308" t="n">
        <v>3</v>
      </c>
      <c r="AH308" t="n">
        <v>4</v>
      </c>
      <c r="AI308" t="n">
        <v>4</v>
      </c>
      <c r="AJ308" t="n">
        <v>9</v>
      </c>
      <c r="AK308" t="n">
        <v>9</v>
      </c>
      <c r="AL308" t="n">
        <v>2</v>
      </c>
      <c r="AM308" t="n">
        <v>2</v>
      </c>
      <c r="AN308" t="n">
        <v>0</v>
      </c>
      <c r="AO308" t="n">
        <v>0</v>
      </c>
      <c r="AP308" t="inlineStr">
        <is>
          <t>No</t>
        </is>
      </c>
      <c r="AQ308" t="inlineStr">
        <is>
          <t>No</t>
        </is>
      </c>
      <c r="AS308">
        <f>HYPERLINK("https://creighton-primo.hosted.exlibrisgroup.com/primo-explore/search?tab=default_tab&amp;search_scope=EVERYTHING&amp;vid=01CRU&amp;lang=en_US&amp;offset=0&amp;query=any,contains,991003354789702656","Catalog Record")</f>
        <v/>
      </c>
      <c r="AT308">
        <f>HYPERLINK("http://www.worldcat.org/oclc/40675136","WorldCat Record")</f>
        <v/>
      </c>
      <c r="AU308" t="inlineStr">
        <is>
          <t>838030346:eng</t>
        </is>
      </c>
      <c r="AV308" t="inlineStr">
        <is>
          <t>40675136</t>
        </is>
      </c>
      <c r="AW308" t="inlineStr">
        <is>
          <t>991003354789702656</t>
        </is>
      </c>
      <c r="AX308" t="inlineStr">
        <is>
          <t>991003354789702656</t>
        </is>
      </c>
      <c r="AY308" t="inlineStr">
        <is>
          <t>2260313810002656</t>
        </is>
      </c>
      <c r="AZ308" t="inlineStr">
        <is>
          <t>BOOK</t>
        </is>
      </c>
      <c r="BB308" t="inlineStr">
        <is>
          <t>9780312215668</t>
        </is>
      </c>
      <c r="BC308" t="inlineStr">
        <is>
          <t>32285004284708</t>
        </is>
      </c>
      <c r="BD308" t="inlineStr">
        <is>
          <t>893428721</t>
        </is>
      </c>
    </row>
    <row r="309">
      <c r="A309" t="inlineStr">
        <is>
          <t>No</t>
        </is>
      </c>
      <c r="B309" t="inlineStr">
        <is>
          <t>HN530.2.A8 S56 1997</t>
        </is>
      </c>
      <c r="C309" t="inlineStr">
        <is>
          <t>0                      HN 0530200A  8                  S  56          1997</t>
        </is>
      </c>
      <c r="D309" t="inlineStr">
        <is>
          <t>The Russian intelligentsia / Andrei Sinyavsky ; translated by Lynn Visson.</t>
        </is>
      </c>
      <c r="F309" t="inlineStr">
        <is>
          <t>No</t>
        </is>
      </c>
      <c r="G309" t="inlineStr">
        <is>
          <t>1</t>
        </is>
      </c>
      <c r="H309" t="inlineStr">
        <is>
          <t>No</t>
        </is>
      </c>
      <c r="I309" t="inlineStr">
        <is>
          <t>No</t>
        </is>
      </c>
      <c r="J309" t="inlineStr">
        <is>
          <t>0</t>
        </is>
      </c>
      <c r="K309" t="inlineStr">
        <is>
          <t>Sini͡avskiĭ, A. (Andreĭ), 1925-1997.</t>
        </is>
      </c>
      <c r="L309" t="inlineStr">
        <is>
          <t>New York : Columbia University Press, c1997.</t>
        </is>
      </c>
      <c r="M309" t="inlineStr">
        <is>
          <t>1997</t>
        </is>
      </c>
      <c r="O309" t="inlineStr">
        <is>
          <t>eng</t>
        </is>
      </c>
      <c r="P309" t="inlineStr">
        <is>
          <t>nyu</t>
        </is>
      </c>
      <c r="Q309" t="inlineStr">
        <is>
          <t>The Harriman lectures</t>
        </is>
      </c>
      <c r="R309" t="inlineStr">
        <is>
          <t xml:space="preserve">HN </t>
        </is>
      </c>
      <c r="S309" t="n">
        <v>3</v>
      </c>
      <c r="T309" t="n">
        <v>3</v>
      </c>
      <c r="U309" t="inlineStr">
        <is>
          <t>2002-11-08</t>
        </is>
      </c>
      <c r="V309" t="inlineStr">
        <is>
          <t>2002-11-08</t>
        </is>
      </c>
      <c r="W309" t="inlineStr">
        <is>
          <t>1998-04-14</t>
        </is>
      </c>
      <c r="X309" t="inlineStr">
        <is>
          <t>1998-04-14</t>
        </is>
      </c>
      <c r="Y309" t="n">
        <v>348</v>
      </c>
      <c r="Z309" t="n">
        <v>260</v>
      </c>
      <c r="AA309" t="n">
        <v>265</v>
      </c>
      <c r="AB309" t="n">
        <v>2</v>
      </c>
      <c r="AC309" t="n">
        <v>2</v>
      </c>
      <c r="AD309" t="n">
        <v>17</v>
      </c>
      <c r="AE309" t="n">
        <v>17</v>
      </c>
      <c r="AF309" t="n">
        <v>7</v>
      </c>
      <c r="AG309" t="n">
        <v>7</v>
      </c>
      <c r="AH309" t="n">
        <v>5</v>
      </c>
      <c r="AI309" t="n">
        <v>5</v>
      </c>
      <c r="AJ309" t="n">
        <v>10</v>
      </c>
      <c r="AK309" t="n">
        <v>10</v>
      </c>
      <c r="AL309" t="n">
        <v>1</v>
      </c>
      <c r="AM309" t="n">
        <v>1</v>
      </c>
      <c r="AN309" t="n">
        <v>0</v>
      </c>
      <c r="AO309" t="n">
        <v>0</v>
      </c>
      <c r="AP309" t="inlineStr">
        <is>
          <t>No</t>
        </is>
      </c>
      <c r="AQ309" t="inlineStr">
        <is>
          <t>No</t>
        </is>
      </c>
      <c r="AS309">
        <f>HYPERLINK("https://creighton-primo.hosted.exlibrisgroup.com/primo-explore/search?tab=default_tab&amp;search_scope=EVERYTHING&amp;vid=01CRU&amp;lang=en_US&amp;offset=0&amp;query=any,contains,991002754719702656","Catalog Record")</f>
        <v/>
      </c>
      <c r="AT309">
        <f>HYPERLINK("http://www.worldcat.org/oclc/36133367","WorldCat Record")</f>
        <v/>
      </c>
      <c r="AU309" t="inlineStr">
        <is>
          <t>3943605718:eng</t>
        </is>
      </c>
      <c r="AV309" t="inlineStr">
        <is>
          <t>36133367</t>
        </is>
      </c>
      <c r="AW309" t="inlineStr">
        <is>
          <t>991002754719702656</t>
        </is>
      </c>
      <c r="AX309" t="inlineStr">
        <is>
          <t>991002754719702656</t>
        </is>
      </c>
      <c r="AY309" t="inlineStr">
        <is>
          <t>2261947690002656</t>
        </is>
      </c>
      <c r="AZ309" t="inlineStr">
        <is>
          <t>BOOK</t>
        </is>
      </c>
      <c r="BB309" t="inlineStr">
        <is>
          <t>9780231107266</t>
        </is>
      </c>
      <c r="BC309" t="inlineStr">
        <is>
          <t>32285003375150</t>
        </is>
      </c>
      <c r="BD309" t="inlineStr">
        <is>
          <t>893421765</t>
        </is>
      </c>
    </row>
    <row r="310">
      <c r="A310" t="inlineStr">
        <is>
          <t>No</t>
        </is>
      </c>
      <c r="B310" t="inlineStr">
        <is>
          <t>HN530.2.M67 D88 1996</t>
        </is>
      </c>
      <c r="C310" t="inlineStr">
        <is>
          <t>0                      HN 0530200M  67                 D  88          1996</t>
        </is>
      </c>
      <c r="D310" t="inlineStr">
        <is>
          <t>Moscow days : life and hard times in the New Russia / Galina Dutkina ; translated from the Russian by Catherine A. Fitzpatrick.</t>
        </is>
      </c>
      <c r="F310" t="inlineStr">
        <is>
          <t>No</t>
        </is>
      </c>
      <c r="G310" t="inlineStr">
        <is>
          <t>1</t>
        </is>
      </c>
      <c r="H310" t="inlineStr">
        <is>
          <t>No</t>
        </is>
      </c>
      <c r="I310" t="inlineStr">
        <is>
          <t>No</t>
        </is>
      </c>
      <c r="J310" t="inlineStr">
        <is>
          <t>0</t>
        </is>
      </c>
      <c r="K310" t="inlineStr">
        <is>
          <t>Dutkina, G. (Galina), 1952-</t>
        </is>
      </c>
      <c r="L310" t="inlineStr">
        <is>
          <t>New York : Kodansha International, 1996.</t>
        </is>
      </c>
      <c r="M310" t="inlineStr">
        <is>
          <t>1996</t>
        </is>
      </c>
      <c r="O310" t="inlineStr">
        <is>
          <t>eng</t>
        </is>
      </c>
      <c r="P310" t="inlineStr">
        <is>
          <t>nyu</t>
        </is>
      </c>
      <c r="R310" t="inlineStr">
        <is>
          <t xml:space="preserve">HN </t>
        </is>
      </c>
      <c r="S310" t="n">
        <v>2</v>
      </c>
      <c r="T310" t="n">
        <v>2</v>
      </c>
      <c r="U310" t="inlineStr">
        <is>
          <t>1996-10-14</t>
        </is>
      </c>
      <c r="V310" t="inlineStr">
        <is>
          <t>1996-10-14</t>
        </is>
      </c>
      <c r="W310" t="inlineStr">
        <is>
          <t>1996-02-13</t>
        </is>
      </c>
      <c r="X310" t="inlineStr">
        <is>
          <t>1996-02-13</t>
        </is>
      </c>
      <c r="Y310" t="n">
        <v>417</v>
      </c>
      <c r="Z310" t="n">
        <v>374</v>
      </c>
      <c r="AA310" t="n">
        <v>385</v>
      </c>
      <c r="AB310" t="n">
        <v>4</v>
      </c>
      <c r="AC310" t="n">
        <v>4</v>
      </c>
      <c r="AD310" t="n">
        <v>16</v>
      </c>
      <c r="AE310" t="n">
        <v>16</v>
      </c>
      <c r="AF310" t="n">
        <v>6</v>
      </c>
      <c r="AG310" t="n">
        <v>6</v>
      </c>
      <c r="AH310" t="n">
        <v>3</v>
      </c>
      <c r="AI310" t="n">
        <v>3</v>
      </c>
      <c r="AJ310" t="n">
        <v>9</v>
      </c>
      <c r="AK310" t="n">
        <v>9</v>
      </c>
      <c r="AL310" t="n">
        <v>3</v>
      </c>
      <c r="AM310" t="n">
        <v>3</v>
      </c>
      <c r="AN310" t="n">
        <v>0</v>
      </c>
      <c r="AO310" t="n">
        <v>0</v>
      </c>
      <c r="AP310" t="inlineStr">
        <is>
          <t>No</t>
        </is>
      </c>
      <c r="AQ310" t="inlineStr">
        <is>
          <t>No</t>
        </is>
      </c>
      <c r="AS310">
        <f>HYPERLINK("https://creighton-primo.hosted.exlibrisgroup.com/primo-explore/search?tab=default_tab&amp;search_scope=EVERYTHING&amp;vid=01CRU&amp;lang=en_US&amp;offset=0&amp;query=any,contains,991002537439702656","Catalog Record")</f>
        <v/>
      </c>
      <c r="AT310">
        <f>HYPERLINK("http://www.worldcat.org/oclc/32969992","WorldCat Record")</f>
        <v/>
      </c>
      <c r="AU310" t="inlineStr">
        <is>
          <t>37545362:eng</t>
        </is>
      </c>
      <c r="AV310" t="inlineStr">
        <is>
          <t>32969992</t>
        </is>
      </c>
      <c r="AW310" t="inlineStr">
        <is>
          <t>991002537439702656</t>
        </is>
      </c>
      <c r="AX310" t="inlineStr">
        <is>
          <t>991002537439702656</t>
        </is>
      </c>
      <c r="AY310" t="inlineStr">
        <is>
          <t>2265751130002656</t>
        </is>
      </c>
      <c r="AZ310" t="inlineStr">
        <is>
          <t>BOOK</t>
        </is>
      </c>
      <c r="BB310" t="inlineStr">
        <is>
          <t>9781568360669</t>
        </is>
      </c>
      <c r="BC310" t="inlineStr">
        <is>
          <t>32285002129723</t>
        </is>
      </c>
      <c r="BD310" t="inlineStr">
        <is>
          <t>893530129</t>
        </is>
      </c>
    </row>
    <row r="311">
      <c r="A311" t="inlineStr">
        <is>
          <t>No</t>
        </is>
      </c>
      <c r="B311" t="inlineStr">
        <is>
          <t>HN530.2.Z9 E454 1999</t>
        </is>
      </c>
      <c r="C311" t="inlineStr">
        <is>
          <t>0                      HN 0530200Z  9                  E  454         1999</t>
        </is>
      </c>
      <c r="D311" t="inlineStr">
        <is>
          <t>The transition from communism to capitalism : ruling elites from Gorbachev to Yeltsin / David Lane and Cameron Ross.</t>
        </is>
      </c>
      <c r="F311" t="inlineStr">
        <is>
          <t>No</t>
        </is>
      </c>
      <c r="G311" t="inlineStr">
        <is>
          <t>1</t>
        </is>
      </c>
      <c r="H311" t="inlineStr">
        <is>
          <t>No</t>
        </is>
      </c>
      <c r="I311" t="inlineStr">
        <is>
          <t>No</t>
        </is>
      </c>
      <c r="J311" t="inlineStr">
        <is>
          <t>0</t>
        </is>
      </c>
      <c r="K311" t="inlineStr">
        <is>
          <t>Lane, David, 1933-</t>
        </is>
      </c>
      <c r="L311" t="inlineStr">
        <is>
          <t>New York : St. Martin's Press, 1999.</t>
        </is>
      </c>
      <c r="M311" t="inlineStr">
        <is>
          <t>1999</t>
        </is>
      </c>
      <c r="N311" t="inlineStr">
        <is>
          <t>1st ed.</t>
        </is>
      </c>
      <c r="O311" t="inlineStr">
        <is>
          <t>eng</t>
        </is>
      </c>
      <c r="P311" t="inlineStr">
        <is>
          <t>nyu</t>
        </is>
      </c>
      <c r="R311" t="inlineStr">
        <is>
          <t xml:space="preserve">HN </t>
        </is>
      </c>
      <c r="S311" t="n">
        <v>3</v>
      </c>
      <c r="T311" t="n">
        <v>3</v>
      </c>
      <c r="U311" t="inlineStr">
        <is>
          <t>2009-09-25</t>
        </is>
      </c>
      <c r="V311" t="inlineStr">
        <is>
          <t>2009-09-25</t>
        </is>
      </c>
      <c r="W311" t="inlineStr">
        <is>
          <t>1999-11-08</t>
        </is>
      </c>
      <c r="X311" t="inlineStr">
        <is>
          <t>1999-11-08</t>
        </is>
      </c>
      <c r="Y311" t="n">
        <v>336</v>
      </c>
      <c r="Z311" t="n">
        <v>276</v>
      </c>
      <c r="AA311" t="n">
        <v>632</v>
      </c>
      <c r="AB311" t="n">
        <v>4</v>
      </c>
      <c r="AC311" t="n">
        <v>6</v>
      </c>
      <c r="AD311" t="n">
        <v>20</v>
      </c>
      <c r="AE311" t="n">
        <v>33</v>
      </c>
      <c r="AF311" t="n">
        <v>9</v>
      </c>
      <c r="AG311" t="n">
        <v>13</v>
      </c>
      <c r="AH311" t="n">
        <v>4</v>
      </c>
      <c r="AI311" t="n">
        <v>8</v>
      </c>
      <c r="AJ311" t="n">
        <v>11</v>
      </c>
      <c r="AK311" t="n">
        <v>15</v>
      </c>
      <c r="AL311" t="n">
        <v>3</v>
      </c>
      <c r="AM311" t="n">
        <v>5</v>
      </c>
      <c r="AN311" t="n">
        <v>0</v>
      </c>
      <c r="AO311" t="n">
        <v>0</v>
      </c>
      <c r="AP311" t="inlineStr">
        <is>
          <t>No</t>
        </is>
      </c>
      <c r="AQ311" t="inlineStr">
        <is>
          <t>No</t>
        </is>
      </c>
      <c r="AS311">
        <f>HYPERLINK("https://creighton-primo.hosted.exlibrisgroup.com/primo-explore/search?tab=default_tab&amp;search_scope=EVERYTHING&amp;vid=01CRU&amp;lang=en_US&amp;offset=0&amp;query=any,contains,991002975999702656","Catalog Record")</f>
        <v/>
      </c>
      <c r="AT311">
        <f>HYPERLINK("http://www.worldcat.org/oclc/39905936","WorldCat Record")</f>
        <v/>
      </c>
      <c r="AU311" t="inlineStr">
        <is>
          <t>794173876:eng</t>
        </is>
      </c>
      <c r="AV311" t="inlineStr">
        <is>
          <t>39905936</t>
        </is>
      </c>
      <c r="AW311" t="inlineStr">
        <is>
          <t>991002975999702656</t>
        </is>
      </c>
      <c r="AX311" t="inlineStr">
        <is>
          <t>991002975999702656</t>
        </is>
      </c>
      <c r="AY311" t="inlineStr">
        <is>
          <t>2271440210002656</t>
        </is>
      </c>
      <c r="AZ311" t="inlineStr">
        <is>
          <t>BOOK</t>
        </is>
      </c>
      <c r="BB311" t="inlineStr">
        <is>
          <t>9780312216122</t>
        </is>
      </c>
      <c r="BC311" t="inlineStr">
        <is>
          <t>32285003619540</t>
        </is>
      </c>
      <c r="BD311" t="inlineStr">
        <is>
          <t>893786824</t>
        </is>
      </c>
    </row>
    <row r="312">
      <c r="A312" t="inlineStr">
        <is>
          <t>No</t>
        </is>
      </c>
      <c r="B312" t="inlineStr">
        <is>
          <t>HN530.2.Z9 E49 1995</t>
        </is>
      </c>
      <c r="C312" t="inlineStr">
        <is>
          <t>0                      HN 0530200Z  9                  E  49          1995</t>
        </is>
      </c>
      <c r="D312" t="inlineStr">
        <is>
          <t>Elites and leadership in Russian politics : selected papers from the Fifth World Congress of Central and East European Studies, Warsaw, 1995 / edited by Graeme Gill.</t>
        </is>
      </c>
      <c r="F312" t="inlineStr">
        <is>
          <t>No</t>
        </is>
      </c>
      <c r="G312" t="inlineStr">
        <is>
          <t>1</t>
        </is>
      </c>
      <c r="H312" t="inlineStr">
        <is>
          <t>No</t>
        </is>
      </c>
      <c r="I312" t="inlineStr">
        <is>
          <t>No</t>
        </is>
      </c>
      <c r="J312" t="inlineStr">
        <is>
          <t>0</t>
        </is>
      </c>
      <c r="K312" t="inlineStr">
        <is>
          <t>World Congress for Central and East European Studies (5th : 1995 : Warsaw, Poland)</t>
        </is>
      </c>
      <c r="L312" t="inlineStr">
        <is>
          <t>Houndmills, Basingstoke, Hampshire : Macmillan Press ; New York : St. Martin's Press, 1998.</t>
        </is>
      </c>
      <c r="M312" t="inlineStr">
        <is>
          <t>1998</t>
        </is>
      </c>
      <c r="O312" t="inlineStr">
        <is>
          <t>eng</t>
        </is>
      </c>
      <c r="P312" t="inlineStr">
        <is>
          <t>enk</t>
        </is>
      </c>
      <c r="Q312" t="inlineStr">
        <is>
          <t>Selected papers from the Fifth World Congress of Central and East European Studies, Warsaw, 1995</t>
        </is>
      </c>
      <c r="R312" t="inlineStr">
        <is>
          <t xml:space="preserve">HN </t>
        </is>
      </c>
      <c r="S312" t="n">
        <v>6</v>
      </c>
      <c r="T312" t="n">
        <v>6</v>
      </c>
      <c r="U312" t="inlineStr">
        <is>
          <t>1999-07-12</t>
        </is>
      </c>
      <c r="V312" t="inlineStr">
        <is>
          <t>1999-07-12</t>
        </is>
      </c>
      <c r="W312" t="inlineStr">
        <is>
          <t>1999-01-18</t>
        </is>
      </c>
      <c r="X312" t="inlineStr">
        <is>
          <t>1999-01-18</t>
        </is>
      </c>
      <c r="Y312" t="n">
        <v>166</v>
      </c>
      <c r="Z312" t="n">
        <v>108</v>
      </c>
      <c r="AA312" t="n">
        <v>116</v>
      </c>
      <c r="AB312" t="n">
        <v>2</v>
      </c>
      <c r="AC312" t="n">
        <v>2</v>
      </c>
      <c r="AD312" t="n">
        <v>5</v>
      </c>
      <c r="AE312" t="n">
        <v>6</v>
      </c>
      <c r="AF312" t="n">
        <v>0</v>
      </c>
      <c r="AG312" t="n">
        <v>1</v>
      </c>
      <c r="AH312" t="n">
        <v>3</v>
      </c>
      <c r="AI312" t="n">
        <v>3</v>
      </c>
      <c r="AJ312" t="n">
        <v>2</v>
      </c>
      <c r="AK312" t="n">
        <v>3</v>
      </c>
      <c r="AL312" t="n">
        <v>1</v>
      </c>
      <c r="AM312" t="n">
        <v>1</v>
      </c>
      <c r="AN312" t="n">
        <v>0</v>
      </c>
      <c r="AO312" t="n">
        <v>0</v>
      </c>
      <c r="AP312" t="inlineStr">
        <is>
          <t>No</t>
        </is>
      </c>
      <c r="AQ312" t="inlineStr">
        <is>
          <t>No</t>
        </is>
      </c>
      <c r="AS312">
        <f>HYPERLINK("https://creighton-primo.hosted.exlibrisgroup.com/primo-explore/search?tab=default_tab&amp;search_scope=EVERYTHING&amp;vid=01CRU&amp;lang=en_US&amp;offset=0&amp;query=any,contains,991002886039702656","Catalog Record")</f>
        <v/>
      </c>
      <c r="AT312">
        <f>HYPERLINK("http://www.worldcat.org/oclc/38024294","WorldCat Record")</f>
        <v/>
      </c>
      <c r="AU312" t="inlineStr">
        <is>
          <t>891236951:eng</t>
        </is>
      </c>
      <c r="AV312" t="inlineStr">
        <is>
          <t>38024294</t>
        </is>
      </c>
      <c r="AW312" t="inlineStr">
        <is>
          <t>991002886039702656</t>
        </is>
      </c>
      <c r="AX312" t="inlineStr">
        <is>
          <t>991002886039702656</t>
        </is>
      </c>
      <c r="AY312" t="inlineStr">
        <is>
          <t>2264198280002656</t>
        </is>
      </c>
      <c r="AZ312" t="inlineStr">
        <is>
          <t>BOOK</t>
        </is>
      </c>
      <c r="BB312" t="inlineStr">
        <is>
          <t>9780312213473</t>
        </is>
      </c>
      <c r="BC312" t="inlineStr">
        <is>
          <t>32285003512687</t>
        </is>
      </c>
      <c r="BD312" t="inlineStr">
        <is>
          <t>893591917</t>
        </is>
      </c>
    </row>
    <row r="313">
      <c r="A313" t="inlineStr">
        <is>
          <t>No</t>
        </is>
      </c>
      <c r="B313" t="inlineStr">
        <is>
          <t>HN530.2.Z9 P876 1995</t>
        </is>
      </c>
      <c r="C313" t="inlineStr">
        <is>
          <t>0                      HN 0530200Z  9                  P  876         1995</t>
        </is>
      </c>
      <c r="D313" t="inlineStr">
        <is>
          <t>The Russian people speak : democracy at the crossroads / Nikolai Popov.</t>
        </is>
      </c>
      <c r="F313" t="inlineStr">
        <is>
          <t>No</t>
        </is>
      </c>
      <c r="G313" t="inlineStr">
        <is>
          <t>1</t>
        </is>
      </c>
      <c r="H313" t="inlineStr">
        <is>
          <t>No</t>
        </is>
      </c>
      <c r="I313" t="inlineStr">
        <is>
          <t>No</t>
        </is>
      </c>
      <c r="J313" t="inlineStr">
        <is>
          <t>0</t>
        </is>
      </c>
      <c r="K313" t="inlineStr">
        <is>
          <t>Popov, N. P. (Nikolaĭ Petrovich)</t>
        </is>
      </c>
      <c r="L313" t="inlineStr">
        <is>
          <t>Syracuse, N.Y. : Syracuse University Press, c1995.</t>
        </is>
      </c>
      <c r="M313" t="inlineStr">
        <is>
          <t>1995</t>
        </is>
      </c>
      <c r="N313" t="inlineStr">
        <is>
          <t>1st ed.</t>
        </is>
      </c>
      <c r="O313" t="inlineStr">
        <is>
          <t>eng</t>
        </is>
      </c>
      <c r="P313" t="inlineStr">
        <is>
          <t>nyu</t>
        </is>
      </c>
      <c r="R313" t="inlineStr">
        <is>
          <t xml:space="preserve">HN </t>
        </is>
      </c>
      <c r="S313" t="n">
        <v>8</v>
      </c>
      <c r="T313" t="n">
        <v>8</v>
      </c>
      <c r="U313" t="inlineStr">
        <is>
          <t>1999-12-04</t>
        </is>
      </c>
      <c r="V313" t="inlineStr">
        <is>
          <t>1999-12-04</t>
        </is>
      </c>
      <c r="W313" t="inlineStr">
        <is>
          <t>1995-07-29</t>
        </is>
      </c>
      <c r="X313" t="inlineStr">
        <is>
          <t>1995-07-29</t>
        </is>
      </c>
      <c r="Y313" t="n">
        <v>333</v>
      </c>
      <c r="Z313" t="n">
        <v>288</v>
      </c>
      <c r="AA313" t="n">
        <v>292</v>
      </c>
      <c r="AB313" t="n">
        <v>2</v>
      </c>
      <c r="AC313" t="n">
        <v>2</v>
      </c>
      <c r="AD313" t="n">
        <v>14</v>
      </c>
      <c r="AE313" t="n">
        <v>14</v>
      </c>
      <c r="AF313" t="n">
        <v>3</v>
      </c>
      <c r="AG313" t="n">
        <v>3</v>
      </c>
      <c r="AH313" t="n">
        <v>5</v>
      </c>
      <c r="AI313" t="n">
        <v>5</v>
      </c>
      <c r="AJ313" t="n">
        <v>9</v>
      </c>
      <c r="AK313" t="n">
        <v>9</v>
      </c>
      <c r="AL313" t="n">
        <v>1</v>
      </c>
      <c r="AM313" t="n">
        <v>1</v>
      </c>
      <c r="AN313" t="n">
        <v>0</v>
      </c>
      <c r="AO313" t="n">
        <v>0</v>
      </c>
      <c r="AP313" t="inlineStr">
        <is>
          <t>No</t>
        </is>
      </c>
      <c r="AQ313" t="inlineStr">
        <is>
          <t>Yes</t>
        </is>
      </c>
      <c r="AR313">
        <f>HYPERLINK("http://catalog.hathitrust.org/Record/002994078","HathiTrust Record")</f>
        <v/>
      </c>
      <c r="AS313">
        <f>HYPERLINK("https://creighton-primo.hosted.exlibrisgroup.com/primo-explore/search?tab=default_tab&amp;search_scope=EVERYTHING&amp;vid=01CRU&amp;lang=en_US&amp;offset=0&amp;query=any,contains,991002404819702656","Catalog Record")</f>
        <v/>
      </c>
      <c r="AT313">
        <f>HYPERLINK("http://www.worldcat.org/oclc/31287767","WorldCat Record")</f>
        <v/>
      </c>
      <c r="AU313" t="inlineStr">
        <is>
          <t>255573309:eng</t>
        </is>
      </c>
      <c r="AV313" t="inlineStr">
        <is>
          <t>31287767</t>
        </is>
      </c>
      <c r="AW313" t="inlineStr">
        <is>
          <t>991002404819702656</t>
        </is>
      </c>
      <c r="AX313" t="inlineStr">
        <is>
          <t>991002404819702656</t>
        </is>
      </c>
      <c r="AY313" t="inlineStr">
        <is>
          <t>2258254210002656</t>
        </is>
      </c>
      <c r="AZ313" t="inlineStr">
        <is>
          <t>BOOK</t>
        </is>
      </c>
      <c r="BB313" t="inlineStr">
        <is>
          <t>9780815603009</t>
        </is>
      </c>
      <c r="BC313" t="inlineStr">
        <is>
          <t>32285002076072</t>
        </is>
      </c>
      <c r="BD313" t="inlineStr">
        <is>
          <t>893786092</t>
        </is>
      </c>
    </row>
    <row r="314">
      <c r="A314" t="inlineStr">
        <is>
          <t>No</t>
        </is>
      </c>
      <c r="B314" t="inlineStr">
        <is>
          <t>HN530.2.Z9 P886 1997</t>
        </is>
      </c>
      <c r="C314" t="inlineStr">
        <is>
          <t>0                      HN 0530200Z  9                  P  886         1997</t>
        </is>
      </c>
      <c r="D314" t="inlineStr">
        <is>
          <t>Public opinion in postcommunist Russia / Matthew Wyman.</t>
        </is>
      </c>
      <c r="F314" t="inlineStr">
        <is>
          <t>No</t>
        </is>
      </c>
      <c r="G314" t="inlineStr">
        <is>
          <t>1</t>
        </is>
      </c>
      <c r="H314" t="inlineStr">
        <is>
          <t>No</t>
        </is>
      </c>
      <c r="I314" t="inlineStr">
        <is>
          <t>No</t>
        </is>
      </c>
      <c r="J314" t="inlineStr">
        <is>
          <t>0</t>
        </is>
      </c>
      <c r="K314" t="inlineStr">
        <is>
          <t>Wyman, Matthew.</t>
        </is>
      </c>
      <c r="L314" t="inlineStr">
        <is>
          <t>New York, N.Y. : St. Martin's Press, 1997.</t>
        </is>
      </c>
      <c r="M314" t="inlineStr">
        <is>
          <t>1997</t>
        </is>
      </c>
      <c r="O314" t="inlineStr">
        <is>
          <t>eng</t>
        </is>
      </c>
      <c r="P314" t="inlineStr">
        <is>
          <t>nyu</t>
        </is>
      </c>
      <c r="R314" t="inlineStr">
        <is>
          <t xml:space="preserve">HN </t>
        </is>
      </c>
      <c r="S314" t="n">
        <v>3</v>
      </c>
      <c r="T314" t="n">
        <v>3</v>
      </c>
      <c r="U314" t="inlineStr">
        <is>
          <t>1999-12-04</t>
        </is>
      </c>
      <c r="V314" t="inlineStr">
        <is>
          <t>1999-12-04</t>
        </is>
      </c>
      <c r="W314" t="inlineStr">
        <is>
          <t>1997-03-06</t>
        </is>
      </c>
      <c r="X314" t="inlineStr">
        <is>
          <t>1997-03-06</t>
        </is>
      </c>
      <c r="Y314" t="n">
        <v>223</v>
      </c>
      <c r="Z314" t="n">
        <v>152</v>
      </c>
      <c r="AA314" t="n">
        <v>190</v>
      </c>
      <c r="AB314" t="n">
        <v>2</v>
      </c>
      <c r="AC314" t="n">
        <v>3</v>
      </c>
      <c r="AD314" t="n">
        <v>8</v>
      </c>
      <c r="AE314" t="n">
        <v>10</v>
      </c>
      <c r="AF314" t="n">
        <v>2</v>
      </c>
      <c r="AG314" t="n">
        <v>2</v>
      </c>
      <c r="AH314" t="n">
        <v>3</v>
      </c>
      <c r="AI314" t="n">
        <v>4</v>
      </c>
      <c r="AJ314" t="n">
        <v>4</v>
      </c>
      <c r="AK314" t="n">
        <v>5</v>
      </c>
      <c r="AL314" t="n">
        <v>1</v>
      </c>
      <c r="AM314" t="n">
        <v>2</v>
      </c>
      <c r="AN314" t="n">
        <v>0</v>
      </c>
      <c r="AO314" t="n">
        <v>0</v>
      </c>
      <c r="AP314" t="inlineStr">
        <is>
          <t>No</t>
        </is>
      </c>
      <c r="AQ314" t="inlineStr">
        <is>
          <t>No</t>
        </is>
      </c>
      <c r="AS314">
        <f>HYPERLINK("https://creighton-primo.hosted.exlibrisgroup.com/primo-explore/search?tab=default_tab&amp;search_scope=EVERYTHING&amp;vid=01CRU&amp;lang=en_US&amp;offset=0&amp;query=any,contains,991002600389702656","Catalog Record")</f>
        <v/>
      </c>
      <c r="AT314">
        <f>HYPERLINK("http://www.worldcat.org/oclc/34076699","WorldCat Record")</f>
        <v/>
      </c>
      <c r="AU314" t="inlineStr">
        <is>
          <t>39266267:eng</t>
        </is>
      </c>
      <c r="AV314" t="inlineStr">
        <is>
          <t>34076699</t>
        </is>
      </c>
      <c r="AW314" t="inlineStr">
        <is>
          <t>991002600389702656</t>
        </is>
      </c>
      <c r="AX314" t="inlineStr">
        <is>
          <t>991002600389702656</t>
        </is>
      </c>
      <c r="AY314" t="inlineStr">
        <is>
          <t>2269849220002656</t>
        </is>
      </c>
      <c r="AZ314" t="inlineStr">
        <is>
          <t>BOOK</t>
        </is>
      </c>
      <c r="BB314" t="inlineStr">
        <is>
          <t>9780312159436</t>
        </is>
      </c>
      <c r="BC314" t="inlineStr">
        <is>
          <t>32285002440922</t>
        </is>
      </c>
      <c r="BD314" t="inlineStr">
        <is>
          <t>893239252</t>
        </is>
      </c>
    </row>
    <row r="315">
      <c r="A315" t="inlineStr">
        <is>
          <t>No</t>
        </is>
      </c>
      <c r="B315" t="inlineStr">
        <is>
          <t>HN530.Z9 M35</t>
        </is>
      </c>
      <c r="C315" t="inlineStr">
        <is>
          <t>0                      HN 0530000Z  9                  M  35</t>
        </is>
      </c>
      <c r="D315" t="inlineStr">
        <is>
          <t>Soviet political indoctrination; developments in mass media and propaganda since Stalin.</t>
        </is>
      </c>
      <c r="F315" t="inlineStr">
        <is>
          <t>No</t>
        </is>
      </c>
      <c r="G315" t="inlineStr">
        <is>
          <t>1</t>
        </is>
      </c>
      <c r="H315" t="inlineStr">
        <is>
          <t>No</t>
        </is>
      </c>
      <c r="I315" t="inlineStr">
        <is>
          <t>No</t>
        </is>
      </c>
      <c r="J315" t="inlineStr">
        <is>
          <t>0</t>
        </is>
      </c>
      <c r="K315" t="inlineStr">
        <is>
          <t>Hollander, Gayle Durham.</t>
        </is>
      </c>
      <c r="L315" t="inlineStr">
        <is>
          <t>New York, Praeger [1972]</t>
        </is>
      </c>
      <c r="M315" t="inlineStr">
        <is>
          <t>1972</t>
        </is>
      </c>
      <c r="O315" t="inlineStr">
        <is>
          <t>eng</t>
        </is>
      </c>
      <c r="P315" t="inlineStr">
        <is>
          <t>nyu</t>
        </is>
      </c>
      <c r="Q315" t="inlineStr">
        <is>
          <t>Praeger special studies in international politics and public affairs</t>
        </is>
      </c>
      <c r="R315" t="inlineStr">
        <is>
          <t xml:space="preserve">HN </t>
        </is>
      </c>
      <c r="S315" t="n">
        <v>7</v>
      </c>
      <c r="T315" t="n">
        <v>7</v>
      </c>
      <c r="U315" t="inlineStr">
        <is>
          <t>1999-11-28</t>
        </is>
      </c>
      <c r="V315" t="inlineStr">
        <is>
          <t>1999-11-28</t>
        </is>
      </c>
      <c r="W315" t="inlineStr">
        <is>
          <t>1997-08-07</t>
        </is>
      </c>
      <c r="X315" t="inlineStr">
        <is>
          <t>1997-08-07</t>
        </is>
      </c>
      <c r="Y315" t="n">
        <v>601</v>
      </c>
      <c r="Z315" t="n">
        <v>462</v>
      </c>
      <c r="AA315" t="n">
        <v>464</v>
      </c>
      <c r="AB315" t="n">
        <v>3</v>
      </c>
      <c r="AC315" t="n">
        <v>3</v>
      </c>
      <c r="AD315" t="n">
        <v>23</v>
      </c>
      <c r="AE315" t="n">
        <v>23</v>
      </c>
      <c r="AF315" t="n">
        <v>8</v>
      </c>
      <c r="AG315" t="n">
        <v>8</v>
      </c>
      <c r="AH315" t="n">
        <v>7</v>
      </c>
      <c r="AI315" t="n">
        <v>7</v>
      </c>
      <c r="AJ315" t="n">
        <v>12</v>
      </c>
      <c r="AK315" t="n">
        <v>12</v>
      </c>
      <c r="AL315" t="n">
        <v>2</v>
      </c>
      <c r="AM315" t="n">
        <v>2</v>
      </c>
      <c r="AN315" t="n">
        <v>0</v>
      </c>
      <c r="AO315" t="n">
        <v>0</v>
      </c>
      <c r="AP315" t="inlineStr">
        <is>
          <t>No</t>
        </is>
      </c>
      <c r="AQ315" t="inlineStr">
        <is>
          <t>Yes</t>
        </is>
      </c>
      <c r="AR315">
        <f>HYPERLINK("http://catalog.hathitrust.org/Record/000269626","HathiTrust Record")</f>
        <v/>
      </c>
      <c r="AS315">
        <f>HYPERLINK("https://creighton-primo.hosted.exlibrisgroup.com/primo-explore/search?tab=default_tab&amp;search_scope=EVERYTHING&amp;vid=01CRU&amp;lang=en_US&amp;offset=0&amp;query=any,contains,991002811859702656","Catalog Record")</f>
        <v/>
      </c>
      <c r="AT315">
        <f>HYPERLINK("http://www.worldcat.org/oclc/456448","WorldCat Record")</f>
        <v/>
      </c>
      <c r="AU315" t="inlineStr">
        <is>
          <t>198707894:eng</t>
        </is>
      </c>
      <c r="AV315" t="inlineStr">
        <is>
          <t>456448</t>
        </is>
      </c>
      <c r="AW315" t="inlineStr">
        <is>
          <t>991002811859702656</t>
        </is>
      </c>
      <c r="AX315" t="inlineStr">
        <is>
          <t>991002811859702656</t>
        </is>
      </c>
      <c r="AY315" t="inlineStr">
        <is>
          <t>2260756830002656</t>
        </is>
      </c>
      <c r="AZ315" t="inlineStr">
        <is>
          <t>BOOK</t>
        </is>
      </c>
      <c r="BC315" t="inlineStr">
        <is>
          <t>32285003086211</t>
        </is>
      </c>
      <c r="BD315" t="inlineStr">
        <is>
          <t>893597905</t>
        </is>
      </c>
    </row>
    <row r="316">
      <c r="A316" t="inlineStr">
        <is>
          <t>No</t>
        </is>
      </c>
      <c r="B316" t="inlineStr">
        <is>
          <t>HN530.Z9 M388 1995</t>
        </is>
      </c>
      <c r="C316" t="inlineStr">
        <is>
          <t>0                      HN 0530000Z  9                  M  388         1995</t>
        </is>
      </c>
      <c r="D316" t="inlineStr">
        <is>
          <t>Reinventing the Soviet self : media and social change in the former Soviet Union / Jennifer Turpin.</t>
        </is>
      </c>
      <c r="F316" t="inlineStr">
        <is>
          <t>No</t>
        </is>
      </c>
      <c r="G316" t="inlineStr">
        <is>
          <t>1</t>
        </is>
      </c>
      <c r="H316" t="inlineStr">
        <is>
          <t>No</t>
        </is>
      </c>
      <c r="I316" t="inlineStr">
        <is>
          <t>No</t>
        </is>
      </c>
      <c r="J316" t="inlineStr">
        <is>
          <t>0</t>
        </is>
      </c>
      <c r="K316" t="inlineStr">
        <is>
          <t>Turpin, Jennifer E.</t>
        </is>
      </c>
      <c r="L316" t="inlineStr">
        <is>
          <t>Westport, Conn. : Praeger, c1995.</t>
        </is>
      </c>
      <c r="M316" t="inlineStr">
        <is>
          <t>1995</t>
        </is>
      </c>
      <c r="O316" t="inlineStr">
        <is>
          <t>eng</t>
        </is>
      </c>
      <c r="P316" t="inlineStr">
        <is>
          <t>ctu</t>
        </is>
      </c>
      <c r="R316" t="inlineStr">
        <is>
          <t xml:space="preserve">HN </t>
        </is>
      </c>
      <c r="S316" t="n">
        <v>2</v>
      </c>
      <c r="T316" t="n">
        <v>2</v>
      </c>
      <c r="U316" t="inlineStr">
        <is>
          <t>1999-01-17</t>
        </is>
      </c>
      <c r="V316" t="inlineStr">
        <is>
          <t>1999-01-17</t>
        </is>
      </c>
      <c r="W316" t="inlineStr">
        <is>
          <t>1996-03-11</t>
        </is>
      </c>
      <c r="X316" t="inlineStr">
        <is>
          <t>1996-03-11</t>
        </is>
      </c>
      <c r="Y316" t="n">
        <v>287</v>
      </c>
      <c r="Z316" t="n">
        <v>229</v>
      </c>
      <c r="AA316" t="n">
        <v>230</v>
      </c>
      <c r="AB316" t="n">
        <v>3</v>
      </c>
      <c r="AC316" t="n">
        <v>3</v>
      </c>
      <c r="AD316" t="n">
        <v>16</v>
      </c>
      <c r="AE316" t="n">
        <v>16</v>
      </c>
      <c r="AF316" t="n">
        <v>1</v>
      </c>
      <c r="AG316" t="n">
        <v>1</v>
      </c>
      <c r="AH316" t="n">
        <v>5</v>
      </c>
      <c r="AI316" t="n">
        <v>5</v>
      </c>
      <c r="AJ316" t="n">
        <v>10</v>
      </c>
      <c r="AK316" t="n">
        <v>10</v>
      </c>
      <c r="AL316" t="n">
        <v>2</v>
      </c>
      <c r="AM316" t="n">
        <v>2</v>
      </c>
      <c r="AN316" t="n">
        <v>0</v>
      </c>
      <c r="AO316" t="n">
        <v>0</v>
      </c>
      <c r="AP316" t="inlineStr">
        <is>
          <t>No</t>
        </is>
      </c>
      <c r="AQ316" t="inlineStr">
        <is>
          <t>No</t>
        </is>
      </c>
      <c r="AS316">
        <f>HYPERLINK("https://creighton-primo.hosted.exlibrisgroup.com/primo-explore/search?tab=default_tab&amp;search_scope=EVERYTHING&amp;vid=01CRU&amp;lang=en_US&amp;offset=0&amp;query=any,contains,991002373629702656","Catalog Record")</f>
        <v/>
      </c>
      <c r="AT316">
        <f>HYPERLINK("http://www.worldcat.org/oclc/30892521","WorldCat Record")</f>
        <v/>
      </c>
      <c r="AU316" t="inlineStr">
        <is>
          <t>2574604:eng</t>
        </is>
      </c>
      <c r="AV316" t="inlineStr">
        <is>
          <t>30892521</t>
        </is>
      </c>
      <c r="AW316" t="inlineStr">
        <is>
          <t>991002373629702656</t>
        </is>
      </c>
      <c r="AX316" t="inlineStr">
        <is>
          <t>991002373629702656</t>
        </is>
      </c>
      <c r="AY316" t="inlineStr">
        <is>
          <t>2270253940002656</t>
        </is>
      </c>
      <c r="AZ316" t="inlineStr">
        <is>
          <t>BOOK</t>
        </is>
      </c>
      <c r="BB316" t="inlineStr">
        <is>
          <t>9780275950439</t>
        </is>
      </c>
      <c r="BC316" t="inlineStr">
        <is>
          <t>32285002141215</t>
        </is>
      </c>
      <c r="BD316" t="inlineStr">
        <is>
          <t>893328988</t>
        </is>
      </c>
    </row>
    <row r="317">
      <c r="A317" t="inlineStr">
        <is>
          <t>No</t>
        </is>
      </c>
      <c r="B317" t="inlineStr">
        <is>
          <t>HN530.Z9 P8675 1993</t>
        </is>
      </c>
      <c r="C317" t="inlineStr">
        <is>
          <t>0                      HN 0530000Z  9                  P  8675        1993</t>
        </is>
      </c>
      <c r="D317" t="inlineStr">
        <is>
          <t>Public opinion and regime change : the new politics of post-Soviet societies / edited by Arthur H. Miller, William M. Reisinger, and Vicki L. Hesli.</t>
        </is>
      </c>
      <c r="F317" t="inlineStr">
        <is>
          <t>No</t>
        </is>
      </c>
      <c r="G317" t="inlineStr">
        <is>
          <t>1</t>
        </is>
      </c>
      <c r="H317" t="inlineStr">
        <is>
          <t>No</t>
        </is>
      </c>
      <c r="I317" t="inlineStr">
        <is>
          <t>No</t>
        </is>
      </c>
      <c r="J317" t="inlineStr">
        <is>
          <t>0</t>
        </is>
      </c>
      <c r="L317" t="inlineStr">
        <is>
          <t>Boulder : Westview Press, 1993.</t>
        </is>
      </c>
      <c r="M317" t="inlineStr">
        <is>
          <t>1993</t>
        </is>
      </c>
      <c r="O317" t="inlineStr">
        <is>
          <t>eng</t>
        </is>
      </c>
      <c r="P317" t="inlineStr">
        <is>
          <t>cou</t>
        </is>
      </c>
      <c r="R317" t="inlineStr">
        <is>
          <t xml:space="preserve">HN </t>
        </is>
      </c>
      <c r="S317" t="n">
        <v>12</v>
      </c>
      <c r="T317" t="n">
        <v>12</v>
      </c>
      <c r="U317" t="inlineStr">
        <is>
          <t>2002-02-17</t>
        </is>
      </c>
      <c r="V317" t="inlineStr">
        <is>
          <t>2002-02-17</t>
        </is>
      </c>
      <c r="W317" t="inlineStr">
        <is>
          <t>1993-10-28</t>
        </is>
      </c>
      <c r="X317" t="inlineStr">
        <is>
          <t>1993-10-28</t>
        </is>
      </c>
      <c r="Y317" t="n">
        <v>210</v>
      </c>
      <c r="Z317" t="n">
        <v>146</v>
      </c>
      <c r="AA317" t="n">
        <v>169</v>
      </c>
      <c r="AB317" t="n">
        <v>3</v>
      </c>
      <c r="AC317" t="n">
        <v>3</v>
      </c>
      <c r="AD317" t="n">
        <v>10</v>
      </c>
      <c r="AE317" t="n">
        <v>10</v>
      </c>
      <c r="AF317" t="n">
        <v>1</v>
      </c>
      <c r="AG317" t="n">
        <v>1</v>
      </c>
      <c r="AH317" t="n">
        <v>4</v>
      </c>
      <c r="AI317" t="n">
        <v>4</v>
      </c>
      <c r="AJ317" t="n">
        <v>6</v>
      </c>
      <c r="AK317" t="n">
        <v>6</v>
      </c>
      <c r="AL317" t="n">
        <v>2</v>
      </c>
      <c r="AM317" t="n">
        <v>2</v>
      </c>
      <c r="AN317" t="n">
        <v>0</v>
      </c>
      <c r="AO317" t="n">
        <v>0</v>
      </c>
      <c r="AP317" t="inlineStr">
        <is>
          <t>No</t>
        </is>
      </c>
      <c r="AQ317" t="inlineStr">
        <is>
          <t>No</t>
        </is>
      </c>
      <c r="AS317">
        <f>HYPERLINK("https://creighton-primo.hosted.exlibrisgroup.com/primo-explore/search?tab=default_tab&amp;search_scope=EVERYTHING&amp;vid=01CRU&amp;lang=en_US&amp;offset=0&amp;query=any,contains,991002056919702656","Catalog Record")</f>
        <v/>
      </c>
      <c r="AT317">
        <f>HYPERLINK("http://www.worldcat.org/oclc/26304780","WorldCat Record")</f>
        <v/>
      </c>
      <c r="AU317" t="inlineStr">
        <is>
          <t>836725733:eng</t>
        </is>
      </c>
      <c r="AV317" t="inlineStr">
        <is>
          <t>26304780</t>
        </is>
      </c>
      <c r="AW317" t="inlineStr">
        <is>
          <t>991002056919702656</t>
        </is>
      </c>
      <c r="AX317" t="inlineStr">
        <is>
          <t>991002056919702656</t>
        </is>
      </c>
      <c r="AY317" t="inlineStr">
        <is>
          <t>2271747420002656</t>
        </is>
      </c>
      <c r="AZ317" t="inlineStr">
        <is>
          <t>BOOK</t>
        </is>
      </c>
      <c r="BB317" t="inlineStr">
        <is>
          <t>9780813315034</t>
        </is>
      </c>
      <c r="BC317" t="inlineStr">
        <is>
          <t>32285001789097</t>
        </is>
      </c>
      <c r="BD317" t="inlineStr">
        <is>
          <t>893328639</t>
        </is>
      </c>
    </row>
    <row r="318">
      <c r="A318" t="inlineStr">
        <is>
          <t>No</t>
        </is>
      </c>
      <c r="B318" t="inlineStr">
        <is>
          <t>HN530.Z9 P873 1986</t>
        </is>
      </c>
      <c r="C318" t="inlineStr">
        <is>
          <t>0                      HN 0530000Z  9                  P  873         1986</t>
        </is>
      </c>
      <c r="D318" t="inlineStr">
        <is>
          <t>Soviet public opinion and ideology : mythology and pragmatism in interaction / Vladimir Shlapentokh.</t>
        </is>
      </c>
      <c r="F318" t="inlineStr">
        <is>
          <t>No</t>
        </is>
      </c>
      <c r="G318" t="inlineStr">
        <is>
          <t>1</t>
        </is>
      </c>
      <c r="H318" t="inlineStr">
        <is>
          <t>No</t>
        </is>
      </c>
      <c r="I318" t="inlineStr">
        <is>
          <t>No</t>
        </is>
      </c>
      <c r="J318" t="inlineStr">
        <is>
          <t>0</t>
        </is>
      </c>
      <c r="K318" t="inlineStr">
        <is>
          <t>Shlapentokh, Vladimir.</t>
        </is>
      </c>
      <c r="L318" t="inlineStr">
        <is>
          <t>New York : Praeger, 1986.</t>
        </is>
      </c>
      <c r="M318" t="inlineStr">
        <is>
          <t>1986</t>
        </is>
      </c>
      <c r="O318" t="inlineStr">
        <is>
          <t>eng</t>
        </is>
      </c>
      <c r="P318" t="inlineStr">
        <is>
          <t>nyu</t>
        </is>
      </c>
      <c r="R318" t="inlineStr">
        <is>
          <t xml:space="preserve">HN </t>
        </is>
      </c>
      <c r="S318" t="n">
        <v>7</v>
      </c>
      <c r="T318" t="n">
        <v>7</v>
      </c>
      <c r="U318" t="inlineStr">
        <is>
          <t>2010-04-07</t>
        </is>
      </c>
      <c r="V318" t="inlineStr">
        <is>
          <t>2010-04-07</t>
        </is>
      </c>
      <c r="W318" t="inlineStr">
        <is>
          <t>1992-10-14</t>
        </is>
      </c>
      <c r="X318" t="inlineStr">
        <is>
          <t>1992-10-14</t>
        </is>
      </c>
      <c r="Y318" t="n">
        <v>286</v>
      </c>
      <c r="Z318" t="n">
        <v>231</v>
      </c>
      <c r="AA318" t="n">
        <v>233</v>
      </c>
      <c r="AB318" t="n">
        <v>3</v>
      </c>
      <c r="AC318" t="n">
        <v>3</v>
      </c>
      <c r="AD318" t="n">
        <v>8</v>
      </c>
      <c r="AE318" t="n">
        <v>8</v>
      </c>
      <c r="AF318" t="n">
        <v>1</v>
      </c>
      <c r="AG318" t="n">
        <v>1</v>
      </c>
      <c r="AH318" t="n">
        <v>3</v>
      </c>
      <c r="AI318" t="n">
        <v>3</v>
      </c>
      <c r="AJ318" t="n">
        <v>4</v>
      </c>
      <c r="AK318" t="n">
        <v>4</v>
      </c>
      <c r="AL318" t="n">
        <v>2</v>
      </c>
      <c r="AM318" t="n">
        <v>2</v>
      </c>
      <c r="AN318" t="n">
        <v>0</v>
      </c>
      <c r="AO318" t="n">
        <v>0</v>
      </c>
      <c r="AP318" t="inlineStr">
        <is>
          <t>No</t>
        </is>
      </c>
      <c r="AQ318" t="inlineStr">
        <is>
          <t>Yes</t>
        </is>
      </c>
      <c r="AR318">
        <f>HYPERLINK("http://catalog.hathitrust.org/Record/004477894","HathiTrust Record")</f>
        <v/>
      </c>
      <c r="AS318">
        <f>HYPERLINK("https://creighton-primo.hosted.exlibrisgroup.com/primo-explore/search?tab=default_tab&amp;search_scope=EVERYTHING&amp;vid=01CRU&amp;lang=en_US&amp;offset=0&amp;query=any,contains,991000871239702656","Catalog Record")</f>
        <v/>
      </c>
      <c r="AT318">
        <f>HYPERLINK("http://www.worldcat.org/oclc/13792793","WorldCat Record")</f>
        <v/>
      </c>
      <c r="AU318" t="inlineStr">
        <is>
          <t>836655672:eng</t>
        </is>
      </c>
      <c r="AV318" t="inlineStr">
        <is>
          <t>13792793</t>
        </is>
      </c>
      <c r="AW318" t="inlineStr">
        <is>
          <t>991000871239702656</t>
        </is>
      </c>
      <c r="AX318" t="inlineStr">
        <is>
          <t>991000871239702656</t>
        </is>
      </c>
      <c r="AY318" t="inlineStr">
        <is>
          <t>2270969780002656</t>
        </is>
      </c>
      <c r="AZ318" t="inlineStr">
        <is>
          <t>BOOK</t>
        </is>
      </c>
      <c r="BB318" t="inlineStr">
        <is>
          <t>9780275922337</t>
        </is>
      </c>
      <c r="BC318" t="inlineStr">
        <is>
          <t>32285001357473</t>
        </is>
      </c>
      <c r="BD318" t="inlineStr">
        <is>
          <t>893884838</t>
        </is>
      </c>
    </row>
    <row r="319">
      <c r="A319" t="inlineStr">
        <is>
          <t>No</t>
        </is>
      </c>
      <c r="B319" t="inlineStr">
        <is>
          <t>HN530.Z9 S648</t>
        </is>
      </c>
      <c r="C319" t="inlineStr">
        <is>
          <t>0                      HN 0530000Z  9                  S  648</t>
        </is>
      </c>
      <c r="D319" t="inlineStr">
        <is>
          <t>Social and economic inequality in the Soviet Union : six studies / Murray Yanowitch.</t>
        </is>
      </c>
      <c r="F319" t="inlineStr">
        <is>
          <t>No</t>
        </is>
      </c>
      <c r="G319" t="inlineStr">
        <is>
          <t>1</t>
        </is>
      </c>
      <c r="H319" t="inlineStr">
        <is>
          <t>No</t>
        </is>
      </c>
      <c r="I319" t="inlineStr">
        <is>
          <t>No</t>
        </is>
      </c>
      <c r="J319" t="inlineStr">
        <is>
          <t>0</t>
        </is>
      </c>
      <c r="K319" t="inlineStr">
        <is>
          <t>Yanowitch, Murray.</t>
        </is>
      </c>
      <c r="L319" t="inlineStr">
        <is>
          <t>White Plains, N.Y. : M. E. Sharpe, c1977.</t>
        </is>
      </c>
      <c r="M319" t="inlineStr">
        <is>
          <t>1977</t>
        </is>
      </c>
      <c r="O319" t="inlineStr">
        <is>
          <t>eng</t>
        </is>
      </c>
      <c r="P319" t="inlineStr">
        <is>
          <t>nyu</t>
        </is>
      </c>
      <c r="R319" t="inlineStr">
        <is>
          <t xml:space="preserve">HN </t>
        </is>
      </c>
      <c r="S319" t="n">
        <v>9</v>
      </c>
      <c r="T319" t="n">
        <v>9</v>
      </c>
      <c r="U319" t="inlineStr">
        <is>
          <t>1996-10-14</t>
        </is>
      </c>
      <c r="V319" t="inlineStr">
        <is>
          <t>1996-10-14</t>
        </is>
      </c>
      <c r="W319" t="inlineStr">
        <is>
          <t>1992-10-14</t>
        </is>
      </c>
      <c r="X319" t="inlineStr">
        <is>
          <t>1992-10-14</t>
        </is>
      </c>
      <c r="Y319" t="n">
        <v>559</v>
      </c>
      <c r="Z319" t="n">
        <v>469</v>
      </c>
      <c r="AA319" t="n">
        <v>479</v>
      </c>
      <c r="AB319" t="n">
        <v>6</v>
      </c>
      <c r="AC319" t="n">
        <v>6</v>
      </c>
      <c r="AD319" t="n">
        <v>34</v>
      </c>
      <c r="AE319" t="n">
        <v>34</v>
      </c>
      <c r="AF319" t="n">
        <v>12</v>
      </c>
      <c r="AG319" t="n">
        <v>12</v>
      </c>
      <c r="AH319" t="n">
        <v>8</v>
      </c>
      <c r="AI319" t="n">
        <v>8</v>
      </c>
      <c r="AJ319" t="n">
        <v>18</v>
      </c>
      <c r="AK319" t="n">
        <v>18</v>
      </c>
      <c r="AL319" t="n">
        <v>5</v>
      </c>
      <c r="AM319" t="n">
        <v>5</v>
      </c>
      <c r="AN319" t="n">
        <v>1</v>
      </c>
      <c r="AO319" t="n">
        <v>1</v>
      </c>
      <c r="AP319" t="inlineStr">
        <is>
          <t>No</t>
        </is>
      </c>
      <c r="AQ319" t="inlineStr">
        <is>
          <t>Yes</t>
        </is>
      </c>
      <c r="AR319">
        <f>HYPERLINK("http://catalog.hathitrust.org/Record/000750932","HathiTrust Record")</f>
        <v/>
      </c>
      <c r="AS319">
        <f>HYPERLINK("https://creighton-primo.hosted.exlibrisgroup.com/primo-explore/search?tab=default_tab&amp;search_scope=EVERYTHING&amp;vid=01CRU&amp;lang=en_US&amp;offset=0&amp;query=any,contains,991004421289702656","Catalog Record")</f>
        <v/>
      </c>
      <c r="AT319">
        <f>HYPERLINK("http://www.worldcat.org/oclc/3382039","WorldCat Record")</f>
        <v/>
      </c>
      <c r="AU319" t="inlineStr">
        <is>
          <t>9918871:eng</t>
        </is>
      </c>
      <c r="AV319" t="inlineStr">
        <is>
          <t>3382039</t>
        </is>
      </c>
      <c r="AW319" t="inlineStr">
        <is>
          <t>991004421289702656</t>
        </is>
      </c>
      <c r="AX319" t="inlineStr">
        <is>
          <t>991004421289702656</t>
        </is>
      </c>
      <c r="AY319" t="inlineStr">
        <is>
          <t>2267398810002656</t>
        </is>
      </c>
      <c r="AZ319" t="inlineStr">
        <is>
          <t>BOOK</t>
        </is>
      </c>
      <c r="BB319" t="inlineStr">
        <is>
          <t>9780873321051</t>
        </is>
      </c>
      <c r="BC319" t="inlineStr">
        <is>
          <t>32285001357499</t>
        </is>
      </c>
      <c r="BD319" t="inlineStr">
        <is>
          <t>893513220</t>
        </is>
      </c>
    </row>
    <row r="320">
      <c r="A320" t="inlineStr">
        <is>
          <t>No</t>
        </is>
      </c>
      <c r="B320" t="inlineStr">
        <is>
          <t>HN538.5 .C75 1987</t>
        </is>
      </c>
      <c r="C320" t="inlineStr">
        <is>
          <t>0                      HN 0538500C  75          1987</t>
        </is>
      </c>
      <c r="D320" t="inlineStr">
        <is>
          <t>Crisis and transition : Polish society in the 1980s / edited by Jadwiga Koralewicz, Ireneusz Białecki, Margaret Watson.</t>
        </is>
      </c>
      <c r="F320" t="inlineStr">
        <is>
          <t>No</t>
        </is>
      </c>
      <c r="G320" t="inlineStr">
        <is>
          <t>1</t>
        </is>
      </c>
      <c r="H320" t="inlineStr">
        <is>
          <t>No</t>
        </is>
      </c>
      <c r="I320" t="inlineStr">
        <is>
          <t>No</t>
        </is>
      </c>
      <c r="J320" t="inlineStr">
        <is>
          <t>0</t>
        </is>
      </c>
      <c r="L320" t="inlineStr">
        <is>
          <t>Oxford ; New York : Berg ; New York : Distributed exclusively in the US and Canada by St. Martin's Press, 1987.</t>
        </is>
      </c>
      <c r="M320" t="inlineStr">
        <is>
          <t>1987</t>
        </is>
      </c>
      <c r="O320" t="inlineStr">
        <is>
          <t>eng</t>
        </is>
      </c>
      <c r="P320" t="inlineStr">
        <is>
          <t>enk</t>
        </is>
      </c>
      <c r="R320" t="inlineStr">
        <is>
          <t xml:space="preserve">HN </t>
        </is>
      </c>
      <c r="S320" t="n">
        <v>12</v>
      </c>
      <c r="T320" t="n">
        <v>12</v>
      </c>
      <c r="U320" t="inlineStr">
        <is>
          <t>1998-02-28</t>
        </is>
      </c>
      <c r="V320" t="inlineStr">
        <is>
          <t>1998-02-28</t>
        </is>
      </c>
      <c r="W320" t="inlineStr">
        <is>
          <t>1990-03-08</t>
        </is>
      </c>
      <c r="X320" t="inlineStr">
        <is>
          <t>1990-03-08</t>
        </is>
      </c>
      <c r="Y320" t="n">
        <v>255</v>
      </c>
      <c r="Z320" t="n">
        <v>160</v>
      </c>
      <c r="AA320" t="n">
        <v>166</v>
      </c>
      <c r="AB320" t="n">
        <v>3</v>
      </c>
      <c r="AC320" t="n">
        <v>3</v>
      </c>
      <c r="AD320" t="n">
        <v>6</v>
      </c>
      <c r="AE320" t="n">
        <v>6</v>
      </c>
      <c r="AF320" t="n">
        <v>1</v>
      </c>
      <c r="AG320" t="n">
        <v>1</v>
      </c>
      <c r="AH320" t="n">
        <v>1</v>
      </c>
      <c r="AI320" t="n">
        <v>1</v>
      </c>
      <c r="AJ320" t="n">
        <v>3</v>
      </c>
      <c r="AK320" t="n">
        <v>3</v>
      </c>
      <c r="AL320" t="n">
        <v>2</v>
      </c>
      <c r="AM320" t="n">
        <v>2</v>
      </c>
      <c r="AN320" t="n">
        <v>0</v>
      </c>
      <c r="AO320" t="n">
        <v>0</v>
      </c>
      <c r="AP320" t="inlineStr">
        <is>
          <t>No</t>
        </is>
      </c>
      <c r="AQ320" t="inlineStr">
        <is>
          <t>No</t>
        </is>
      </c>
      <c r="AS320">
        <f>HYPERLINK("https://creighton-primo.hosted.exlibrisgroup.com/primo-explore/search?tab=default_tab&amp;search_scope=EVERYTHING&amp;vid=01CRU&amp;lang=en_US&amp;offset=0&amp;query=any,contains,991001063399702656","Catalog Record")</f>
        <v/>
      </c>
      <c r="AT320">
        <f>HYPERLINK("http://www.worldcat.org/oclc/15791901","WorldCat Record")</f>
        <v/>
      </c>
      <c r="AU320" t="inlineStr">
        <is>
          <t>836627097:eng</t>
        </is>
      </c>
      <c r="AV320" t="inlineStr">
        <is>
          <t>15791901</t>
        </is>
      </c>
      <c r="AW320" t="inlineStr">
        <is>
          <t>991001063399702656</t>
        </is>
      </c>
      <c r="AX320" t="inlineStr">
        <is>
          <t>991001063399702656</t>
        </is>
      </c>
      <c r="AY320" t="inlineStr">
        <is>
          <t>2259862400002656</t>
        </is>
      </c>
      <c r="AZ320" t="inlineStr">
        <is>
          <t>BOOK</t>
        </is>
      </c>
      <c r="BB320" t="inlineStr">
        <is>
          <t>9780854965250</t>
        </is>
      </c>
      <c r="BC320" t="inlineStr">
        <is>
          <t>32285000078674</t>
        </is>
      </c>
      <c r="BD320" t="inlineStr">
        <is>
          <t>893509342</t>
        </is>
      </c>
    </row>
    <row r="321">
      <c r="A321" t="inlineStr">
        <is>
          <t>No</t>
        </is>
      </c>
      <c r="B321" t="inlineStr">
        <is>
          <t>HN538.5 .P645 1992</t>
        </is>
      </c>
      <c r="C321" t="inlineStr">
        <is>
          <t>0                      HN 0538500P  645         1992</t>
        </is>
      </c>
      <c r="D321" t="inlineStr">
        <is>
          <t>The Polish road from socialism : the economics, sociology, and politics of transition / edited by Walter D. Connor and Piotr Ploszajski with Alex Inkeles and Włodzimierz Wesołowski.</t>
        </is>
      </c>
      <c r="F321" t="inlineStr">
        <is>
          <t>No</t>
        </is>
      </c>
      <c r="G321" t="inlineStr">
        <is>
          <t>1</t>
        </is>
      </c>
      <c r="H321" t="inlineStr">
        <is>
          <t>No</t>
        </is>
      </c>
      <c r="I321" t="inlineStr">
        <is>
          <t>No</t>
        </is>
      </c>
      <c r="J321" t="inlineStr">
        <is>
          <t>0</t>
        </is>
      </c>
      <c r="L321" t="inlineStr">
        <is>
          <t>Armonk, N.Y. : M.E. Sharpe, c1992.</t>
        </is>
      </c>
      <c r="M321" t="inlineStr">
        <is>
          <t>1992</t>
        </is>
      </c>
      <c r="O321" t="inlineStr">
        <is>
          <t>eng</t>
        </is>
      </c>
      <c r="P321" t="inlineStr">
        <is>
          <t>nyu</t>
        </is>
      </c>
      <c r="R321" t="inlineStr">
        <is>
          <t xml:space="preserve">HN </t>
        </is>
      </c>
      <c r="S321" t="n">
        <v>5</v>
      </c>
      <c r="T321" t="n">
        <v>5</v>
      </c>
      <c r="U321" t="inlineStr">
        <is>
          <t>1995-04-17</t>
        </is>
      </c>
      <c r="V321" t="inlineStr">
        <is>
          <t>1995-04-17</t>
        </is>
      </c>
      <c r="W321" t="inlineStr">
        <is>
          <t>1993-07-14</t>
        </is>
      </c>
      <c r="X321" t="inlineStr">
        <is>
          <t>1993-07-14</t>
        </is>
      </c>
      <c r="Y321" t="n">
        <v>275</v>
      </c>
      <c r="Z321" t="n">
        <v>206</v>
      </c>
      <c r="AA321" t="n">
        <v>222</v>
      </c>
      <c r="AB321" t="n">
        <v>2</v>
      </c>
      <c r="AC321" t="n">
        <v>2</v>
      </c>
      <c r="AD321" t="n">
        <v>10</v>
      </c>
      <c r="AE321" t="n">
        <v>10</v>
      </c>
      <c r="AF321" t="n">
        <v>2</v>
      </c>
      <c r="AG321" t="n">
        <v>2</v>
      </c>
      <c r="AH321" t="n">
        <v>4</v>
      </c>
      <c r="AI321" t="n">
        <v>4</v>
      </c>
      <c r="AJ321" t="n">
        <v>5</v>
      </c>
      <c r="AK321" t="n">
        <v>5</v>
      </c>
      <c r="AL321" t="n">
        <v>1</v>
      </c>
      <c r="AM321" t="n">
        <v>1</v>
      </c>
      <c r="AN321" t="n">
        <v>0</v>
      </c>
      <c r="AO321" t="n">
        <v>0</v>
      </c>
      <c r="AP321" t="inlineStr">
        <is>
          <t>No</t>
        </is>
      </c>
      <c r="AQ321" t="inlineStr">
        <is>
          <t>No</t>
        </is>
      </c>
      <c r="AS321">
        <f>HYPERLINK("https://creighton-primo.hosted.exlibrisgroup.com/primo-explore/search?tab=default_tab&amp;search_scope=EVERYTHING&amp;vid=01CRU&amp;lang=en_US&amp;offset=0&amp;query=any,contains,991001911769702656","Catalog Record")</f>
        <v/>
      </c>
      <c r="AT321">
        <f>HYPERLINK("http://www.worldcat.org/oclc/24143079","WorldCat Record")</f>
        <v/>
      </c>
      <c r="AU321" t="inlineStr">
        <is>
          <t>836890254:eng</t>
        </is>
      </c>
      <c r="AV321" t="inlineStr">
        <is>
          <t>24143079</t>
        </is>
      </c>
      <c r="AW321" t="inlineStr">
        <is>
          <t>991001911769702656</t>
        </is>
      </c>
      <c r="AX321" t="inlineStr">
        <is>
          <t>991001911769702656</t>
        </is>
      </c>
      <c r="AY321" t="inlineStr">
        <is>
          <t>2266221170002656</t>
        </is>
      </c>
      <c r="AZ321" t="inlineStr">
        <is>
          <t>BOOK</t>
        </is>
      </c>
      <c r="BB321" t="inlineStr">
        <is>
          <t>9780873328869</t>
        </is>
      </c>
      <c r="BC321" t="inlineStr">
        <is>
          <t>32285001702850</t>
        </is>
      </c>
      <c r="BD321" t="inlineStr">
        <is>
          <t>893426971</t>
        </is>
      </c>
    </row>
    <row r="322">
      <c r="A322" t="inlineStr">
        <is>
          <t>No</t>
        </is>
      </c>
      <c r="B322" t="inlineStr">
        <is>
          <t>HN539.2.S6 M35 1985</t>
        </is>
      </c>
      <c r="C322" t="inlineStr">
        <is>
          <t>0                      HN 0539200S  6                  M  35          1985</t>
        </is>
      </c>
      <c r="D322" t="inlineStr">
        <is>
          <t>People's Poland : patterns of social inequality and conflict / Wladyslaw Majkowski.</t>
        </is>
      </c>
      <c r="F322" t="inlineStr">
        <is>
          <t>No</t>
        </is>
      </c>
      <c r="G322" t="inlineStr">
        <is>
          <t>1</t>
        </is>
      </c>
      <c r="H322" t="inlineStr">
        <is>
          <t>No</t>
        </is>
      </c>
      <c r="I322" t="inlineStr">
        <is>
          <t>No</t>
        </is>
      </c>
      <c r="J322" t="inlineStr">
        <is>
          <t>0</t>
        </is>
      </c>
      <c r="K322" t="inlineStr">
        <is>
          <t>Majkowski, Wladyslaw.</t>
        </is>
      </c>
      <c r="L322" t="inlineStr">
        <is>
          <t>Westport, Conn. : Greenwood Press, 1985.</t>
        </is>
      </c>
      <c r="M322" t="inlineStr">
        <is>
          <t>1985</t>
        </is>
      </c>
      <c r="O322" t="inlineStr">
        <is>
          <t>eng</t>
        </is>
      </c>
      <c r="P322" t="inlineStr">
        <is>
          <t>ctu</t>
        </is>
      </c>
      <c r="Q322" t="inlineStr">
        <is>
          <t>Contributions in sociology, 0084-9278 ; no. 55</t>
        </is>
      </c>
      <c r="R322" t="inlineStr">
        <is>
          <t xml:space="preserve">HN </t>
        </is>
      </c>
      <c r="S322" t="n">
        <v>5</v>
      </c>
      <c r="T322" t="n">
        <v>5</v>
      </c>
      <c r="U322" t="inlineStr">
        <is>
          <t>1995-04-25</t>
        </is>
      </c>
      <c r="V322" t="inlineStr">
        <is>
          <t>1995-04-25</t>
        </is>
      </c>
      <c r="W322" t="inlineStr">
        <is>
          <t>1992-02-24</t>
        </is>
      </c>
      <c r="X322" t="inlineStr">
        <is>
          <t>1992-02-24</t>
        </is>
      </c>
      <c r="Y322" t="n">
        <v>339</v>
      </c>
      <c r="Z322" t="n">
        <v>258</v>
      </c>
      <c r="AA322" t="n">
        <v>275</v>
      </c>
      <c r="AB322" t="n">
        <v>3</v>
      </c>
      <c r="AC322" t="n">
        <v>3</v>
      </c>
      <c r="AD322" t="n">
        <v>9</v>
      </c>
      <c r="AE322" t="n">
        <v>9</v>
      </c>
      <c r="AF322" t="n">
        <v>2</v>
      </c>
      <c r="AG322" t="n">
        <v>2</v>
      </c>
      <c r="AH322" t="n">
        <v>3</v>
      </c>
      <c r="AI322" t="n">
        <v>3</v>
      </c>
      <c r="AJ322" t="n">
        <v>4</v>
      </c>
      <c r="AK322" t="n">
        <v>4</v>
      </c>
      <c r="AL322" t="n">
        <v>2</v>
      </c>
      <c r="AM322" t="n">
        <v>2</v>
      </c>
      <c r="AN322" t="n">
        <v>0</v>
      </c>
      <c r="AO322" t="n">
        <v>0</v>
      </c>
      <c r="AP322" t="inlineStr">
        <is>
          <t>No</t>
        </is>
      </c>
      <c r="AQ322" t="inlineStr">
        <is>
          <t>No</t>
        </is>
      </c>
      <c r="AS322">
        <f>HYPERLINK("https://creighton-primo.hosted.exlibrisgroup.com/primo-explore/search?tab=default_tab&amp;search_scope=EVERYTHING&amp;vid=01CRU&amp;lang=en_US&amp;offset=0&amp;query=any,contains,991000470299702656","Catalog Record")</f>
        <v/>
      </c>
      <c r="AT322">
        <f>HYPERLINK("http://www.worldcat.org/oclc/10996745","WorldCat Record")</f>
        <v/>
      </c>
      <c r="AU322" t="inlineStr">
        <is>
          <t>2608786:eng</t>
        </is>
      </c>
      <c r="AV322" t="inlineStr">
        <is>
          <t>10996745</t>
        </is>
      </c>
      <c r="AW322" t="inlineStr">
        <is>
          <t>991000470299702656</t>
        </is>
      </c>
      <c r="AX322" t="inlineStr">
        <is>
          <t>991000470299702656</t>
        </is>
      </c>
      <c r="AY322" t="inlineStr">
        <is>
          <t>2261942730002656</t>
        </is>
      </c>
      <c r="AZ322" t="inlineStr">
        <is>
          <t>BOOK</t>
        </is>
      </c>
      <c r="BB322" t="inlineStr">
        <is>
          <t>9780313246142</t>
        </is>
      </c>
      <c r="BC322" t="inlineStr">
        <is>
          <t>32285000975176</t>
        </is>
      </c>
      <c r="BD322" t="inlineStr">
        <is>
          <t>893502509</t>
        </is>
      </c>
    </row>
    <row r="323">
      <c r="A323" t="inlineStr">
        <is>
          <t>No</t>
        </is>
      </c>
      <c r="B323" t="inlineStr">
        <is>
          <t>HN55 .C44 2006</t>
        </is>
      </c>
      <c r="C323" t="inlineStr">
        <is>
          <t>0                      HN 0055000C  44          2006</t>
        </is>
      </c>
      <c r="D323" t="inlineStr">
        <is>
          <t>From the ground up : grassroots organizations making social change / Carol Chetkovich and Frances Kunreuther.</t>
        </is>
      </c>
      <c r="F323" t="inlineStr">
        <is>
          <t>No</t>
        </is>
      </c>
      <c r="G323" t="inlineStr">
        <is>
          <t>1</t>
        </is>
      </c>
      <c r="H323" t="inlineStr">
        <is>
          <t>No</t>
        </is>
      </c>
      <c r="I323" t="inlineStr">
        <is>
          <t>No</t>
        </is>
      </c>
      <c r="J323" t="inlineStr">
        <is>
          <t>0</t>
        </is>
      </c>
      <c r="K323" t="inlineStr">
        <is>
          <t>Chetkovich, Carol A.</t>
        </is>
      </c>
      <c r="L323" t="inlineStr">
        <is>
          <t>Ithaca : ILR Press/Cornell University Press, 2006.</t>
        </is>
      </c>
      <c r="M323" t="inlineStr">
        <is>
          <t>2006</t>
        </is>
      </c>
      <c r="O323" t="inlineStr">
        <is>
          <t>eng</t>
        </is>
      </c>
      <c r="P323" t="inlineStr">
        <is>
          <t>nyu</t>
        </is>
      </c>
      <c r="R323" t="inlineStr">
        <is>
          <t xml:space="preserve">HN </t>
        </is>
      </c>
      <c r="S323" t="n">
        <v>2</v>
      </c>
      <c r="T323" t="n">
        <v>2</v>
      </c>
      <c r="U323" t="inlineStr">
        <is>
          <t>2008-09-24</t>
        </is>
      </c>
      <c r="V323" t="inlineStr">
        <is>
          <t>2008-09-24</t>
        </is>
      </c>
      <c r="W323" t="inlineStr">
        <is>
          <t>2008-09-17</t>
        </is>
      </c>
      <c r="X323" t="inlineStr">
        <is>
          <t>2008-09-17</t>
        </is>
      </c>
      <c r="Y323" t="n">
        <v>579</v>
      </c>
      <c r="Z323" t="n">
        <v>506</v>
      </c>
      <c r="AA323" t="n">
        <v>510</v>
      </c>
      <c r="AB323" t="n">
        <v>4</v>
      </c>
      <c r="AC323" t="n">
        <v>4</v>
      </c>
      <c r="AD323" t="n">
        <v>25</v>
      </c>
      <c r="AE323" t="n">
        <v>25</v>
      </c>
      <c r="AF323" t="n">
        <v>10</v>
      </c>
      <c r="AG323" t="n">
        <v>10</v>
      </c>
      <c r="AH323" t="n">
        <v>5</v>
      </c>
      <c r="AI323" t="n">
        <v>5</v>
      </c>
      <c r="AJ323" t="n">
        <v>12</v>
      </c>
      <c r="AK323" t="n">
        <v>12</v>
      </c>
      <c r="AL323" t="n">
        <v>3</v>
      </c>
      <c r="AM323" t="n">
        <v>3</v>
      </c>
      <c r="AN323" t="n">
        <v>1</v>
      </c>
      <c r="AO323" t="n">
        <v>1</v>
      </c>
      <c r="AP323" t="inlineStr">
        <is>
          <t>No</t>
        </is>
      </c>
      <c r="AQ323" t="inlineStr">
        <is>
          <t>No</t>
        </is>
      </c>
      <c r="AS323">
        <f>HYPERLINK("https://creighton-primo.hosted.exlibrisgroup.com/primo-explore/search?tab=default_tab&amp;search_scope=EVERYTHING&amp;vid=01CRU&amp;lang=en_US&amp;offset=0&amp;query=any,contains,991005263209702656","Catalog Record")</f>
        <v/>
      </c>
      <c r="AT323">
        <f>HYPERLINK("http://www.worldcat.org/oclc/70129111","WorldCat Record")</f>
        <v/>
      </c>
      <c r="AU323" t="inlineStr">
        <is>
          <t>256017209:eng</t>
        </is>
      </c>
      <c r="AV323" t="inlineStr">
        <is>
          <t>70129111</t>
        </is>
      </c>
      <c r="AW323" t="inlineStr">
        <is>
          <t>991005263209702656</t>
        </is>
      </c>
      <c r="AX323" t="inlineStr">
        <is>
          <t>991005263209702656</t>
        </is>
      </c>
      <c r="AY323" t="inlineStr">
        <is>
          <t>2271636550002656</t>
        </is>
      </c>
      <c r="AZ323" t="inlineStr">
        <is>
          <t>BOOK</t>
        </is>
      </c>
      <c r="BB323" t="inlineStr">
        <is>
          <t>9780801444357</t>
        </is>
      </c>
      <c r="BC323" t="inlineStr">
        <is>
          <t>32285005458707</t>
        </is>
      </c>
      <c r="BD323" t="inlineStr">
        <is>
          <t>893443681</t>
        </is>
      </c>
    </row>
    <row r="324">
      <c r="A324" t="inlineStr">
        <is>
          <t>No</t>
        </is>
      </c>
      <c r="B324" t="inlineStr">
        <is>
          <t>HN57 .A548 1994</t>
        </is>
      </c>
      <c r="C324" t="inlineStr">
        <is>
          <t>0                      HN 0057000A  548         1994</t>
        </is>
      </c>
      <c r="D324" t="inlineStr">
        <is>
          <t>Cosmos crumbling : American reform and the religious imagination / Robert H. Abzug.</t>
        </is>
      </c>
      <c r="F324" t="inlineStr">
        <is>
          <t>No</t>
        </is>
      </c>
      <c r="G324" t="inlineStr">
        <is>
          <t>1</t>
        </is>
      </c>
      <c r="H324" t="inlineStr">
        <is>
          <t>No</t>
        </is>
      </c>
      <c r="I324" t="inlineStr">
        <is>
          <t>No</t>
        </is>
      </c>
      <c r="J324" t="inlineStr">
        <is>
          <t>0</t>
        </is>
      </c>
      <c r="K324" t="inlineStr">
        <is>
          <t>Abzug, Robert H.</t>
        </is>
      </c>
      <c r="L324" t="inlineStr">
        <is>
          <t>New York : Oxford University Press, 1994.</t>
        </is>
      </c>
      <c r="M324" t="inlineStr">
        <is>
          <t>1994</t>
        </is>
      </c>
      <c r="O324" t="inlineStr">
        <is>
          <t>eng</t>
        </is>
      </c>
      <c r="P324" t="inlineStr">
        <is>
          <t>nyu</t>
        </is>
      </c>
      <c r="R324" t="inlineStr">
        <is>
          <t xml:space="preserve">HN </t>
        </is>
      </c>
      <c r="S324" t="n">
        <v>1</v>
      </c>
      <c r="T324" t="n">
        <v>1</v>
      </c>
      <c r="U324" t="inlineStr">
        <is>
          <t>2001-12-03</t>
        </is>
      </c>
      <c r="V324" t="inlineStr">
        <is>
          <t>2001-12-03</t>
        </is>
      </c>
      <c r="W324" t="inlineStr">
        <is>
          <t>1995-03-19</t>
        </is>
      </c>
      <c r="X324" t="inlineStr">
        <is>
          <t>1995-03-19</t>
        </is>
      </c>
      <c r="Y324" t="n">
        <v>746</v>
      </c>
      <c r="Z324" t="n">
        <v>668</v>
      </c>
      <c r="AA324" t="n">
        <v>672</v>
      </c>
      <c r="AB324" t="n">
        <v>6</v>
      </c>
      <c r="AC324" t="n">
        <v>6</v>
      </c>
      <c r="AD324" t="n">
        <v>41</v>
      </c>
      <c r="AE324" t="n">
        <v>41</v>
      </c>
      <c r="AF324" t="n">
        <v>16</v>
      </c>
      <c r="AG324" t="n">
        <v>16</v>
      </c>
      <c r="AH324" t="n">
        <v>10</v>
      </c>
      <c r="AI324" t="n">
        <v>10</v>
      </c>
      <c r="AJ324" t="n">
        <v>21</v>
      </c>
      <c r="AK324" t="n">
        <v>21</v>
      </c>
      <c r="AL324" t="n">
        <v>5</v>
      </c>
      <c r="AM324" t="n">
        <v>5</v>
      </c>
      <c r="AN324" t="n">
        <v>1</v>
      </c>
      <c r="AO324" t="n">
        <v>1</v>
      </c>
      <c r="AP324" t="inlineStr">
        <is>
          <t>No</t>
        </is>
      </c>
      <c r="AQ324" t="inlineStr">
        <is>
          <t>Yes</t>
        </is>
      </c>
      <c r="AR324">
        <f>HYPERLINK("http://catalog.hathitrust.org/Record/002801772","HathiTrust Record")</f>
        <v/>
      </c>
      <c r="AS324">
        <f>HYPERLINK("https://creighton-primo.hosted.exlibrisgroup.com/primo-explore/search?tab=default_tab&amp;search_scope=EVERYTHING&amp;vid=01CRU&amp;lang=en_US&amp;offset=0&amp;query=any,contains,991002193269702656","Catalog Record")</f>
        <v/>
      </c>
      <c r="AT324">
        <f>HYPERLINK("http://www.worldcat.org/oclc/28212465","WorldCat Record")</f>
        <v/>
      </c>
      <c r="AU324" t="inlineStr">
        <is>
          <t>836776896:eng</t>
        </is>
      </c>
      <c r="AV324" t="inlineStr">
        <is>
          <t>28212465</t>
        </is>
      </c>
      <c r="AW324" t="inlineStr">
        <is>
          <t>991002193269702656</t>
        </is>
      </c>
      <c r="AX324" t="inlineStr">
        <is>
          <t>991002193269702656</t>
        </is>
      </c>
      <c r="AY324" t="inlineStr">
        <is>
          <t>2265143700002656</t>
        </is>
      </c>
      <c r="AZ324" t="inlineStr">
        <is>
          <t>BOOK</t>
        </is>
      </c>
      <c r="BB324" t="inlineStr">
        <is>
          <t>9780195037524</t>
        </is>
      </c>
      <c r="BC324" t="inlineStr">
        <is>
          <t>32285002002409</t>
        </is>
      </c>
      <c r="BD324" t="inlineStr">
        <is>
          <t>893335032</t>
        </is>
      </c>
    </row>
    <row r="325">
      <c r="A325" t="inlineStr">
        <is>
          <t>No</t>
        </is>
      </c>
      <c r="B325" t="inlineStr">
        <is>
          <t>HN57 .A73 2000</t>
        </is>
      </c>
      <c r="C325" t="inlineStr">
        <is>
          <t>0                      HN 0057000A  73          2000</t>
        </is>
      </c>
      <c r="D325" t="inlineStr">
        <is>
          <t>Cultural hegemony in the United States / Lee Artz, Bren Ortega Murphy.</t>
        </is>
      </c>
      <c r="F325" t="inlineStr">
        <is>
          <t>No</t>
        </is>
      </c>
      <c r="G325" t="inlineStr">
        <is>
          <t>1</t>
        </is>
      </c>
      <c r="H325" t="inlineStr">
        <is>
          <t>No</t>
        </is>
      </c>
      <c r="I325" t="inlineStr">
        <is>
          <t>No</t>
        </is>
      </c>
      <c r="J325" t="inlineStr">
        <is>
          <t>0</t>
        </is>
      </c>
      <c r="K325" t="inlineStr">
        <is>
          <t>Artz, Lee.</t>
        </is>
      </c>
      <c r="L325" t="inlineStr">
        <is>
          <t>Thousand Oaks, Calif. : Sage Publications, c2000.</t>
        </is>
      </c>
      <c r="M325" t="inlineStr">
        <is>
          <t>2000</t>
        </is>
      </c>
      <c r="O325" t="inlineStr">
        <is>
          <t>eng</t>
        </is>
      </c>
      <c r="P325" t="inlineStr">
        <is>
          <t>cau</t>
        </is>
      </c>
      <c r="Q325" t="inlineStr">
        <is>
          <t>Foundations of popular culture ; vol. 7</t>
        </is>
      </c>
      <c r="R325" t="inlineStr">
        <is>
          <t xml:space="preserve">HN </t>
        </is>
      </c>
      <c r="S325" t="n">
        <v>7</v>
      </c>
      <c r="T325" t="n">
        <v>7</v>
      </c>
      <c r="U325" t="inlineStr">
        <is>
          <t>2004-03-11</t>
        </is>
      </c>
      <c r="V325" t="inlineStr">
        <is>
          <t>2004-03-11</t>
        </is>
      </c>
      <c r="W325" t="inlineStr">
        <is>
          <t>2001-05-14</t>
        </is>
      </c>
      <c r="X325" t="inlineStr">
        <is>
          <t>2001-05-14</t>
        </is>
      </c>
      <c r="Y325" t="n">
        <v>478</v>
      </c>
      <c r="Z325" t="n">
        <v>408</v>
      </c>
      <c r="AA325" t="n">
        <v>460</v>
      </c>
      <c r="AB325" t="n">
        <v>3</v>
      </c>
      <c r="AC325" t="n">
        <v>3</v>
      </c>
      <c r="AD325" t="n">
        <v>30</v>
      </c>
      <c r="AE325" t="n">
        <v>32</v>
      </c>
      <c r="AF325" t="n">
        <v>15</v>
      </c>
      <c r="AG325" t="n">
        <v>16</v>
      </c>
      <c r="AH325" t="n">
        <v>9</v>
      </c>
      <c r="AI325" t="n">
        <v>10</v>
      </c>
      <c r="AJ325" t="n">
        <v>13</v>
      </c>
      <c r="AK325" t="n">
        <v>14</v>
      </c>
      <c r="AL325" t="n">
        <v>2</v>
      </c>
      <c r="AM325" t="n">
        <v>2</v>
      </c>
      <c r="AN325" t="n">
        <v>0</v>
      </c>
      <c r="AO325" t="n">
        <v>0</v>
      </c>
      <c r="AP325" t="inlineStr">
        <is>
          <t>No</t>
        </is>
      </c>
      <c r="AQ325" t="inlineStr">
        <is>
          <t>Yes</t>
        </is>
      </c>
      <c r="AR325">
        <f>HYPERLINK("http://catalog.hathitrust.org/Record/004121268","HathiTrust Record")</f>
        <v/>
      </c>
      <c r="AS325">
        <f>HYPERLINK("https://creighton-primo.hosted.exlibrisgroup.com/primo-explore/search?tab=default_tab&amp;search_scope=EVERYTHING&amp;vid=01CRU&amp;lang=en_US&amp;offset=0&amp;query=any,contains,991003492619702656","Catalog Record")</f>
        <v/>
      </c>
      <c r="AT325">
        <f>HYPERLINK("http://www.worldcat.org/oclc/43487191","WorldCat Record")</f>
        <v/>
      </c>
      <c r="AU325" t="inlineStr">
        <is>
          <t>45028852:eng</t>
        </is>
      </c>
      <c r="AV325" t="inlineStr">
        <is>
          <t>43487191</t>
        </is>
      </c>
      <c r="AW325" t="inlineStr">
        <is>
          <t>991003492619702656</t>
        </is>
      </c>
      <c r="AX325" t="inlineStr">
        <is>
          <t>991003492619702656</t>
        </is>
      </c>
      <c r="AY325" t="inlineStr">
        <is>
          <t>2261030440002656</t>
        </is>
      </c>
      <c r="AZ325" t="inlineStr">
        <is>
          <t>BOOK</t>
        </is>
      </c>
      <c r="BB325" t="inlineStr">
        <is>
          <t>9780803945029</t>
        </is>
      </c>
      <c r="BC325" t="inlineStr">
        <is>
          <t>32285004317243</t>
        </is>
      </c>
      <c r="BD325" t="inlineStr">
        <is>
          <t>893422621</t>
        </is>
      </c>
    </row>
    <row r="326">
      <c r="A326" t="inlineStr">
        <is>
          <t>No</t>
        </is>
      </c>
      <c r="B326" t="inlineStr">
        <is>
          <t>HN57 .B455 1978</t>
        </is>
      </c>
      <c r="C326" t="inlineStr">
        <is>
          <t>0                      HN 0057000B  455         1978</t>
        </is>
      </c>
      <c r="D326" t="inlineStr">
        <is>
          <t>Community and social change in America / Thomas Bender.</t>
        </is>
      </c>
      <c r="F326" t="inlineStr">
        <is>
          <t>No</t>
        </is>
      </c>
      <c r="G326" t="inlineStr">
        <is>
          <t>1</t>
        </is>
      </c>
      <c r="H326" t="inlineStr">
        <is>
          <t>No</t>
        </is>
      </c>
      <c r="I326" t="inlineStr">
        <is>
          <t>No</t>
        </is>
      </c>
      <c r="J326" t="inlineStr">
        <is>
          <t>0</t>
        </is>
      </c>
      <c r="K326" t="inlineStr">
        <is>
          <t>Bender, Thomas.</t>
        </is>
      </c>
      <c r="L326" t="inlineStr">
        <is>
          <t>New Brunswick, N.J. : Rutgers University Press, c1978.</t>
        </is>
      </c>
      <c r="M326" t="inlineStr">
        <is>
          <t>1978</t>
        </is>
      </c>
      <c r="O326" t="inlineStr">
        <is>
          <t>eng</t>
        </is>
      </c>
      <c r="P326" t="inlineStr">
        <is>
          <t>nju</t>
        </is>
      </c>
      <c r="Q326" t="inlineStr">
        <is>
          <t>Clarke A. Sanford-Armand G. Erpf lecture series on local government and community life</t>
        </is>
      </c>
      <c r="R326" t="inlineStr">
        <is>
          <t xml:space="preserve">HN </t>
        </is>
      </c>
      <c r="S326" t="n">
        <v>1</v>
      </c>
      <c r="T326" t="n">
        <v>1</v>
      </c>
      <c r="U326" t="inlineStr">
        <is>
          <t>2001-09-18</t>
        </is>
      </c>
      <c r="V326" t="inlineStr">
        <is>
          <t>2001-09-18</t>
        </is>
      </c>
      <c r="W326" t="inlineStr">
        <is>
          <t>1990-02-14</t>
        </is>
      </c>
      <c r="X326" t="inlineStr">
        <is>
          <t>1990-02-14</t>
        </is>
      </c>
      <c r="Y326" t="n">
        <v>623</v>
      </c>
      <c r="Z326" t="n">
        <v>535</v>
      </c>
      <c r="AA326" t="n">
        <v>703</v>
      </c>
      <c r="AB326" t="n">
        <v>4</v>
      </c>
      <c r="AC326" t="n">
        <v>5</v>
      </c>
      <c r="AD326" t="n">
        <v>21</v>
      </c>
      <c r="AE326" t="n">
        <v>30</v>
      </c>
      <c r="AF326" t="n">
        <v>5</v>
      </c>
      <c r="AG326" t="n">
        <v>12</v>
      </c>
      <c r="AH326" t="n">
        <v>6</v>
      </c>
      <c r="AI326" t="n">
        <v>7</v>
      </c>
      <c r="AJ326" t="n">
        <v>14</v>
      </c>
      <c r="AK326" t="n">
        <v>17</v>
      </c>
      <c r="AL326" t="n">
        <v>3</v>
      </c>
      <c r="AM326" t="n">
        <v>4</v>
      </c>
      <c r="AN326" t="n">
        <v>0</v>
      </c>
      <c r="AO326" t="n">
        <v>0</v>
      </c>
      <c r="AP326" t="inlineStr">
        <is>
          <t>No</t>
        </is>
      </c>
      <c r="AQ326" t="inlineStr">
        <is>
          <t>No</t>
        </is>
      </c>
      <c r="AS326">
        <f>HYPERLINK("https://creighton-primo.hosted.exlibrisgroup.com/primo-explore/search?tab=default_tab&amp;search_scope=EVERYTHING&amp;vid=01CRU&amp;lang=en_US&amp;offset=0&amp;query=any,contains,991004487179702656","Catalog Record")</f>
        <v/>
      </c>
      <c r="AT326">
        <f>HYPERLINK("http://www.worldcat.org/oclc/3649810","WorldCat Record")</f>
        <v/>
      </c>
      <c r="AU326" t="inlineStr">
        <is>
          <t>452672:eng</t>
        </is>
      </c>
      <c r="AV326" t="inlineStr">
        <is>
          <t>3649810</t>
        </is>
      </c>
      <c r="AW326" t="inlineStr">
        <is>
          <t>991004487179702656</t>
        </is>
      </c>
      <c r="AX326" t="inlineStr">
        <is>
          <t>991004487179702656</t>
        </is>
      </c>
      <c r="AY326" t="inlineStr">
        <is>
          <t>2255885100002656</t>
        </is>
      </c>
      <c r="AZ326" t="inlineStr">
        <is>
          <t>BOOK</t>
        </is>
      </c>
      <c r="BB326" t="inlineStr">
        <is>
          <t>9780813508580</t>
        </is>
      </c>
      <c r="BC326" t="inlineStr">
        <is>
          <t>32285000053180</t>
        </is>
      </c>
      <c r="BD326" t="inlineStr">
        <is>
          <t>893319297</t>
        </is>
      </c>
    </row>
    <row r="327">
      <c r="A327" t="inlineStr">
        <is>
          <t>No</t>
        </is>
      </c>
      <c r="B327" t="inlineStr">
        <is>
          <t>HN57 .B47</t>
        </is>
      </c>
      <c r="C327" t="inlineStr">
        <is>
          <t>0                      HN 0057000B  47</t>
        </is>
      </c>
      <c r="D327" t="inlineStr">
        <is>
          <t>An unsettled people; social order and disorder in American history [by] Rowland Berthoff.</t>
        </is>
      </c>
      <c r="F327" t="inlineStr">
        <is>
          <t>No</t>
        </is>
      </c>
      <c r="G327" t="inlineStr">
        <is>
          <t>1</t>
        </is>
      </c>
      <c r="H327" t="inlineStr">
        <is>
          <t>No</t>
        </is>
      </c>
      <c r="I327" t="inlineStr">
        <is>
          <t>No</t>
        </is>
      </c>
      <c r="J327" t="inlineStr">
        <is>
          <t>0</t>
        </is>
      </c>
      <c r="K327" t="inlineStr">
        <is>
          <t>Berthoff, Rowland, 1921-</t>
        </is>
      </c>
      <c r="L327" t="inlineStr">
        <is>
          <t>New York, Harper &amp; Row [1971]</t>
        </is>
      </c>
      <c r="M327" t="inlineStr">
        <is>
          <t>1971</t>
        </is>
      </c>
      <c r="N327" t="inlineStr">
        <is>
          <t>[1st ed.]</t>
        </is>
      </c>
      <c r="O327" t="inlineStr">
        <is>
          <t>eng</t>
        </is>
      </c>
      <c r="P327" t="inlineStr">
        <is>
          <t>nyu</t>
        </is>
      </c>
      <c r="R327" t="inlineStr">
        <is>
          <t xml:space="preserve">HN </t>
        </is>
      </c>
      <c r="S327" t="n">
        <v>1</v>
      </c>
      <c r="T327" t="n">
        <v>1</v>
      </c>
      <c r="U327" t="inlineStr">
        <is>
          <t>2009-08-06</t>
        </is>
      </c>
      <c r="V327" t="inlineStr">
        <is>
          <t>2009-08-06</t>
        </is>
      </c>
      <c r="W327" t="inlineStr">
        <is>
          <t>1997-08-05</t>
        </is>
      </c>
      <c r="X327" t="inlineStr">
        <is>
          <t>1997-08-05</t>
        </is>
      </c>
      <c r="Y327" t="n">
        <v>1104</v>
      </c>
      <c r="Z327" t="n">
        <v>979</v>
      </c>
      <c r="AA327" t="n">
        <v>988</v>
      </c>
      <c r="AB327" t="n">
        <v>7</v>
      </c>
      <c r="AC327" t="n">
        <v>7</v>
      </c>
      <c r="AD327" t="n">
        <v>40</v>
      </c>
      <c r="AE327" t="n">
        <v>40</v>
      </c>
      <c r="AF327" t="n">
        <v>14</v>
      </c>
      <c r="AG327" t="n">
        <v>14</v>
      </c>
      <c r="AH327" t="n">
        <v>9</v>
      </c>
      <c r="AI327" t="n">
        <v>9</v>
      </c>
      <c r="AJ327" t="n">
        <v>22</v>
      </c>
      <c r="AK327" t="n">
        <v>22</v>
      </c>
      <c r="AL327" t="n">
        <v>5</v>
      </c>
      <c r="AM327" t="n">
        <v>5</v>
      </c>
      <c r="AN327" t="n">
        <v>1</v>
      </c>
      <c r="AO327" t="n">
        <v>1</v>
      </c>
      <c r="AP327" t="inlineStr">
        <is>
          <t>No</t>
        </is>
      </c>
      <c r="AQ327" t="inlineStr">
        <is>
          <t>Yes</t>
        </is>
      </c>
      <c r="AR327">
        <f>HYPERLINK("http://catalog.hathitrust.org/Record/001350243","HathiTrust Record")</f>
        <v/>
      </c>
      <c r="AS327">
        <f>HYPERLINK("https://creighton-primo.hosted.exlibrisgroup.com/primo-explore/search?tab=default_tab&amp;search_scope=EVERYTHING&amp;vid=01CRU&amp;lang=en_US&amp;offset=0&amp;query=any,contains,991000696769702656","Catalog Record")</f>
        <v/>
      </c>
      <c r="AT327">
        <f>HYPERLINK("http://www.worldcat.org/oclc/123962","WorldCat Record")</f>
        <v/>
      </c>
      <c r="AU327" t="inlineStr">
        <is>
          <t>180197835:eng</t>
        </is>
      </c>
      <c r="AV327" t="inlineStr">
        <is>
          <t>123962</t>
        </is>
      </c>
      <c r="AW327" t="inlineStr">
        <is>
          <t>991000696769702656</t>
        </is>
      </c>
      <c r="AX327" t="inlineStr">
        <is>
          <t>991000696769702656</t>
        </is>
      </c>
      <c r="AY327" t="inlineStr">
        <is>
          <t>2263724430002656</t>
        </is>
      </c>
      <c r="AZ327" t="inlineStr">
        <is>
          <t>BOOK</t>
        </is>
      </c>
      <c r="BC327" t="inlineStr">
        <is>
          <t>32285003041497</t>
        </is>
      </c>
      <c r="BD327" t="inlineStr">
        <is>
          <t>893515531</t>
        </is>
      </c>
    </row>
    <row r="328">
      <c r="A328" t="inlineStr">
        <is>
          <t>No</t>
        </is>
      </c>
      <c r="B328" t="inlineStr">
        <is>
          <t>HN57 .B83 1995</t>
        </is>
      </c>
      <c r="C328" t="inlineStr">
        <is>
          <t>0                      HN 0057000B  83          1995</t>
        </is>
      </c>
      <c r="D328" t="inlineStr">
        <is>
          <t>Bridging the gap : examining polarity in America / Nancy L. Herron, Diane Zabel, editors.</t>
        </is>
      </c>
      <c r="F328" t="inlineStr">
        <is>
          <t>No</t>
        </is>
      </c>
      <c r="G328" t="inlineStr">
        <is>
          <t>1</t>
        </is>
      </c>
      <c r="H328" t="inlineStr">
        <is>
          <t>No</t>
        </is>
      </c>
      <c r="I328" t="inlineStr">
        <is>
          <t>No</t>
        </is>
      </c>
      <c r="J328" t="inlineStr">
        <is>
          <t>0</t>
        </is>
      </c>
      <c r="L328" t="inlineStr">
        <is>
          <t>Englewood, Colo. : Libraries Unlimited, 1995.</t>
        </is>
      </c>
      <c r="M328" t="inlineStr">
        <is>
          <t>1995</t>
        </is>
      </c>
      <c r="O328" t="inlineStr">
        <is>
          <t>eng</t>
        </is>
      </c>
      <c r="P328" t="inlineStr">
        <is>
          <t>cou</t>
        </is>
      </c>
      <c r="R328" t="inlineStr">
        <is>
          <t xml:space="preserve">HN </t>
        </is>
      </c>
      <c r="S328" t="n">
        <v>5</v>
      </c>
      <c r="T328" t="n">
        <v>5</v>
      </c>
      <c r="U328" t="inlineStr">
        <is>
          <t>1998-10-27</t>
        </is>
      </c>
      <c r="V328" t="inlineStr">
        <is>
          <t>1998-10-27</t>
        </is>
      </c>
      <c r="W328" t="inlineStr">
        <is>
          <t>1995-03-19</t>
        </is>
      </c>
      <c r="X328" t="inlineStr">
        <is>
          <t>1995-03-19</t>
        </is>
      </c>
      <c r="Y328" t="n">
        <v>373</v>
      </c>
      <c r="Z328" t="n">
        <v>350</v>
      </c>
      <c r="AA328" t="n">
        <v>1068</v>
      </c>
      <c r="AB328" t="n">
        <v>3</v>
      </c>
      <c r="AC328" t="n">
        <v>4</v>
      </c>
      <c r="AD328" t="n">
        <v>16</v>
      </c>
      <c r="AE328" t="n">
        <v>26</v>
      </c>
      <c r="AF328" t="n">
        <v>4</v>
      </c>
      <c r="AG328" t="n">
        <v>11</v>
      </c>
      <c r="AH328" t="n">
        <v>5</v>
      </c>
      <c r="AI328" t="n">
        <v>6</v>
      </c>
      <c r="AJ328" t="n">
        <v>11</v>
      </c>
      <c r="AK328" t="n">
        <v>15</v>
      </c>
      <c r="AL328" t="n">
        <v>1</v>
      </c>
      <c r="AM328" t="n">
        <v>2</v>
      </c>
      <c r="AN328" t="n">
        <v>0</v>
      </c>
      <c r="AO328" t="n">
        <v>0</v>
      </c>
      <c r="AP328" t="inlineStr">
        <is>
          <t>No</t>
        </is>
      </c>
      <c r="AQ328" t="inlineStr">
        <is>
          <t>Yes</t>
        </is>
      </c>
      <c r="AR328">
        <f>HYPERLINK("http://catalog.hathitrust.org/Record/002972811","HathiTrust Record")</f>
        <v/>
      </c>
      <c r="AS328">
        <f>HYPERLINK("https://creighton-primo.hosted.exlibrisgroup.com/primo-explore/search?tab=default_tab&amp;search_scope=EVERYTHING&amp;vid=01CRU&amp;lang=en_US&amp;offset=0&amp;query=any,contains,991002320309702656","Catalog Record")</f>
        <v/>
      </c>
      <c r="AT328">
        <f>HYPERLINK("http://www.worldcat.org/oclc/30108571","WorldCat Record")</f>
        <v/>
      </c>
      <c r="AU328" t="inlineStr">
        <is>
          <t>863873653:eng</t>
        </is>
      </c>
      <c r="AV328" t="inlineStr">
        <is>
          <t>30108571</t>
        </is>
      </c>
      <c r="AW328" t="inlineStr">
        <is>
          <t>991002320309702656</t>
        </is>
      </c>
      <c r="AX328" t="inlineStr">
        <is>
          <t>991002320309702656</t>
        </is>
      </c>
      <c r="AY328" t="inlineStr">
        <is>
          <t>2263094590002656</t>
        </is>
      </c>
      <c r="AZ328" t="inlineStr">
        <is>
          <t>BOOK</t>
        </is>
      </c>
      <c r="BB328" t="inlineStr">
        <is>
          <t>9781563081149</t>
        </is>
      </c>
      <c r="BC328" t="inlineStr">
        <is>
          <t>32285002003274</t>
        </is>
      </c>
      <c r="BD328" t="inlineStr">
        <is>
          <t>893232821</t>
        </is>
      </c>
    </row>
    <row r="329">
      <c r="A329" t="inlineStr">
        <is>
          <t>No</t>
        </is>
      </c>
      <c r="B329" t="inlineStr">
        <is>
          <t>HN57 .C548 2006</t>
        </is>
      </c>
      <c r="C329" t="inlineStr">
        <is>
          <t>0                      HN 0057000C  548         2006</t>
        </is>
      </c>
      <c r="D329" t="inlineStr">
        <is>
          <t>Social change in America : from the Revolution through the Civil War / Christopher Clark.</t>
        </is>
      </c>
      <c r="F329" t="inlineStr">
        <is>
          <t>No</t>
        </is>
      </c>
      <c r="G329" t="inlineStr">
        <is>
          <t>1</t>
        </is>
      </c>
      <c r="H329" t="inlineStr">
        <is>
          <t>No</t>
        </is>
      </c>
      <c r="I329" t="inlineStr">
        <is>
          <t>No</t>
        </is>
      </c>
      <c r="J329" t="inlineStr">
        <is>
          <t>0</t>
        </is>
      </c>
      <c r="K329" t="inlineStr">
        <is>
          <t>Clark, Christopher, 1953-</t>
        </is>
      </c>
      <c r="L329" t="inlineStr">
        <is>
          <t>Chicago : Ivan R. Dee, 2006.</t>
        </is>
      </c>
      <c r="M329" t="inlineStr">
        <is>
          <t>2006</t>
        </is>
      </c>
      <c r="O329" t="inlineStr">
        <is>
          <t>eng</t>
        </is>
      </c>
      <c r="P329" t="inlineStr">
        <is>
          <t>ilu</t>
        </is>
      </c>
      <c r="R329" t="inlineStr">
        <is>
          <t xml:space="preserve">HN </t>
        </is>
      </c>
      <c r="S329" t="n">
        <v>2</v>
      </c>
      <c r="T329" t="n">
        <v>2</v>
      </c>
      <c r="U329" t="inlineStr">
        <is>
          <t>2008-08-26</t>
        </is>
      </c>
      <c r="V329" t="inlineStr">
        <is>
          <t>2008-08-26</t>
        </is>
      </c>
      <c r="W329" t="inlineStr">
        <is>
          <t>2008-08-26</t>
        </is>
      </c>
      <c r="X329" t="inlineStr">
        <is>
          <t>2008-08-26</t>
        </is>
      </c>
      <c r="Y329" t="n">
        <v>435</v>
      </c>
      <c r="Z329" t="n">
        <v>385</v>
      </c>
      <c r="AA329" t="n">
        <v>386</v>
      </c>
      <c r="AB329" t="n">
        <v>4</v>
      </c>
      <c r="AC329" t="n">
        <v>4</v>
      </c>
      <c r="AD329" t="n">
        <v>21</v>
      </c>
      <c r="AE329" t="n">
        <v>21</v>
      </c>
      <c r="AF329" t="n">
        <v>7</v>
      </c>
      <c r="AG329" t="n">
        <v>7</v>
      </c>
      <c r="AH329" t="n">
        <v>8</v>
      </c>
      <c r="AI329" t="n">
        <v>8</v>
      </c>
      <c r="AJ329" t="n">
        <v>10</v>
      </c>
      <c r="AK329" t="n">
        <v>10</v>
      </c>
      <c r="AL329" t="n">
        <v>3</v>
      </c>
      <c r="AM329" t="n">
        <v>3</v>
      </c>
      <c r="AN329" t="n">
        <v>0</v>
      </c>
      <c r="AO329" t="n">
        <v>0</v>
      </c>
      <c r="AP329" t="inlineStr">
        <is>
          <t>No</t>
        </is>
      </c>
      <c r="AQ329" t="inlineStr">
        <is>
          <t>Yes</t>
        </is>
      </c>
      <c r="AR329">
        <f>HYPERLINK("http://catalog.hathitrust.org/Record/005234346","HathiTrust Record")</f>
        <v/>
      </c>
      <c r="AS329">
        <f>HYPERLINK("https://creighton-primo.hosted.exlibrisgroup.com/primo-explore/search?tab=default_tab&amp;search_scope=EVERYTHING&amp;vid=01CRU&amp;lang=en_US&amp;offset=0&amp;query=any,contains,991005260619702656","Catalog Record")</f>
        <v/>
      </c>
      <c r="AT329">
        <f>HYPERLINK("http://www.worldcat.org/oclc/62615816","WorldCat Record")</f>
        <v/>
      </c>
      <c r="AU329" t="inlineStr">
        <is>
          <t>368418122:eng</t>
        </is>
      </c>
      <c r="AV329" t="inlineStr">
        <is>
          <t>62615816</t>
        </is>
      </c>
      <c r="AW329" t="inlineStr">
        <is>
          <t>991005260619702656</t>
        </is>
      </c>
      <c r="AX329" t="inlineStr">
        <is>
          <t>991005260619702656</t>
        </is>
      </c>
      <c r="AY329" t="inlineStr">
        <is>
          <t>2257290870002656</t>
        </is>
      </c>
      <c r="AZ329" t="inlineStr">
        <is>
          <t>BOOK</t>
        </is>
      </c>
      <c r="BB329" t="inlineStr">
        <is>
          <t>9781566637541</t>
        </is>
      </c>
      <c r="BC329" t="inlineStr">
        <is>
          <t>32285005455307</t>
        </is>
      </c>
      <c r="BD329" t="inlineStr">
        <is>
          <t>893896148</t>
        </is>
      </c>
    </row>
    <row r="330">
      <c r="A330" t="inlineStr">
        <is>
          <t>No</t>
        </is>
      </c>
      <c r="B330" t="inlineStr">
        <is>
          <t>HN57 .F47 1976</t>
        </is>
      </c>
      <c r="C330" t="inlineStr">
        <is>
          <t>0                      HN 0057000F  47          1976</t>
        </is>
      </c>
      <c r="D330" t="inlineStr">
        <is>
          <t>The muckrakers / Louis Filler.</t>
        </is>
      </c>
      <c r="F330" t="inlineStr">
        <is>
          <t>No</t>
        </is>
      </c>
      <c r="G330" t="inlineStr">
        <is>
          <t>1</t>
        </is>
      </c>
      <c r="H330" t="inlineStr">
        <is>
          <t>No</t>
        </is>
      </c>
      <c r="I330" t="inlineStr">
        <is>
          <t>No</t>
        </is>
      </c>
      <c r="J330" t="inlineStr">
        <is>
          <t>0</t>
        </is>
      </c>
      <c r="K330" t="inlineStr">
        <is>
          <t>Filler, Louis, 1911-1998.</t>
        </is>
      </c>
      <c r="L330" t="inlineStr">
        <is>
          <t>University Park : Pennsylvania State University Press, c1976.</t>
        </is>
      </c>
      <c r="M330" t="inlineStr">
        <is>
          <t>1976</t>
        </is>
      </c>
      <c r="N330" t="inlineStr">
        <is>
          <t>New and enl. ed. of Crusaders for American liberalism.</t>
        </is>
      </c>
      <c r="O330" t="inlineStr">
        <is>
          <t>eng</t>
        </is>
      </c>
      <c r="P330" t="inlineStr">
        <is>
          <t>pau</t>
        </is>
      </c>
      <c r="R330" t="inlineStr">
        <is>
          <t xml:space="preserve">HN </t>
        </is>
      </c>
      <c r="S330" t="n">
        <v>1</v>
      </c>
      <c r="T330" t="n">
        <v>1</v>
      </c>
      <c r="U330" t="inlineStr">
        <is>
          <t>1997-05-28</t>
        </is>
      </c>
      <c r="V330" t="inlineStr">
        <is>
          <t>1997-05-28</t>
        </is>
      </c>
      <c r="W330" t="inlineStr">
        <is>
          <t>1992-03-18</t>
        </is>
      </c>
      <c r="X330" t="inlineStr">
        <is>
          <t>1992-03-18</t>
        </is>
      </c>
      <c r="Y330" t="n">
        <v>641</v>
      </c>
      <c r="Z330" t="n">
        <v>578</v>
      </c>
      <c r="AA330" t="n">
        <v>676</v>
      </c>
      <c r="AB330" t="n">
        <v>4</v>
      </c>
      <c r="AC330" t="n">
        <v>4</v>
      </c>
      <c r="AD330" t="n">
        <v>19</v>
      </c>
      <c r="AE330" t="n">
        <v>24</v>
      </c>
      <c r="AF330" t="n">
        <v>9</v>
      </c>
      <c r="AG330" t="n">
        <v>11</v>
      </c>
      <c r="AH330" t="n">
        <v>3</v>
      </c>
      <c r="AI330" t="n">
        <v>4</v>
      </c>
      <c r="AJ330" t="n">
        <v>9</v>
      </c>
      <c r="AK330" t="n">
        <v>12</v>
      </c>
      <c r="AL330" t="n">
        <v>3</v>
      </c>
      <c r="AM330" t="n">
        <v>3</v>
      </c>
      <c r="AN330" t="n">
        <v>0</v>
      </c>
      <c r="AO330" t="n">
        <v>0</v>
      </c>
      <c r="AP330" t="inlineStr">
        <is>
          <t>No</t>
        </is>
      </c>
      <c r="AQ330" t="inlineStr">
        <is>
          <t>Yes</t>
        </is>
      </c>
      <c r="AR330">
        <f>HYPERLINK("http://catalog.hathitrust.org/Record/001350249","HathiTrust Record")</f>
        <v/>
      </c>
      <c r="AS330">
        <f>HYPERLINK("https://creighton-primo.hosted.exlibrisgroup.com/primo-explore/search?tab=default_tab&amp;search_scope=EVERYTHING&amp;vid=01CRU&amp;lang=en_US&amp;offset=0&amp;query=any,contains,991004130579702656","Catalog Record")</f>
        <v/>
      </c>
      <c r="AT330">
        <f>HYPERLINK("http://www.worldcat.org/oclc/2468171","WorldCat Record")</f>
        <v/>
      </c>
      <c r="AU330" t="inlineStr">
        <is>
          <t>158959801:eng</t>
        </is>
      </c>
      <c r="AV330" t="inlineStr">
        <is>
          <t>2468171</t>
        </is>
      </c>
      <c r="AW330" t="inlineStr">
        <is>
          <t>991004130579702656</t>
        </is>
      </c>
      <c r="AX330" t="inlineStr">
        <is>
          <t>991004130579702656</t>
        </is>
      </c>
      <c r="AY330" t="inlineStr">
        <is>
          <t>2271070960002656</t>
        </is>
      </c>
      <c r="AZ330" t="inlineStr">
        <is>
          <t>BOOK</t>
        </is>
      </c>
      <c r="BB330" t="inlineStr">
        <is>
          <t>9780271012124</t>
        </is>
      </c>
      <c r="BC330" t="inlineStr">
        <is>
          <t>32285001023752</t>
        </is>
      </c>
      <c r="BD330" t="inlineStr">
        <is>
          <t>893349637</t>
        </is>
      </c>
    </row>
    <row r="331">
      <c r="A331" t="inlineStr">
        <is>
          <t>No</t>
        </is>
      </c>
      <c r="B331" t="inlineStr">
        <is>
          <t>HN57 .G58 1991</t>
        </is>
      </c>
      <c r="C331" t="inlineStr">
        <is>
          <t>0                      HN 0057000G  58          1991</t>
        </is>
      </c>
      <c r="D331" t="inlineStr">
        <is>
          <t>Grassroots resistance : social movements in twentieth century America / Robert A. Goldberg.</t>
        </is>
      </c>
      <c r="F331" t="inlineStr">
        <is>
          <t>No</t>
        </is>
      </c>
      <c r="G331" t="inlineStr">
        <is>
          <t>1</t>
        </is>
      </c>
      <c r="H331" t="inlineStr">
        <is>
          <t>No</t>
        </is>
      </c>
      <c r="I331" t="inlineStr">
        <is>
          <t>No</t>
        </is>
      </c>
      <c r="J331" t="inlineStr">
        <is>
          <t>0</t>
        </is>
      </c>
      <c r="K331" t="inlineStr">
        <is>
          <t>Goldberg, Robert Alan, 1949-</t>
        </is>
      </c>
      <c r="L331" t="inlineStr">
        <is>
          <t>Belmont, Calif. : Wadsworth Pub. Co., c1991.</t>
        </is>
      </c>
      <c r="M331" t="inlineStr">
        <is>
          <t>1991</t>
        </is>
      </c>
      <c r="O331" t="inlineStr">
        <is>
          <t>eng</t>
        </is>
      </c>
      <c r="P331" t="inlineStr">
        <is>
          <t>cau</t>
        </is>
      </c>
      <c r="R331" t="inlineStr">
        <is>
          <t xml:space="preserve">HN </t>
        </is>
      </c>
      <c r="S331" t="n">
        <v>4</v>
      </c>
      <c r="T331" t="n">
        <v>4</v>
      </c>
      <c r="U331" t="inlineStr">
        <is>
          <t>2003-11-24</t>
        </is>
      </c>
      <c r="V331" t="inlineStr">
        <is>
          <t>2003-11-24</t>
        </is>
      </c>
      <c r="W331" t="inlineStr">
        <is>
          <t>1991-02-08</t>
        </is>
      </c>
      <c r="X331" t="inlineStr">
        <is>
          <t>1991-02-08</t>
        </is>
      </c>
      <c r="Y331" t="n">
        <v>366</v>
      </c>
      <c r="Z331" t="n">
        <v>316</v>
      </c>
      <c r="AA331" t="n">
        <v>381</v>
      </c>
      <c r="AB331" t="n">
        <v>4</v>
      </c>
      <c r="AC331" t="n">
        <v>4</v>
      </c>
      <c r="AD331" t="n">
        <v>17</v>
      </c>
      <c r="AE331" t="n">
        <v>20</v>
      </c>
      <c r="AF331" t="n">
        <v>4</v>
      </c>
      <c r="AG331" t="n">
        <v>6</v>
      </c>
      <c r="AH331" t="n">
        <v>4</v>
      </c>
      <c r="AI331" t="n">
        <v>4</v>
      </c>
      <c r="AJ331" t="n">
        <v>11</v>
      </c>
      <c r="AK331" t="n">
        <v>13</v>
      </c>
      <c r="AL331" t="n">
        <v>3</v>
      </c>
      <c r="AM331" t="n">
        <v>3</v>
      </c>
      <c r="AN331" t="n">
        <v>0</v>
      </c>
      <c r="AO331" t="n">
        <v>0</v>
      </c>
      <c r="AP331" t="inlineStr">
        <is>
          <t>No</t>
        </is>
      </c>
      <c r="AQ331" t="inlineStr">
        <is>
          <t>No</t>
        </is>
      </c>
      <c r="AS331">
        <f>HYPERLINK("https://creighton-primo.hosted.exlibrisgroup.com/primo-explore/search?tab=default_tab&amp;search_scope=EVERYTHING&amp;vid=01CRU&amp;lang=en_US&amp;offset=0&amp;query=any,contains,991001675799702656","Catalog Record")</f>
        <v/>
      </c>
      <c r="AT331">
        <f>HYPERLINK("http://www.worldcat.org/oclc/21331067","WorldCat Record")</f>
        <v/>
      </c>
      <c r="AU331" t="inlineStr">
        <is>
          <t>23338498:eng</t>
        </is>
      </c>
      <c r="AV331" t="inlineStr">
        <is>
          <t>21331067</t>
        </is>
      </c>
      <c r="AW331" t="inlineStr">
        <is>
          <t>991001675799702656</t>
        </is>
      </c>
      <c r="AX331" t="inlineStr">
        <is>
          <t>991001675799702656</t>
        </is>
      </c>
      <c r="AY331" t="inlineStr">
        <is>
          <t>2261681490002656</t>
        </is>
      </c>
      <c r="AZ331" t="inlineStr">
        <is>
          <t>BOOK</t>
        </is>
      </c>
      <c r="BB331" t="inlineStr">
        <is>
          <t>9780534129064</t>
        </is>
      </c>
      <c r="BC331" t="inlineStr">
        <is>
          <t>32285000463462</t>
        </is>
      </c>
      <c r="BD331" t="inlineStr">
        <is>
          <t>893522739</t>
        </is>
      </c>
    </row>
    <row r="332">
      <c r="A332" t="inlineStr">
        <is>
          <t>No</t>
        </is>
      </c>
      <c r="B332" t="inlineStr">
        <is>
          <t>HN57 .G64 1995</t>
        </is>
      </c>
      <c r="C332" t="inlineStr">
        <is>
          <t>0                      HN 0057000G  64          1995</t>
        </is>
      </c>
      <c r="D332" t="inlineStr">
        <is>
          <t>Conflicting paths : growing up in America / Harvey J. Graff.</t>
        </is>
      </c>
      <c r="F332" t="inlineStr">
        <is>
          <t>No</t>
        </is>
      </c>
      <c r="G332" t="inlineStr">
        <is>
          <t>1</t>
        </is>
      </c>
      <c r="H332" t="inlineStr">
        <is>
          <t>No</t>
        </is>
      </c>
      <c r="I332" t="inlineStr">
        <is>
          <t>No</t>
        </is>
      </c>
      <c r="J332" t="inlineStr">
        <is>
          <t>0</t>
        </is>
      </c>
      <c r="K332" t="inlineStr">
        <is>
          <t>Graff, Harvey J.</t>
        </is>
      </c>
      <c r="L332" t="inlineStr">
        <is>
          <t>Cambridge, Mass. : Harvard University Press, 1995.</t>
        </is>
      </c>
      <c r="M332" t="inlineStr">
        <is>
          <t>1995</t>
        </is>
      </c>
      <c r="O332" t="inlineStr">
        <is>
          <t>eng</t>
        </is>
      </c>
      <c r="P332" t="inlineStr">
        <is>
          <t>mau</t>
        </is>
      </c>
      <c r="R332" t="inlineStr">
        <is>
          <t xml:space="preserve">HN </t>
        </is>
      </c>
      <c r="S332" t="n">
        <v>6</v>
      </c>
      <c r="T332" t="n">
        <v>6</v>
      </c>
      <c r="U332" t="inlineStr">
        <is>
          <t>2003-10-30</t>
        </is>
      </c>
      <c r="V332" t="inlineStr">
        <is>
          <t>2003-10-30</t>
        </is>
      </c>
      <c r="W332" t="inlineStr">
        <is>
          <t>1995-04-26</t>
        </is>
      </c>
      <c r="X332" t="inlineStr">
        <is>
          <t>1995-04-26</t>
        </is>
      </c>
      <c r="Y332" t="n">
        <v>673</v>
      </c>
      <c r="Z332" t="n">
        <v>599</v>
      </c>
      <c r="AA332" t="n">
        <v>633</v>
      </c>
      <c r="AB332" t="n">
        <v>4</v>
      </c>
      <c r="AC332" t="n">
        <v>4</v>
      </c>
      <c r="AD332" t="n">
        <v>34</v>
      </c>
      <c r="AE332" t="n">
        <v>35</v>
      </c>
      <c r="AF332" t="n">
        <v>15</v>
      </c>
      <c r="AG332" t="n">
        <v>16</v>
      </c>
      <c r="AH332" t="n">
        <v>8</v>
      </c>
      <c r="AI332" t="n">
        <v>9</v>
      </c>
      <c r="AJ332" t="n">
        <v>18</v>
      </c>
      <c r="AK332" t="n">
        <v>18</v>
      </c>
      <c r="AL332" t="n">
        <v>3</v>
      </c>
      <c r="AM332" t="n">
        <v>3</v>
      </c>
      <c r="AN332" t="n">
        <v>1</v>
      </c>
      <c r="AO332" t="n">
        <v>1</v>
      </c>
      <c r="AP332" t="inlineStr">
        <is>
          <t>No</t>
        </is>
      </c>
      <c r="AQ332" t="inlineStr">
        <is>
          <t>Yes</t>
        </is>
      </c>
      <c r="AR332">
        <f>HYPERLINK("http://catalog.hathitrust.org/Record/002954499","HathiTrust Record")</f>
        <v/>
      </c>
      <c r="AS332">
        <f>HYPERLINK("https://creighton-primo.hosted.exlibrisgroup.com/primo-explore/search?tab=default_tab&amp;search_scope=EVERYTHING&amp;vid=01CRU&amp;lang=en_US&amp;offset=0&amp;query=any,contains,991002367829702656","Catalog Record")</f>
        <v/>
      </c>
      <c r="AT332">
        <f>HYPERLINK("http://www.worldcat.org/oclc/30780010","WorldCat Record")</f>
        <v/>
      </c>
      <c r="AU332" t="inlineStr">
        <is>
          <t>836904577:eng</t>
        </is>
      </c>
      <c r="AV332" t="inlineStr">
        <is>
          <t>30780010</t>
        </is>
      </c>
      <c r="AW332" t="inlineStr">
        <is>
          <t>991002367829702656</t>
        </is>
      </c>
      <c r="AX332" t="inlineStr">
        <is>
          <t>991002367829702656</t>
        </is>
      </c>
      <c r="AY332" t="inlineStr">
        <is>
          <t>2264856390002656</t>
        </is>
      </c>
      <c r="AZ332" t="inlineStr">
        <is>
          <t>BOOK</t>
        </is>
      </c>
      <c r="BB332" t="inlineStr">
        <is>
          <t>9780674160668</t>
        </is>
      </c>
      <c r="BC332" t="inlineStr">
        <is>
          <t>32285002035946</t>
        </is>
      </c>
      <c r="BD332" t="inlineStr">
        <is>
          <t>893523520</t>
        </is>
      </c>
    </row>
    <row r="333">
      <c r="A333" t="inlineStr">
        <is>
          <t>No</t>
        </is>
      </c>
      <c r="B333" t="inlineStr">
        <is>
          <t>HN57 .H253 1984</t>
        </is>
      </c>
      <c r="C333" t="inlineStr">
        <is>
          <t>0                      HN 0057000H  253         1984</t>
        </is>
      </c>
      <c r="D333" t="inlineStr">
        <is>
          <t>The organization of American culture, 1700-1900 : private institutions, elites, and the origins of American nationality / by Peter Dobkin Hall.</t>
        </is>
      </c>
      <c r="F333" t="inlineStr">
        <is>
          <t>No</t>
        </is>
      </c>
      <c r="G333" t="inlineStr">
        <is>
          <t>1</t>
        </is>
      </c>
      <c r="H333" t="inlineStr">
        <is>
          <t>No</t>
        </is>
      </c>
      <c r="I333" t="inlineStr">
        <is>
          <t>No</t>
        </is>
      </c>
      <c r="J333" t="inlineStr">
        <is>
          <t>0</t>
        </is>
      </c>
      <c r="K333" t="inlineStr">
        <is>
          <t>Hall, Peter Dobkin, 1946-2015.</t>
        </is>
      </c>
      <c r="L333" t="inlineStr">
        <is>
          <t>New York : New York University Press, 1984, c1982.</t>
        </is>
      </c>
      <c r="M333" t="inlineStr">
        <is>
          <t>1982</t>
        </is>
      </c>
      <c r="N333" t="inlineStr">
        <is>
          <t>1st Paperbound ed.</t>
        </is>
      </c>
      <c r="O333" t="inlineStr">
        <is>
          <t>eng</t>
        </is>
      </c>
      <c r="P333" t="inlineStr">
        <is>
          <t>nyu</t>
        </is>
      </c>
      <c r="Q333" t="inlineStr">
        <is>
          <t>New York University series in education and socialization in American history</t>
        </is>
      </c>
      <c r="R333" t="inlineStr">
        <is>
          <t xml:space="preserve">HN </t>
        </is>
      </c>
      <c r="S333" t="n">
        <v>1</v>
      </c>
      <c r="T333" t="n">
        <v>1</v>
      </c>
      <c r="U333" t="inlineStr">
        <is>
          <t>1999-02-05</t>
        </is>
      </c>
      <c r="V333" t="inlineStr">
        <is>
          <t>1999-02-05</t>
        </is>
      </c>
      <c r="W333" t="inlineStr">
        <is>
          <t>1990-07-02</t>
        </is>
      </c>
      <c r="X333" t="inlineStr">
        <is>
          <t>1990-07-02</t>
        </is>
      </c>
      <c r="Y333" t="n">
        <v>698</v>
      </c>
      <c r="Z333" t="n">
        <v>607</v>
      </c>
      <c r="AA333" t="n">
        <v>682</v>
      </c>
      <c r="AB333" t="n">
        <v>6</v>
      </c>
      <c r="AC333" t="n">
        <v>6</v>
      </c>
      <c r="AD333" t="n">
        <v>33</v>
      </c>
      <c r="AE333" t="n">
        <v>34</v>
      </c>
      <c r="AF333" t="n">
        <v>12</v>
      </c>
      <c r="AG333" t="n">
        <v>12</v>
      </c>
      <c r="AH333" t="n">
        <v>8</v>
      </c>
      <c r="AI333" t="n">
        <v>8</v>
      </c>
      <c r="AJ333" t="n">
        <v>15</v>
      </c>
      <c r="AK333" t="n">
        <v>16</v>
      </c>
      <c r="AL333" t="n">
        <v>5</v>
      </c>
      <c r="AM333" t="n">
        <v>5</v>
      </c>
      <c r="AN333" t="n">
        <v>1</v>
      </c>
      <c r="AO333" t="n">
        <v>1</v>
      </c>
      <c r="AP333" t="inlineStr">
        <is>
          <t>No</t>
        </is>
      </c>
      <c r="AQ333" t="inlineStr">
        <is>
          <t>No</t>
        </is>
      </c>
      <c r="AS333">
        <f>HYPERLINK("https://creighton-primo.hosted.exlibrisgroup.com/primo-explore/search?tab=default_tab&amp;search_scope=EVERYTHING&amp;vid=01CRU&amp;lang=en_US&amp;offset=0&amp;query=any,contains,991005171219702656","Catalog Record")</f>
        <v/>
      </c>
      <c r="AT333">
        <f>HYPERLINK("http://www.worldcat.org/oclc/7875170","WorldCat Record")</f>
        <v/>
      </c>
      <c r="AU333" t="inlineStr">
        <is>
          <t>509606642:eng</t>
        </is>
      </c>
      <c r="AV333" t="inlineStr">
        <is>
          <t>7875170</t>
        </is>
      </c>
      <c r="AW333" t="inlineStr">
        <is>
          <t>991005171219702656</t>
        </is>
      </c>
      <c r="AX333" t="inlineStr">
        <is>
          <t>991005171219702656</t>
        </is>
      </c>
      <c r="AY333" t="inlineStr">
        <is>
          <t>2268296830002656</t>
        </is>
      </c>
      <c r="AZ333" t="inlineStr">
        <is>
          <t>BOOK</t>
        </is>
      </c>
      <c r="BB333" t="inlineStr">
        <is>
          <t>9780814734155</t>
        </is>
      </c>
      <c r="BC333" t="inlineStr">
        <is>
          <t>32285000219179</t>
        </is>
      </c>
      <c r="BD333" t="inlineStr">
        <is>
          <t>893236394</t>
        </is>
      </c>
    </row>
    <row r="334">
      <c r="A334" t="inlineStr">
        <is>
          <t>No</t>
        </is>
      </c>
      <c r="B334" t="inlineStr">
        <is>
          <t>HN57 .J25 1988</t>
        </is>
      </c>
      <c r="C334" t="inlineStr">
        <is>
          <t>0                      HN 0057000J  25          1988</t>
        </is>
      </c>
      <c r="D334" t="inlineStr">
        <is>
          <t>The reluctant welfare state : a history of American social welfare policies / Bruce S. Jansson.</t>
        </is>
      </c>
      <c r="F334" t="inlineStr">
        <is>
          <t>No</t>
        </is>
      </c>
      <c r="G334" t="inlineStr">
        <is>
          <t>1</t>
        </is>
      </c>
      <c r="H334" t="inlineStr">
        <is>
          <t>No</t>
        </is>
      </c>
      <c r="I334" t="inlineStr">
        <is>
          <t>No</t>
        </is>
      </c>
      <c r="J334" t="inlineStr">
        <is>
          <t>0</t>
        </is>
      </c>
      <c r="K334" t="inlineStr">
        <is>
          <t>Jansson, Bruce S.</t>
        </is>
      </c>
      <c r="L334" t="inlineStr">
        <is>
          <t>Belmont, Calif. : Wadsworth, c1988.</t>
        </is>
      </c>
      <c r="M334" t="inlineStr">
        <is>
          <t>1988</t>
        </is>
      </c>
      <c r="O334" t="inlineStr">
        <is>
          <t>eng</t>
        </is>
      </c>
      <c r="P334" t="inlineStr">
        <is>
          <t>cau</t>
        </is>
      </c>
      <c r="R334" t="inlineStr">
        <is>
          <t xml:space="preserve">HN </t>
        </is>
      </c>
      <c r="S334" t="n">
        <v>5</v>
      </c>
      <c r="T334" t="n">
        <v>5</v>
      </c>
      <c r="U334" t="inlineStr">
        <is>
          <t>2008-09-25</t>
        </is>
      </c>
      <c r="V334" t="inlineStr">
        <is>
          <t>2008-09-25</t>
        </is>
      </c>
      <c r="W334" t="inlineStr">
        <is>
          <t>1990-04-17</t>
        </is>
      </c>
      <c r="X334" t="inlineStr">
        <is>
          <t>1990-04-17</t>
        </is>
      </c>
      <c r="Y334" t="n">
        <v>253</v>
      </c>
      <c r="Z334" t="n">
        <v>226</v>
      </c>
      <c r="AA334" t="n">
        <v>349</v>
      </c>
      <c r="AB334" t="n">
        <v>3</v>
      </c>
      <c r="AC334" t="n">
        <v>4</v>
      </c>
      <c r="AD334" t="n">
        <v>8</v>
      </c>
      <c r="AE334" t="n">
        <v>14</v>
      </c>
      <c r="AF334" t="n">
        <v>1</v>
      </c>
      <c r="AG334" t="n">
        <v>2</v>
      </c>
      <c r="AH334" t="n">
        <v>1</v>
      </c>
      <c r="AI334" t="n">
        <v>3</v>
      </c>
      <c r="AJ334" t="n">
        <v>4</v>
      </c>
      <c r="AK334" t="n">
        <v>7</v>
      </c>
      <c r="AL334" t="n">
        <v>2</v>
      </c>
      <c r="AM334" t="n">
        <v>3</v>
      </c>
      <c r="AN334" t="n">
        <v>1</v>
      </c>
      <c r="AO334" t="n">
        <v>1</v>
      </c>
      <c r="AP334" t="inlineStr">
        <is>
          <t>No</t>
        </is>
      </c>
      <c r="AQ334" t="inlineStr">
        <is>
          <t>Yes</t>
        </is>
      </c>
      <c r="AR334">
        <f>HYPERLINK("http://catalog.hathitrust.org/Record/000884867","HathiTrust Record")</f>
        <v/>
      </c>
      <c r="AS334">
        <f>HYPERLINK("https://creighton-primo.hosted.exlibrisgroup.com/primo-explore/search?tab=default_tab&amp;search_scope=EVERYTHING&amp;vid=01CRU&amp;lang=en_US&amp;offset=0&amp;query=any,contains,991001101099702656","Catalog Record")</f>
        <v/>
      </c>
      <c r="AT334">
        <f>HYPERLINK("http://www.worldcat.org/oclc/16353201","WorldCat Record")</f>
        <v/>
      </c>
      <c r="AU334" t="inlineStr">
        <is>
          <t>3901081403:eng</t>
        </is>
      </c>
      <c r="AV334" t="inlineStr">
        <is>
          <t>16353201</t>
        </is>
      </c>
      <c r="AW334" t="inlineStr">
        <is>
          <t>991001101099702656</t>
        </is>
      </c>
      <c r="AX334" t="inlineStr">
        <is>
          <t>991001101099702656</t>
        </is>
      </c>
      <c r="AY334" t="inlineStr">
        <is>
          <t>2256445360002656</t>
        </is>
      </c>
      <c r="AZ334" t="inlineStr">
        <is>
          <t>BOOK</t>
        </is>
      </c>
      <c r="BB334" t="inlineStr">
        <is>
          <t>9780534084905</t>
        </is>
      </c>
      <c r="BC334" t="inlineStr">
        <is>
          <t>32285000102185</t>
        </is>
      </c>
      <c r="BD334" t="inlineStr">
        <is>
          <t>893426321</t>
        </is>
      </c>
    </row>
    <row r="335">
      <c r="A335" t="inlineStr">
        <is>
          <t>No</t>
        </is>
      </c>
      <c r="B335" t="inlineStr">
        <is>
          <t>HN57 .L32</t>
        </is>
      </c>
      <c r="C335" t="inlineStr">
        <is>
          <t>0                      HN 0057000L  32</t>
        </is>
      </c>
      <c r="D335" t="inlineStr">
        <is>
          <t>Dorothea Lange : Farm Security Administration photographs, 1935-1939 : from the Library of Congress / with writings by Paul S. Taylor ; edited by Howard M. Levin and Katherine Northrup ; introd. by Robert J. Doherty.</t>
        </is>
      </c>
      <c r="E335" t="inlineStr">
        <is>
          <t>V.2</t>
        </is>
      </c>
      <c r="F335" t="inlineStr">
        <is>
          <t>Yes</t>
        </is>
      </c>
      <c r="G335" t="inlineStr">
        <is>
          <t>1</t>
        </is>
      </c>
      <c r="H335" t="inlineStr">
        <is>
          <t>No</t>
        </is>
      </c>
      <c r="I335" t="inlineStr">
        <is>
          <t>No</t>
        </is>
      </c>
      <c r="J335" t="inlineStr">
        <is>
          <t>0</t>
        </is>
      </c>
      <c r="K335" t="inlineStr">
        <is>
          <t>Lange, Dorothea.</t>
        </is>
      </c>
      <c r="L335" t="inlineStr">
        <is>
          <t>Glencoe, Ill. : Text-Fiche Press, 1980.</t>
        </is>
      </c>
      <c r="M335" t="inlineStr">
        <is>
          <t>1980</t>
        </is>
      </c>
      <c r="N335" t="inlineStr">
        <is>
          <t>1st ed.</t>
        </is>
      </c>
      <c r="O335" t="inlineStr">
        <is>
          <t>eng</t>
        </is>
      </c>
      <c r="P335" t="inlineStr">
        <is>
          <t>ilu</t>
        </is>
      </c>
      <c r="R335" t="inlineStr">
        <is>
          <t xml:space="preserve">HN </t>
        </is>
      </c>
      <c r="S335" t="n">
        <v>4</v>
      </c>
      <c r="T335" t="n">
        <v>8</v>
      </c>
      <c r="U335" t="inlineStr">
        <is>
          <t>2001-04-03</t>
        </is>
      </c>
      <c r="V335" t="inlineStr">
        <is>
          <t>2001-04-03</t>
        </is>
      </c>
      <c r="W335" t="inlineStr">
        <is>
          <t>1992-09-25</t>
        </is>
      </c>
      <c r="X335" t="inlineStr">
        <is>
          <t>1992-09-25</t>
        </is>
      </c>
      <c r="Y335" t="n">
        <v>306</v>
      </c>
      <c r="Z335" t="n">
        <v>293</v>
      </c>
      <c r="AA335" t="n">
        <v>299</v>
      </c>
      <c r="AB335" t="n">
        <v>4</v>
      </c>
      <c r="AC335" t="n">
        <v>4</v>
      </c>
      <c r="AD335" t="n">
        <v>12</v>
      </c>
      <c r="AE335" t="n">
        <v>12</v>
      </c>
      <c r="AF335" t="n">
        <v>4</v>
      </c>
      <c r="AG335" t="n">
        <v>4</v>
      </c>
      <c r="AH335" t="n">
        <v>3</v>
      </c>
      <c r="AI335" t="n">
        <v>3</v>
      </c>
      <c r="AJ335" t="n">
        <v>4</v>
      </c>
      <c r="AK335" t="n">
        <v>4</v>
      </c>
      <c r="AL335" t="n">
        <v>3</v>
      </c>
      <c r="AM335" t="n">
        <v>3</v>
      </c>
      <c r="AN335" t="n">
        <v>0</v>
      </c>
      <c r="AO335" t="n">
        <v>0</v>
      </c>
      <c r="AP335" t="inlineStr">
        <is>
          <t>No</t>
        </is>
      </c>
      <c r="AQ335" t="inlineStr">
        <is>
          <t>Yes</t>
        </is>
      </c>
      <c r="AR335">
        <f>HYPERLINK("http://catalog.hathitrust.org/Record/000138306","HathiTrust Record")</f>
        <v/>
      </c>
      <c r="AS335">
        <f>HYPERLINK("https://creighton-primo.hosted.exlibrisgroup.com/primo-explore/search?tab=default_tab&amp;search_scope=EVERYTHING&amp;vid=01CRU&amp;lang=en_US&amp;offset=0&amp;query=any,contains,991005044759702656","Catalog Record")</f>
        <v/>
      </c>
      <c r="AT335">
        <f>HYPERLINK("http://www.worldcat.org/oclc/6816049","WorldCat Record")</f>
        <v/>
      </c>
      <c r="AU335" t="inlineStr">
        <is>
          <t>792123660:eng</t>
        </is>
      </c>
      <c r="AV335" t="inlineStr">
        <is>
          <t>6816049</t>
        </is>
      </c>
      <c r="AW335" t="inlineStr">
        <is>
          <t>991005044759702656</t>
        </is>
      </c>
      <c r="AX335" t="inlineStr">
        <is>
          <t>991005044759702656</t>
        </is>
      </c>
      <c r="AY335" t="inlineStr">
        <is>
          <t>2258453800002656</t>
        </is>
      </c>
      <c r="AZ335" t="inlineStr">
        <is>
          <t>BOOK</t>
        </is>
      </c>
      <c r="BB335" t="inlineStr">
        <is>
          <t>9780899690025</t>
        </is>
      </c>
      <c r="BC335" t="inlineStr">
        <is>
          <t>32285001355022</t>
        </is>
      </c>
      <c r="BD335" t="inlineStr">
        <is>
          <t>893719693</t>
        </is>
      </c>
    </row>
    <row r="336">
      <c r="A336" t="inlineStr">
        <is>
          <t>No</t>
        </is>
      </c>
      <c r="B336" t="inlineStr">
        <is>
          <t>HN57 .L32</t>
        </is>
      </c>
      <c r="C336" t="inlineStr">
        <is>
          <t>0                      HN 0057000L  32</t>
        </is>
      </c>
      <c r="D336" t="inlineStr">
        <is>
          <t>Dorothea Lange : Farm Security Administration photographs, 1935-1939 : from the Library of Congress / with writings by Paul S. Taylor ; edited by Howard M. Levin and Katherine Northrup ; introd. by Robert J. Doherty.</t>
        </is>
      </c>
      <c r="E336" t="inlineStr">
        <is>
          <t>V.1</t>
        </is>
      </c>
      <c r="F336" t="inlineStr">
        <is>
          <t>Yes</t>
        </is>
      </c>
      <c r="G336" t="inlineStr">
        <is>
          <t>1</t>
        </is>
      </c>
      <c r="H336" t="inlineStr">
        <is>
          <t>No</t>
        </is>
      </c>
      <c r="I336" t="inlineStr">
        <is>
          <t>No</t>
        </is>
      </c>
      <c r="J336" t="inlineStr">
        <is>
          <t>0</t>
        </is>
      </c>
      <c r="K336" t="inlineStr">
        <is>
          <t>Lange, Dorothea.</t>
        </is>
      </c>
      <c r="L336" t="inlineStr">
        <is>
          <t>Glencoe, Ill. : Text-Fiche Press, 1980.</t>
        </is>
      </c>
      <c r="M336" t="inlineStr">
        <is>
          <t>1980</t>
        </is>
      </c>
      <c r="N336" t="inlineStr">
        <is>
          <t>1st ed.</t>
        </is>
      </c>
      <c r="O336" t="inlineStr">
        <is>
          <t>eng</t>
        </is>
      </c>
      <c r="P336" t="inlineStr">
        <is>
          <t>ilu</t>
        </is>
      </c>
      <c r="R336" t="inlineStr">
        <is>
          <t xml:space="preserve">HN </t>
        </is>
      </c>
      <c r="S336" t="n">
        <v>4</v>
      </c>
      <c r="T336" t="n">
        <v>8</v>
      </c>
      <c r="U336" t="inlineStr">
        <is>
          <t>2001-04-03</t>
        </is>
      </c>
      <c r="V336" t="inlineStr">
        <is>
          <t>2001-04-03</t>
        </is>
      </c>
      <c r="W336" t="inlineStr">
        <is>
          <t>1992-09-25</t>
        </is>
      </c>
      <c r="X336" t="inlineStr">
        <is>
          <t>1992-09-25</t>
        </is>
      </c>
      <c r="Y336" t="n">
        <v>306</v>
      </c>
      <c r="Z336" t="n">
        <v>293</v>
      </c>
      <c r="AA336" t="n">
        <v>299</v>
      </c>
      <c r="AB336" t="n">
        <v>4</v>
      </c>
      <c r="AC336" t="n">
        <v>4</v>
      </c>
      <c r="AD336" t="n">
        <v>12</v>
      </c>
      <c r="AE336" t="n">
        <v>12</v>
      </c>
      <c r="AF336" t="n">
        <v>4</v>
      </c>
      <c r="AG336" t="n">
        <v>4</v>
      </c>
      <c r="AH336" t="n">
        <v>3</v>
      </c>
      <c r="AI336" t="n">
        <v>3</v>
      </c>
      <c r="AJ336" t="n">
        <v>4</v>
      </c>
      <c r="AK336" t="n">
        <v>4</v>
      </c>
      <c r="AL336" t="n">
        <v>3</v>
      </c>
      <c r="AM336" t="n">
        <v>3</v>
      </c>
      <c r="AN336" t="n">
        <v>0</v>
      </c>
      <c r="AO336" t="n">
        <v>0</v>
      </c>
      <c r="AP336" t="inlineStr">
        <is>
          <t>No</t>
        </is>
      </c>
      <c r="AQ336" t="inlineStr">
        <is>
          <t>Yes</t>
        </is>
      </c>
      <c r="AR336">
        <f>HYPERLINK("http://catalog.hathitrust.org/Record/000138306","HathiTrust Record")</f>
        <v/>
      </c>
      <c r="AS336">
        <f>HYPERLINK("https://creighton-primo.hosted.exlibrisgroup.com/primo-explore/search?tab=default_tab&amp;search_scope=EVERYTHING&amp;vid=01CRU&amp;lang=en_US&amp;offset=0&amp;query=any,contains,991005044759702656","Catalog Record")</f>
        <v/>
      </c>
      <c r="AT336">
        <f>HYPERLINK("http://www.worldcat.org/oclc/6816049","WorldCat Record")</f>
        <v/>
      </c>
      <c r="AU336" t="inlineStr">
        <is>
          <t>792123660:eng</t>
        </is>
      </c>
      <c r="AV336" t="inlineStr">
        <is>
          <t>6816049</t>
        </is>
      </c>
      <c r="AW336" t="inlineStr">
        <is>
          <t>991005044759702656</t>
        </is>
      </c>
      <c r="AX336" t="inlineStr">
        <is>
          <t>991005044759702656</t>
        </is>
      </c>
      <c r="AY336" t="inlineStr">
        <is>
          <t>2258453800002656</t>
        </is>
      </c>
      <c r="AZ336" t="inlineStr">
        <is>
          <t>BOOK</t>
        </is>
      </c>
      <c r="BB336" t="inlineStr">
        <is>
          <t>9780899690025</t>
        </is>
      </c>
      <c r="BC336" t="inlineStr">
        <is>
          <t>32285001355014</t>
        </is>
      </c>
      <c r="BD336" t="inlineStr">
        <is>
          <t>893707167</t>
        </is>
      </c>
    </row>
    <row r="337">
      <c r="A337" t="inlineStr">
        <is>
          <t>No</t>
        </is>
      </c>
      <c r="B337" t="inlineStr">
        <is>
          <t>HN57 .L37</t>
        </is>
      </c>
      <c r="C337" t="inlineStr">
        <is>
          <t>0                      HN 0057000L  37</t>
        </is>
      </c>
      <c r="D337" t="inlineStr">
        <is>
          <t>The agony of the American left.</t>
        </is>
      </c>
      <c r="F337" t="inlineStr">
        <is>
          <t>No</t>
        </is>
      </c>
      <c r="G337" t="inlineStr">
        <is>
          <t>1</t>
        </is>
      </c>
      <c r="H337" t="inlineStr">
        <is>
          <t>No</t>
        </is>
      </c>
      <c r="I337" t="inlineStr">
        <is>
          <t>No</t>
        </is>
      </c>
      <c r="J337" t="inlineStr">
        <is>
          <t>0</t>
        </is>
      </c>
      <c r="K337" t="inlineStr">
        <is>
          <t>Lasch, Christopher.</t>
        </is>
      </c>
      <c r="L337" t="inlineStr">
        <is>
          <t>New York, Knopf, 1969.</t>
        </is>
      </c>
      <c r="M337" t="inlineStr">
        <is>
          <t>1969</t>
        </is>
      </c>
      <c r="N337" t="inlineStr">
        <is>
          <t>[1st ed.]</t>
        </is>
      </c>
      <c r="O337" t="inlineStr">
        <is>
          <t>eng</t>
        </is>
      </c>
      <c r="P337" t="inlineStr">
        <is>
          <t>nyu</t>
        </is>
      </c>
      <c r="R337" t="inlineStr">
        <is>
          <t xml:space="preserve">HN </t>
        </is>
      </c>
      <c r="S337" t="n">
        <v>2</v>
      </c>
      <c r="T337" t="n">
        <v>2</v>
      </c>
      <c r="U337" t="inlineStr">
        <is>
          <t>1997-11-15</t>
        </is>
      </c>
      <c r="V337" t="inlineStr">
        <is>
          <t>1997-11-15</t>
        </is>
      </c>
      <c r="W337" t="inlineStr">
        <is>
          <t>1997-11-14</t>
        </is>
      </c>
      <c r="X337" t="inlineStr">
        <is>
          <t>1997-11-14</t>
        </is>
      </c>
      <c r="Y337" t="n">
        <v>1080</v>
      </c>
      <c r="Z337" t="n">
        <v>991</v>
      </c>
      <c r="AA337" t="n">
        <v>1086</v>
      </c>
      <c r="AB337" t="n">
        <v>8</v>
      </c>
      <c r="AC337" t="n">
        <v>8</v>
      </c>
      <c r="AD337" t="n">
        <v>44</v>
      </c>
      <c r="AE337" t="n">
        <v>44</v>
      </c>
      <c r="AF337" t="n">
        <v>19</v>
      </c>
      <c r="AG337" t="n">
        <v>19</v>
      </c>
      <c r="AH337" t="n">
        <v>7</v>
      </c>
      <c r="AI337" t="n">
        <v>7</v>
      </c>
      <c r="AJ337" t="n">
        <v>23</v>
      </c>
      <c r="AK337" t="n">
        <v>23</v>
      </c>
      <c r="AL337" t="n">
        <v>5</v>
      </c>
      <c r="AM337" t="n">
        <v>5</v>
      </c>
      <c r="AN337" t="n">
        <v>1</v>
      </c>
      <c r="AO337" t="n">
        <v>1</v>
      </c>
      <c r="AP337" t="inlineStr">
        <is>
          <t>No</t>
        </is>
      </c>
      <c r="AQ337" t="inlineStr">
        <is>
          <t>No</t>
        </is>
      </c>
      <c r="AS337">
        <f>HYPERLINK("https://creighton-primo.hosted.exlibrisgroup.com/primo-explore/search?tab=default_tab&amp;search_scope=EVERYTHING&amp;vid=01CRU&amp;lang=en_US&amp;offset=0&amp;query=any,contains,991005435739702656","Catalog Record")</f>
        <v/>
      </c>
      <c r="AT337">
        <f>HYPERLINK("http://www.worldcat.org/oclc/3871","WorldCat Record")</f>
        <v/>
      </c>
      <c r="AU337" t="inlineStr">
        <is>
          <t>1127377:eng</t>
        </is>
      </c>
      <c r="AV337" t="inlineStr">
        <is>
          <t>3871</t>
        </is>
      </c>
      <c r="AW337" t="inlineStr">
        <is>
          <t>991005435739702656</t>
        </is>
      </c>
      <c r="AX337" t="inlineStr">
        <is>
          <t>991005435739702656</t>
        </is>
      </c>
      <c r="AY337" t="inlineStr">
        <is>
          <t>2265741730002656</t>
        </is>
      </c>
      <c r="AZ337" t="inlineStr">
        <is>
          <t>BOOK</t>
        </is>
      </c>
      <c r="BC337" t="inlineStr">
        <is>
          <t>32285003270237</t>
        </is>
      </c>
      <c r="BD337" t="inlineStr">
        <is>
          <t>893521206</t>
        </is>
      </c>
    </row>
    <row r="338">
      <c r="A338" t="inlineStr">
        <is>
          <t>No</t>
        </is>
      </c>
      <c r="B338" t="inlineStr">
        <is>
          <t>HN57 .P356 2007</t>
        </is>
      </c>
      <c r="C338" t="inlineStr">
        <is>
          <t>0                      HN 0057000P  356         2007</t>
        </is>
      </c>
      <c r="D338" t="inlineStr">
        <is>
          <t>American society : a theory of the societal community / Talcott Parsons ; edited and introduced by Giuseppe Sciortino ; foreword by Jeffrey C. Alexander.</t>
        </is>
      </c>
      <c r="F338" t="inlineStr">
        <is>
          <t>No</t>
        </is>
      </c>
      <c r="G338" t="inlineStr">
        <is>
          <t>1</t>
        </is>
      </c>
      <c r="H338" t="inlineStr">
        <is>
          <t>No</t>
        </is>
      </c>
      <c r="I338" t="inlineStr">
        <is>
          <t>No</t>
        </is>
      </c>
      <c r="J338" t="inlineStr">
        <is>
          <t>0</t>
        </is>
      </c>
      <c r="K338" t="inlineStr">
        <is>
          <t>Parsons, Talcott, 1902-1979.</t>
        </is>
      </c>
      <c r="L338" t="inlineStr">
        <is>
          <t>Boulder, CO : Paradigm Publishers, c2007.</t>
        </is>
      </c>
      <c r="M338" t="inlineStr">
        <is>
          <t>2007</t>
        </is>
      </c>
      <c r="O338" t="inlineStr">
        <is>
          <t>eng</t>
        </is>
      </c>
      <c r="P338" t="inlineStr">
        <is>
          <t>cou</t>
        </is>
      </c>
      <c r="Q338" t="inlineStr">
        <is>
          <t>The Yale cultural sociology series</t>
        </is>
      </c>
      <c r="R338" t="inlineStr">
        <is>
          <t xml:space="preserve">HN </t>
        </is>
      </c>
      <c r="S338" t="n">
        <v>3</v>
      </c>
      <c r="T338" t="n">
        <v>3</v>
      </c>
      <c r="U338" t="inlineStr">
        <is>
          <t>2010-10-09</t>
        </is>
      </c>
      <c r="V338" t="inlineStr">
        <is>
          <t>2010-10-09</t>
        </is>
      </c>
      <c r="W338" t="inlineStr">
        <is>
          <t>2008-09-18</t>
        </is>
      </c>
      <c r="X338" t="inlineStr">
        <is>
          <t>2008-09-18</t>
        </is>
      </c>
      <c r="Y338" t="n">
        <v>185</v>
      </c>
      <c r="Z338" t="n">
        <v>135</v>
      </c>
      <c r="AA338" t="n">
        <v>157</v>
      </c>
      <c r="AB338" t="n">
        <v>1</v>
      </c>
      <c r="AC338" t="n">
        <v>1</v>
      </c>
      <c r="AD338" t="n">
        <v>7</v>
      </c>
      <c r="AE338" t="n">
        <v>7</v>
      </c>
      <c r="AF338" t="n">
        <v>1</v>
      </c>
      <c r="AG338" t="n">
        <v>1</v>
      </c>
      <c r="AH338" t="n">
        <v>4</v>
      </c>
      <c r="AI338" t="n">
        <v>4</v>
      </c>
      <c r="AJ338" t="n">
        <v>5</v>
      </c>
      <c r="AK338" t="n">
        <v>5</v>
      </c>
      <c r="AL338" t="n">
        <v>0</v>
      </c>
      <c r="AM338" t="n">
        <v>0</v>
      </c>
      <c r="AN338" t="n">
        <v>0</v>
      </c>
      <c r="AO338" t="n">
        <v>0</v>
      </c>
      <c r="AP338" t="inlineStr">
        <is>
          <t>No</t>
        </is>
      </c>
      <c r="AQ338" t="inlineStr">
        <is>
          <t>Yes</t>
        </is>
      </c>
      <c r="AR338">
        <f>HYPERLINK("http://catalog.hathitrust.org/Record/005555880","HathiTrust Record")</f>
        <v/>
      </c>
      <c r="AS338">
        <f>HYPERLINK("https://creighton-primo.hosted.exlibrisgroup.com/primo-explore/search?tab=default_tab&amp;search_scope=EVERYTHING&amp;vid=01CRU&amp;lang=en_US&amp;offset=0&amp;query=any,contains,991005263339702656","Catalog Record")</f>
        <v/>
      </c>
      <c r="AT338">
        <f>HYPERLINK("http://www.worldcat.org/oclc/80359058","WorldCat Record")</f>
        <v/>
      </c>
      <c r="AU338" t="inlineStr">
        <is>
          <t>866252192:eng</t>
        </is>
      </c>
      <c r="AV338" t="inlineStr">
        <is>
          <t>80359058</t>
        </is>
      </c>
      <c r="AW338" t="inlineStr">
        <is>
          <t>991005263339702656</t>
        </is>
      </c>
      <c r="AX338" t="inlineStr">
        <is>
          <t>991005263339702656</t>
        </is>
      </c>
      <c r="AY338" t="inlineStr">
        <is>
          <t>2257485850002656</t>
        </is>
      </c>
      <c r="AZ338" t="inlineStr">
        <is>
          <t>BOOK</t>
        </is>
      </c>
      <c r="BB338" t="inlineStr">
        <is>
          <t>9781594512278</t>
        </is>
      </c>
      <c r="BC338" t="inlineStr">
        <is>
          <t>32285005458814</t>
        </is>
      </c>
      <c r="BD338" t="inlineStr">
        <is>
          <t>893507874</t>
        </is>
      </c>
    </row>
    <row r="339">
      <c r="A339" t="inlineStr">
        <is>
          <t>No</t>
        </is>
      </c>
      <c r="B339" t="inlineStr">
        <is>
          <t>HN57 .P57</t>
        </is>
      </c>
      <c r="C339" t="inlineStr">
        <is>
          <t>0                      HN 0057000P  57</t>
        </is>
      </c>
      <c r="D339" t="inlineStr">
        <is>
          <t>Hustlers, beats, and others.</t>
        </is>
      </c>
      <c r="F339" t="inlineStr">
        <is>
          <t>No</t>
        </is>
      </c>
      <c r="G339" t="inlineStr">
        <is>
          <t>1</t>
        </is>
      </c>
      <c r="H339" t="inlineStr">
        <is>
          <t>No</t>
        </is>
      </c>
      <c r="I339" t="inlineStr">
        <is>
          <t>No</t>
        </is>
      </c>
      <c r="J339" t="inlineStr">
        <is>
          <t>0</t>
        </is>
      </c>
      <c r="K339" t="inlineStr">
        <is>
          <t>Polsky, Ned.</t>
        </is>
      </c>
      <c r="L339" t="inlineStr">
        <is>
          <t>Chicago : Aldine Pub. Co., [1967]</t>
        </is>
      </c>
      <c r="M339" t="inlineStr">
        <is>
          <t>1967</t>
        </is>
      </c>
      <c r="O339" t="inlineStr">
        <is>
          <t>eng</t>
        </is>
      </c>
      <c r="P339" t="inlineStr">
        <is>
          <t>ilu</t>
        </is>
      </c>
      <c r="Q339" t="inlineStr">
        <is>
          <t>Observations</t>
        </is>
      </c>
      <c r="R339" t="inlineStr">
        <is>
          <t xml:space="preserve">HN </t>
        </is>
      </c>
      <c r="S339" t="n">
        <v>11</v>
      </c>
      <c r="T339" t="n">
        <v>11</v>
      </c>
      <c r="U339" t="inlineStr">
        <is>
          <t>2001-03-26</t>
        </is>
      </c>
      <c r="V339" t="inlineStr">
        <is>
          <t>2001-03-26</t>
        </is>
      </c>
      <c r="W339" t="inlineStr">
        <is>
          <t>1992-11-30</t>
        </is>
      </c>
      <c r="X339" t="inlineStr">
        <is>
          <t>1992-11-30</t>
        </is>
      </c>
      <c r="Y339" t="n">
        <v>762</v>
      </c>
      <c r="Z339" t="n">
        <v>654</v>
      </c>
      <c r="AA339" t="n">
        <v>879</v>
      </c>
      <c r="AB339" t="n">
        <v>8</v>
      </c>
      <c r="AC339" t="n">
        <v>8</v>
      </c>
      <c r="AD339" t="n">
        <v>36</v>
      </c>
      <c r="AE339" t="n">
        <v>40</v>
      </c>
      <c r="AF339" t="n">
        <v>14</v>
      </c>
      <c r="AG339" t="n">
        <v>16</v>
      </c>
      <c r="AH339" t="n">
        <v>7</v>
      </c>
      <c r="AI339" t="n">
        <v>8</v>
      </c>
      <c r="AJ339" t="n">
        <v>17</v>
      </c>
      <c r="AK339" t="n">
        <v>20</v>
      </c>
      <c r="AL339" t="n">
        <v>7</v>
      </c>
      <c r="AM339" t="n">
        <v>7</v>
      </c>
      <c r="AN339" t="n">
        <v>1</v>
      </c>
      <c r="AO339" t="n">
        <v>1</v>
      </c>
      <c r="AP339" t="inlineStr">
        <is>
          <t>No</t>
        </is>
      </c>
      <c r="AQ339" t="inlineStr">
        <is>
          <t>No</t>
        </is>
      </c>
      <c r="AS339">
        <f>HYPERLINK("https://creighton-primo.hosted.exlibrisgroup.com/primo-explore/search?tab=default_tab&amp;search_scope=EVERYTHING&amp;vid=01CRU&amp;lang=en_US&amp;offset=0&amp;query=any,contains,991002001059702656","Catalog Record")</f>
        <v/>
      </c>
      <c r="AT339">
        <f>HYPERLINK("http://www.worldcat.org/oclc/256234","WorldCat Record")</f>
        <v/>
      </c>
      <c r="AU339" t="inlineStr">
        <is>
          <t>668313:eng</t>
        </is>
      </c>
      <c r="AV339" t="inlineStr">
        <is>
          <t>256234</t>
        </is>
      </c>
      <c r="AW339" t="inlineStr">
        <is>
          <t>991002001059702656</t>
        </is>
      </c>
      <c r="AX339" t="inlineStr">
        <is>
          <t>991002001059702656</t>
        </is>
      </c>
      <c r="AY339" t="inlineStr">
        <is>
          <t>2272293940002656</t>
        </is>
      </c>
      <c r="AZ339" t="inlineStr">
        <is>
          <t>BOOK</t>
        </is>
      </c>
      <c r="BC339" t="inlineStr">
        <is>
          <t>32285001410215</t>
        </is>
      </c>
      <c r="BD339" t="inlineStr">
        <is>
          <t>893615575</t>
        </is>
      </c>
    </row>
    <row r="340">
      <c r="A340" t="inlineStr">
        <is>
          <t>No</t>
        </is>
      </c>
      <c r="B340" t="inlineStr">
        <is>
          <t>HN57 .Q44 2001</t>
        </is>
      </c>
      <c r="C340" t="inlineStr">
        <is>
          <t>0                      HN 0057000Q  44          2001</t>
        </is>
      </c>
      <c r="D340" t="inlineStr">
        <is>
          <t>Balsamic dreams : a short but self-important history of the baby boomer generation / Joe Queenan.</t>
        </is>
      </c>
      <c r="F340" t="inlineStr">
        <is>
          <t>No</t>
        </is>
      </c>
      <c r="G340" t="inlineStr">
        <is>
          <t>1</t>
        </is>
      </c>
      <c r="H340" t="inlineStr">
        <is>
          <t>No</t>
        </is>
      </c>
      <c r="I340" t="inlineStr">
        <is>
          <t>No</t>
        </is>
      </c>
      <c r="J340" t="inlineStr">
        <is>
          <t>0</t>
        </is>
      </c>
      <c r="K340" t="inlineStr">
        <is>
          <t>Queenan, Joe.</t>
        </is>
      </c>
      <c r="L340" t="inlineStr">
        <is>
          <t>New York : Henry Holt and Co., 2001.</t>
        </is>
      </c>
      <c r="M340" t="inlineStr">
        <is>
          <t>2001</t>
        </is>
      </c>
      <c r="N340" t="inlineStr">
        <is>
          <t>1st ed.</t>
        </is>
      </c>
      <c r="O340" t="inlineStr">
        <is>
          <t>eng</t>
        </is>
      </c>
      <c r="P340" t="inlineStr">
        <is>
          <t>nyu</t>
        </is>
      </c>
      <c r="R340" t="inlineStr">
        <is>
          <t xml:space="preserve">HN </t>
        </is>
      </c>
      <c r="S340" t="n">
        <v>1</v>
      </c>
      <c r="T340" t="n">
        <v>1</v>
      </c>
      <c r="U340" t="inlineStr">
        <is>
          <t>2001-06-26</t>
        </is>
      </c>
      <c r="V340" t="inlineStr">
        <is>
          <t>2001-06-26</t>
        </is>
      </c>
      <c r="W340" t="inlineStr">
        <is>
          <t>2001-06-26</t>
        </is>
      </c>
      <c r="X340" t="inlineStr">
        <is>
          <t>2001-06-26</t>
        </is>
      </c>
      <c r="Y340" t="n">
        <v>582</v>
      </c>
      <c r="Z340" t="n">
        <v>563</v>
      </c>
      <c r="AA340" t="n">
        <v>608</v>
      </c>
      <c r="AB340" t="n">
        <v>3</v>
      </c>
      <c r="AC340" t="n">
        <v>3</v>
      </c>
      <c r="AD340" t="n">
        <v>9</v>
      </c>
      <c r="AE340" t="n">
        <v>9</v>
      </c>
      <c r="AF340" t="n">
        <v>2</v>
      </c>
      <c r="AG340" t="n">
        <v>2</v>
      </c>
      <c r="AH340" t="n">
        <v>2</v>
      </c>
      <c r="AI340" t="n">
        <v>2</v>
      </c>
      <c r="AJ340" t="n">
        <v>7</v>
      </c>
      <c r="AK340" t="n">
        <v>7</v>
      </c>
      <c r="AL340" t="n">
        <v>1</v>
      </c>
      <c r="AM340" t="n">
        <v>1</v>
      </c>
      <c r="AN340" t="n">
        <v>0</v>
      </c>
      <c r="AO340" t="n">
        <v>0</v>
      </c>
      <c r="AP340" t="inlineStr">
        <is>
          <t>No</t>
        </is>
      </c>
      <c r="AQ340" t="inlineStr">
        <is>
          <t>No</t>
        </is>
      </c>
      <c r="AS340">
        <f>HYPERLINK("https://creighton-primo.hosted.exlibrisgroup.com/primo-explore/search?tab=default_tab&amp;search_scope=EVERYTHING&amp;vid=01CRU&amp;lang=en_US&amp;offset=0&amp;query=any,contains,991003540789702656","Catalog Record")</f>
        <v/>
      </c>
      <c r="AT340">
        <f>HYPERLINK("http://www.worldcat.org/oclc/45620872","WorldCat Record")</f>
        <v/>
      </c>
      <c r="AU340" t="inlineStr">
        <is>
          <t>6359211:eng</t>
        </is>
      </c>
      <c r="AV340" t="inlineStr">
        <is>
          <t>45620872</t>
        </is>
      </c>
      <c r="AW340" t="inlineStr">
        <is>
          <t>991003540789702656</t>
        </is>
      </c>
      <c r="AX340" t="inlineStr">
        <is>
          <t>991003540789702656</t>
        </is>
      </c>
      <c r="AY340" t="inlineStr">
        <is>
          <t>2263496050002656</t>
        </is>
      </c>
      <c r="AZ340" t="inlineStr">
        <is>
          <t>BOOK</t>
        </is>
      </c>
      <c r="BB340" t="inlineStr">
        <is>
          <t>9780805067200</t>
        </is>
      </c>
      <c r="BC340" t="inlineStr">
        <is>
          <t>32285004329297</t>
        </is>
      </c>
      <c r="BD340" t="inlineStr">
        <is>
          <t>893881281</t>
        </is>
      </c>
    </row>
    <row r="341">
      <c r="A341" t="inlineStr">
        <is>
          <t>No</t>
        </is>
      </c>
      <c r="B341" t="inlineStr">
        <is>
          <t>HN57 .R573 1993</t>
        </is>
      </c>
      <c r="C341" t="inlineStr">
        <is>
          <t>0                      HN 0057000R  573         1993</t>
        </is>
      </c>
      <c r="D341" t="inlineStr">
        <is>
          <t>American society : an introduction to macrosociology / Daniel W. Rossides.</t>
        </is>
      </c>
      <c r="F341" t="inlineStr">
        <is>
          <t>No</t>
        </is>
      </c>
      <c r="G341" t="inlineStr">
        <is>
          <t>1</t>
        </is>
      </c>
      <c r="H341" t="inlineStr">
        <is>
          <t>No</t>
        </is>
      </c>
      <c r="I341" t="inlineStr">
        <is>
          <t>No</t>
        </is>
      </c>
      <c r="J341" t="inlineStr">
        <is>
          <t>0</t>
        </is>
      </c>
      <c r="K341" t="inlineStr">
        <is>
          <t>Rossides, Daniel W., 1925-</t>
        </is>
      </c>
      <c r="L341" t="inlineStr">
        <is>
          <t>Dix Hills, N.Y. : General Hall, c1993.</t>
        </is>
      </c>
      <c r="M341" t="inlineStr">
        <is>
          <t>1993</t>
        </is>
      </c>
      <c r="O341" t="inlineStr">
        <is>
          <t>eng</t>
        </is>
      </c>
      <c r="P341" t="inlineStr">
        <is>
          <t>nyu</t>
        </is>
      </c>
      <c r="Q341" t="inlineStr">
        <is>
          <t>The Reynolds series in sociology</t>
        </is>
      </c>
      <c r="R341" t="inlineStr">
        <is>
          <t xml:space="preserve">HN </t>
        </is>
      </c>
      <c r="S341" t="n">
        <v>2</v>
      </c>
      <c r="T341" t="n">
        <v>2</v>
      </c>
      <c r="U341" t="inlineStr">
        <is>
          <t>2008-12-01</t>
        </is>
      </c>
      <c r="V341" t="inlineStr">
        <is>
          <t>2008-12-01</t>
        </is>
      </c>
      <c r="W341" t="inlineStr">
        <is>
          <t>1994-09-19</t>
        </is>
      </c>
      <c r="X341" t="inlineStr">
        <is>
          <t>1994-09-19</t>
        </is>
      </c>
      <c r="Y341" t="n">
        <v>50</v>
      </c>
      <c r="Z341" t="n">
        <v>49</v>
      </c>
      <c r="AA341" t="n">
        <v>50</v>
      </c>
      <c r="AB341" t="n">
        <v>2</v>
      </c>
      <c r="AC341" t="n">
        <v>2</v>
      </c>
      <c r="AD341" t="n">
        <v>3</v>
      </c>
      <c r="AE341" t="n">
        <v>3</v>
      </c>
      <c r="AF341" t="n">
        <v>1</v>
      </c>
      <c r="AG341" t="n">
        <v>1</v>
      </c>
      <c r="AH341" t="n">
        <v>1</v>
      </c>
      <c r="AI341" t="n">
        <v>1</v>
      </c>
      <c r="AJ341" t="n">
        <v>1</v>
      </c>
      <c r="AK341" t="n">
        <v>1</v>
      </c>
      <c r="AL341" t="n">
        <v>1</v>
      </c>
      <c r="AM341" t="n">
        <v>1</v>
      </c>
      <c r="AN341" t="n">
        <v>0</v>
      </c>
      <c r="AO341" t="n">
        <v>0</v>
      </c>
      <c r="AP341" t="inlineStr">
        <is>
          <t>No</t>
        </is>
      </c>
      <c r="AQ341" t="inlineStr">
        <is>
          <t>Yes</t>
        </is>
      </c>
      <c r="AR341">
        <f>HYPERLINK("http://catalog.hathitrust.org/Record/008319338","HathiTrust Record")</f>
        <v/>
      </c>
      <c r="AS341">
        <f>HYPERLINK("https://creighton-primo.hosted.exlibrisgroup.com/primo-explore/search?tab=default_tab&amp;search_scope=EVERYTHING&amp;vid=01CRU&amp;lang=en_US&amp;offset=0&amp;query=any,contains,991002330679702656","Catalog Record")</f>
        <v/>
      </c>
      <c r="AT341">
        <f>HYPERLINK("http://www.worldcat.org/oclc/30332117","WorldCat Record")</f>
        <v/>
      </c>
      <c r="AU341" t="inlineStr">
        <is>
          <t>906841070:eng</t>
        </is>
      </c>
      <c r="AV341" t="inlineStr">
        <is>
          <t>30332117</t>
        </is>
      </c>
      <c r="AW341" t="inlineStr">
        <is>
          <t>991002330679702656</t>
        </is>
      </c>
      <c r="AX341" t="inlineStr">
        <is>
          <t>991002330679702656</t>
        </is>
      </c>
      <c r="AY341" t="inlineStr">
        <is>
          <t>2271133370002656</t>
        </is>
      </c>
      <c r="AZ341" t="inlineStr">
        <is>
          <t>BOOK</t>
        </is>
      </c>
      <c r="BB341" t="inlineStr">
        <is>
          <t>9781882289042</t>
        </is>
      </c>
      <c r="BC341" t="inlineStr">
        <is>
          <t>32285001946622</t>
        </is>
      </c>
      <c r="BD341" t="inlineStr">
        <is>
          <t>893433753</t>
        </is>
      </c>
    </row>
    <row r="342">
      <c r="A342" t="inlineStr">
        <is>
          <t>No</t>
        </is>
      </c>
      <c r="B342" t="inlineStr">
        <is>
          <t>HN57 .R58</t>
        </is>
      </c>
      <c r="C342" t="inlineStr">
        <is>
          <t>0                      HN 0057000R  58</t>
        </is>
      </c>
      <c r="D342" t="inlineStr">
        <is>
          <t>Achievement in American society. Edited by Bernard C. Rosen, Harry J. Crockett, Jr., and Clyde Z. Nunn. With foreword by James S. Coleman.</t>
        </is>
      </c>
      <c r="F342" t="inlineStr">
        <is>
          <t>No</t>
        </is>
      </c>
      <c r="G342" t="inlineStr">
        <is>
          <t>1</t>
        </is>
      </c>
      <c r="H342" t="inlineStr">
        <is>
          <t>No</t>
        </is>
      </c>
      <c r="I342" t="inlineStr">
        <is>
          <t>No</t>
        </is>
      </c>
      <c r="J342" t="inlineStr">
        <is>
          <t>0</t>
        </is>
      </c>
      <c r="K342" t="inlineStr">
        <is>
          <t>Rosen, Bernard Carl, compiler.</t>
        </is>
      </c>
      <c r="L342" t="inlineStr">
        <is>
          <t>Cambridge, Mass., Schenkman Pub. Co. [1969]</t>
        </is>
      </c>
      <c r="M342" t="inlineStr">
        <is>
          <t>1969</t>
        </is>
      </c>
      <c r="O342" t="inlineStr">
        <is>
          <t>eng</t>
        </is>
      </c>
      <c r="P342" t="inlineStr">
        <is>
          <t>mau</t>
        </is>
      </c>
      <c r="R342" t="inlineStr">
        <is>
          <t xml:space="preserve">HN </t>
        </is>
      </c>
      <c r="S342" t="n">
        <v>2</v>
      </c>
      <c r="T342" t="n">
        <v>2</v>
      </c>
      <c r="U342" t="inlineStr">
        <is>
          <t>1999-02-20</t>
        </is>
      </c>
      <c r="V342" t="inlineStr">
        <is>
          <t>1999-02-20</t>
        </is>
      </c>
      <c r="W342" t="inlineStr">
        <is>
          <t>1997-08-05</t>
        </is>
      </c>
      <c r="X342" t="inlineStr">
        <is>
          <t>1997-08-05</t>
        </is>
      </c>
      <c r="Y342" t="n">
        <v>427</v>
      </c>
      <c r="Z342" t="n">
        <v>348</v>
      </c>
      <c r="AA342" t="n">
        <v>355</v>
      </c>
      <c r="AB342" t="n">
        <v>5</v>
      </c>
      <c r="AC342" t="n">
        <v>5</v>
      </c>
      <c r="AD342" t="n">
        <v>23</v>
      </c>
      <c r="AE342" t="n">
        <v>23</v>
      </c>
      <c r="AF342" t="n">
        <v>9</v>
      </c>
      <c r="AG342" t="n">
        <v>9</v>
      </c>
      <c r="AH342" t="n">
        <v>4</v>
      </c>
      <c r="AI342" t="n">
        <v>4</v>
      </c>
      <c r="AJ342" t="n">
        <v>11</v>
      </c>
      <c r="AK342" t="n">
        <v>11</v>
      </c>
      <c r="AL342" t="n">
        <v>4</v>
      </c>
      <c r="AM342" t="n">
        <v>4</v>
      </c>
      <c r="AN342" t="n">
        <v>0</v>
      </c>
      <c r="AO342" t="n">
        <v>0</v>
      </c>
      <c r="AP342" t="inlineStr">
        <is>
          <t>No</t>
        </is>
      </c>
      <c r="AQ342" t="inlineStr">
        <is>
          <t>Yes</t>
        </is>
      </c>
      <c r="AR342">
        <f>HYPERLINK("http://catalog.hathitrust.org/Record/001109611","HathiTrust Record")</f>
        <v/>
      </c>
      <c r="AS342">
        <f>HYPERLINK("https://creighton-primo.hosted.exlibrisgroup.com/primo-explore/search?tab=default_tab&amp;search_scope=EVERYTHING&amp;vid=01CRU&amp;lang=en_US&amp;offset=0&amp;query=any,contains,991000037959702656","Catalog Record")</f>
        <v/>
      </c>
      <c r="AT342">
        <f>HYPERLINK("http://www.worldcat.org/oclc/20943","WorldCat Record")</f>
        <v/>
      </c>
      <c r="AU342" t="inlineStr">
        <is>
          <t>1143313:eng</t>
        </is>
      </c>
      <c r="AV342" t="inlineStr">
        <is>
          <t>20943</t>
        </is>
      </c>
      <c r="AW342" t="inlineStr">
        <is>
          <t>991000037959702656</t>
        </is>
      </c>
      <c r="AX342" t="inlineStr">
        <is>
          <t>991000037959702656</t>
        </is>
      </c>
      <c r="AY342" t="inlineStr">
        <is>
          <t>2261566200002656</t>
        </is>
      </c>
      <c r="AZ342" t="inlineStr">
        <is>
          <t>BOOK</t>
        </is>
      </c>
      <c r="BC342" t="inlineStr">
        <is>
          <t>32285003041935</t>
        </is>
      </c>
      <c r="BD342" t="inlineStr">
        <is>
          <t>893865020</t>
        </is>
      </c>
    </row>
    <row r="343">
      <c r="A343" t="inlineStr">
        <is>
          <t>No</t>
        </is>
      </c>
      <c r="B343" t="inlineStr">
        <is>
          <t>HN57 .R78</t>
        </is>
      </c>
      <c r="C343" t="inlineStr">
        <is>
          <t>0                      HN 0057000R  78</t>
        </is>
      </c>
      <c r="D343" t="inlineStr">
        <is>
          <t>Rural America / edited by Suzanne Fremon and Morrow Wilson.</t>
        </is>
      </c>
      <c r="F343" t="inlineStr">
        <is>
          <t>No</t>
        </is>
      </c>
      <c r="G343" t="inlineStr">
        <is>
          <t>1</t>
        </is>
      </c>
      <c r="H343" t="inlineStr">
        <is>
          <t>No</t>
        </is>
      </c>
      <c r="I343" t="inlineStr">
        <is>
          <t>No</t>
        </is>
      </c>
      <c r="J343" t="inlineStr">
        <is>
          <t>0</t>
        </is>
      </c>
      <c r="L343" t="inlineStr">
        <is>
          <t>New York : H. W. Wilson, 1976.</t>
        </is>
      </c>
      <c r="M343" t="inlineStr">
        <is>
          <t>1976</t>
        </is>
      </c>
      <c r="O343" t="inlineStr">
        <is>
          <t>eng</t>
        </is>
      </c>
      <c r="P343" t="inlineStr">
        <is>
          <t>nyu</t>
        </is>
      </c>
      <c r="Q343" t="inlineStr">
        <is>
          <t>The Reference shelf ; v. 48, no. 3</t>
        </is>
      </c>
      <c r="R343" t="inlineStr">
        <is>
          <t xml:space="preserve">HN </t>
        </is>
      </c>
      <c r="S343" t="n">
        <v>2</v>
      </c>
      <c r="T343" t="n">
        <v>2</v>
      </c>
      <c r="U343" t="inlineStr">
        <is>
          <t>2002-03-25</t>
        </is>
      </c>
      <c r="V343" t="inlineStr">
        <is>
          <t>2002-03-25</t>
        </is>
      </c>
      <c r="W343" t="inlineStr">
        <is>
          <t>1997-08-05</t>
        </is>
      </c>
      <c r="X343" t="inlineStr">
        <is>
          <t>1997-08-05</t>
        </is>
      </c>
      <c r="Y343" t="n">
        <v>1147</v>
      </c>
      <c r="Z343" t="n">
        <v>1113</v>
      </c>
      <c r="AA343" t="n">
        <v>1163</v>
      </c>
      <c r="AB343" t="n">
        <v>8</v>
      </c>
      <c r="AC343" t="n">
        <v>9</v>
      </c>
      <c r="AD343" t="n">
        <v>37</v>
      </c>
      <c r="AE343" t="n">
        <v>39</v>
      </c>
      <c r="AF343" t="n">
        <v>12</v>
      </c>
      <c r="AG343" t="n">
        <v>13</v>
      </c>
      <c r="AH343" t="n">
        <v>8</v>
      </c>
      <c r="AI343" t="n">
        <v>8</v>
      </c>
      <c r="AJ343" t="n">
        <v>20</v>
      </c>
      <c r="AK343" t="n">
        <v>21</v>
      </c>
      <c r="AL343" t="n">
        <v>6</v>
      </c>
      <c r="AM343" t="n">
        <v>7</v>
      </c>
      <c r="AN343" t="n">
        <v>0</v>
      </c>
      <c r="AO343" t="n">
        <v>0</v>
      </c>
      <c r="AP343" t="inlineStr">
        <is>
          <t>No</t>
        </is>
      </c>
      <c r="AQ343" t="inlineStr">
        <is>
          <t>Yes</t>
        </is>
      </c>
      <c r="AR343">
        <f>HYPERLINK("http://catalog.hathitrust.org/Record/000744733","HathiTrust Record")</f>
        <v/>
      </c>
      <c r="AS343">
        <f>HYPERLINK("https://creighton-primo.hosted.exlibrisgroup.com/primo-explore/search?tab=default_tab&amp;search_scope=EVERYTHING&amp;vid=01CRU&amp;lang=en_US&amp;offset=0&amp;query=any,contains,991004125319702656","Catalog Record")</f>
        <v/>
      </c>
      <c r="AT343">
        <f>HYPERLINK("http://www.worldcat.org/oclc/2454637","WorldCat Record")</f>
        <v/>
      </c>
      <c r="AU343" t="inlineStr">
        <is>
          <t>308985712:eng</t>
        </is>
      </c>
      <c r="AV343" t="inlineStr">
        <is>
          <t>2454637</t>
        </is>
      </c>
      <c r="AW343" t="inlineStr">
        <is>
          <t>991004125319702656</t>
        </is>
      </c>
      <c r="AX343" t="inlineStr">
        <is>
          <t>991004125319702656</t>
        </is>
      </c>
      <c r="AY343" t="inlineStr">
        <is>
          <t>2270289860002656</t>
        </is>
      </c>
      <c r="AZ343" t="inlineStr">
        <is>
          <t>BOOK</t>
        </is>
      </c>
      <c r="BB343" t="inlineStr">
        <is>
          <t>9780824205973</t>
        </is>
      </c>
      <c r="BC343" t="inlineStr">
        <is>
          <t>32285003041943</t>
        </is>
      </c>
      <c r="BD343" t="inlineStr">
        <is>
          <t>893532013</t>
        </is>
      </c>
    </row>
    <row r="344">
      <c r="A344" t="inlineStr">
        <is>
          <t>No</t>
        </is>
      </c>
      <c r="B344" t="inlineStr">
        <is>
          <t>HN57 .R79 1993</t>
        </is>
      </c>
      <c r="C344" t="inlineStr">
        <is>
          <t>0                      HN 0057000R  79          1993</t>
        </is>
      </c>
      <c r="D344" t="inlineStr">
        <is>
          <t>The master trend : how the baby boom generation is remaking America / Cheryl Russell.</t>
        </is>
      </c>
      <c r="F344" t="inlineStr">
        <is>
          <t>No</t>
        </is>
      </c>
      <c r="G344" t="inlineStr">
        <is>
          <t>1</t>
        </is>
      </c>
      <c r="H344" t="inlineStr">
        <is>
          <t>No</t>
        </is>
      </c>
      <c r="I344" t="inlineStr">
        <is>
          <t>No</t>
        </is>
      </c>
      <c r="J344" t="inlineStr">
        <is>
          <t>0</t>
        </is>
      </c>
      <c r="K344" t="inlineStr">
        <is>
          <t>Russell, Cheryl, 1953-</t>
        </is>
      </c>
      <c r="L344" t="inlineStr">
        <is>
          <t>New York : Plenum Press, c1993.</t>
        </is>
      </c>
      <c r="M344" t="inlineStr">
        <is>
          <t>1993</t>
        </is>
      </c>
      <c r="O344" t="inlineStr">
        <is>
          <t>eng</t>
        </is>
      </c>
      <c r="P344" t="inlineStr">
        <is>
          <t>nyu</t>
        </is>
      </c>
      <c r="R344" t="inlineStr">
        <is>
          <t xml:space="preserve">HN </t>
        </is>
      </c>
      <c r="S344" t="n">
        <v>12</v>
      </c>
      <c r="T344" t="n">
        <v>12</v>
      </c>
      <c r="U344" t="inlineStr">
        <is>
          <t>1999-04-14</t>
        </is>
      </c>
      <c r="V344" t="inlineStr">
        <is>
          <t>1999-04-14</t>
        </is>
      </c>
      <c r="W344" t="inlineStr">
        <is>
          <t>1994-02-11</t>
        </is>
      </c>
      <c r="X344" t="inlineStr">
        <is>
          <t>1994-02-11</t>
        </is>
      </c>
      <c r="Y344" t="n">
        <v>477</v>
      </c>
      <c r="Z344" t="n">
        <v>426</v>
      </c>
      <c r="AA344" t="n">
        <v>438</v>
      </c>
      <c r="AB344" t="n">
        <v>4</v>
      </c>
      <c r="AC344" t="n">
        <v>4</v>
      </c>
      <c r="AD344" t="n">
        <v>22</v>
      </c>
      <c r="AE344" t="n">
        <v>22</v>
      </c>
      <c r="AF344" t="n">
        <v>6</v>
      </c>
      <c r="AG344" t="n">
        <v>6</v>
      </c>
      <c r="AH344" t="n">
        <v>7</v>
      </c>
      <c r="AI344" t="n">
        <v>7</v>
      </c>
      <c r="AJ344" t="n">
        <v>11</v>
      </c>
      <c r="AK344" t="n">
        <v>11</v>
      </c>
      <c r="AL344" t="n">
        <v>3</v>
      </c>
      <c r="AM344" t="n">
        <v>3</v>
      </c>
      <c r="AN344" t="n">
        <v>0</v>
      </c>
      <c r="AO344" t="n">
        <v>0</v>
      </c>
      <c r="AP344" t="inlineStr">
        <is>
          <t>No</t>
        </is>
      </c>
      <c r="AQ344" t="inlineStr">
        <is>
          <t>No</t>
        </is>
      </c>
      <c r="AS344">
        <f>HYPERLINK("https://creighton-primo.hosted.exlibrisgroup.com/primo-explore/search?tab=default_tab&amp;search_scope=EVERYTHING&amp;vid=01CRU&amp;lang=en_US&amp;offset=0&amp;query=any,contains,991002202279702656","Catalog Record")</f>
        <v/>
      </c>
      <c r="AT344">
        <f>HYPERLINK("http://www.worldcat.org/oclc/28333477","WorldCat Record")</f>
        <v/>
      </c>
      <c r="AU344" t="inlineStr">
        <is>
          <t>367149434:eng</t>
        </is>
      </c>
      <c r="AV344" t="inlineStr">
        <is>
          <t>28333477</t>
        </is>
      </c>
      <c r="AW344" t="inlineStr">
        <is>
          <t>991002202279702656</t>
        </is>
      </c>
      <c r="AX344" t="inlineStr">
        <is>
          <t>991002202279702656</t>
        </is>
      </c>
      <c r="AY344" t="inlineStr">
        <is>
          <t>2263726590002656</t>
        </is>
      </c>
      <c r="AZ344" t="inlineStr">
        <is>
          <t>BOOK</t>
        </is>
      </c>
      <c r="BB344" t="inlineStr">
        <is>
          <t>9780306445071</t>
        </is>
      </c>
      <c r="BC344" t="inlineStr">
        <is>
          <t>32285001841294</t>
        </is>
      </c>
      <c r="BD344" t="inlineStr">
        <is>
          <t>893779532</t>
        </is>
      </c>
    </row>
    <row r="345">
      <c r="A345" t="inlineStr">
        <is>
          <t>No</t>
        </is>
      </c>
      <c r="B345" t="inlineStr">
        <is>
          <t>HN57 .S525 1995</t>
        </is>
      </c>
      <c r="C345" t="inlineStr">
        <is>
          <t>0                      HN 0057000S  525         1995</t>
        </is>
      </c>
      <c r="D345" t="inlineStr">
        <is>
          <t>Social policy in the United States : future possibilities in historical perspective / Theda Skocpol.</t>
        </is>
      </c>
      <c r="F345" t="inlineStr">
        <is>
          <t>No</t>
        </is>
      </c>
      <c r="G345" t="inlineStr">
        <is>
          <t>1</t>
        </is>
      </c>
      <c r="H345" t="inlineStr">
        <is>
          <t>No</t>
        </is>
      </c>
      <c r="I345" t="inlineStr">
        <is>
          <t>No</t>
        </is>
      </c>
      <c r="J345" t="inlineStr">
        <is>
          <t>0</t>
        </is>
      </c>
      <c r="K345" t="inlineStr">
        <is>
          <t>Skocpol, Theda.</t>
        </is>
      </c>
      <c r="L345" t="inlineStr">
        <is>
          <t>Princeton, N.J. : Princeton University Press, c1995.</t>
        </is>
      </c>
      <c r="M345" t="inlineStr">
        <is>
          <t>1995</t>
        </is>
      </c>
      <c r="O345" t="inlineStr">
        <is>
          <t>eng</t>
        </is>
      </c>
      <c r="P345" t="inlineStr">
        <is>
          <t>nju</t>
        </is>
      </c>
      <c r="Q345" t="inlineStr">
        <is>
          <t>Princeton studies in American politics</t>
        </is>
      </c>
      <c r="R345" t="inlineStr">
        <is>
          <t xml:space="preserve">HN </t>
        </is>
      </c>
      <c r="S345" t="n">
        <v>10</v>
      </c>
      <c r="T345" t="n">
        <v>10</v>
      </c>
      <c r="U345" t="inlineStr">
        <is>
          <t>2004-09-21</t>
        </is>
      </c>
      <c r="V345" t="inlineStr">
        <is>
          <t>2004-09-21</t>
        </is>
      </c>
      <c r="W345" t="inlineStr">
        <is>
          <t>1995-10-23</t>
        </is>
      </c>
      <c r="X345" t="inlineStr">
        <is>
          <t>1995-10-23</t>
        </is>
      </c>
      <c r="Y345" t="n">
        <v>774</v>
      </c>
      <c r="Z345" t="n">
        <v>633</v>
      </c>
      <c r="AA345" t="n">
        <v>795</v>
      </c>
      <c r="AB345" t="n">
        <v>5</v>
      </c>
      <c r="AC345" t="n">
        <v>5</v>
      </c>
      <c r="AD345" t="n">
        <v>34</v>
      </c>
      <c r="AE345" t="n">
        <v>41</v>
      </c>
      <c r="AF345" t="n">
        <v>14</v>
      </c>
      <c r="AG345" t="n">
        <v>18</v>
      </c>
      <c r="AH345" t="n">
        <v>7</v>
      </c>
      <c r="AI345" t="n">
        <v>10</v>
      </c>
      <c r="AJ345" t="n">
        <v>18</v>
      </c>
      <c r="AK345" t="n">
        <v>20</v>
      </c>
      <c r="AL345" t="n">
        <v>4</v>
      </c>
      <c r="AM345" t="n">
        <v>4</v>
      </c>
      <c r="AN345" t="n">
        <v>1</v>
      </c>
      <c r="AO345" t="n">
        <v>1</v>
      </c>
      <c r="AP345" t="inlineStr">
        <is>
          <t>No</t>
        </is>
      </c>
      <c r="AQ345" t="inlineStr">
        <is>
          <t>No</t>
        </is>
      </c>
      <c r="AS345">
        <f>HYPERLINK("https://creighton-primo.hosted.exlibrisgroup.com/primo-explore/search?tab=default_tab&amp;search_scope=EVERYTHING&amp;vid=01CRU&amp;lang=en_US&amp;offset=0&amp;query=any,contains,991002361139702656","Catalog Record")</f>
        <v/>
      </c>
      <c r="AT345">
        <f>HYPERLINK("http://www.worldcat.org/oclc/30702056","WorldCat Record")</f>
        <v/>
      </c>
      <c r="AU345" t="inlineStr">
        <is>
          <t>809515723:eng</t>
        </is>
      </c>
      <c r="AV345" t="inlineStr">
        <is>
          <t>30702056</t>
        </is>
      </c>
      <c r="AW345" t="inlineStr">
        <is>
          <t>991002361139702656</t>
        </is>
      </c>
      <c r="AX345" t="inlineStr">
        <is>
          <t>991002361139702656</t>
        </is>
      </c>
      <c r="AY345" t="inlineStr">
        <is>
          <t>2262118280002656</t>
        </is>
      </c>
      <c r="AZ345" t="inlineStr">
        <is>
          <t>BOOK</t>
        </is>
      </c>
      <c r="BB345" t="inlineStr">
        <is>
          <t>9780691037868</t>
        </is>
      </c>
      <c r="BC345" t="inlineStr">
        <is>
          <t>32285002068889</t>
        </is>
      </c>
      <c r="BD345" t="inlineStr">
        <is>
          <t>893226741</t>
        </is>
      </c>
    </row>
    <row r="346">
      <c r="A346" t="inlineStr">
        <is>
          <t>No</t>
        </is>
      </c>
      <c r="B346" t="inlineStr">
        <is>
          <t>HN57 .W32 1962</t>
        </is>
      </c>
      <c r="C346" t="inlineStr">
        <is>
          <t>0                      HN 0057000W  32          1962</t>
        </is>
      </c>
      <c r="D346" t="inlineStr">
        <is>
          <t>American life: dream and reality.</t>
        </is>
      </c>
      <c r="F346" t="inlineStr">
        <is>
          <t>No</t>
        </is>
      </c>
      <c r="G346" t="inlineStr">
        <is>
          <t>1</t>
        </is>
      </c>
      <c r="H346" t="inlineStr">
        <is>
          <t>No</t>
        </is>
      </c>
      <c r="I346" t="inlineStr">
        <is>
          <t>No</t>
        </is>
      </c>
      <c r="J346" t="inlineStr">
        <is>
          <t>0</t>
        </is>
      </c>
      <c r="K346" t="inlineStr">
        <is>
          <t>Warner, W. Lloyd (William Lloyd), 1898-1970.</t>
        </is>
      </c>
      <c r="L346" t="inlineStr">
        <is>
          <t>[Chicago] University of Chicago Press [1962]</t>
        </is>
      </c>
      <c r="M346" t="inlineStr">
        <is>
          <t>1962</t>
        </is>
      </c>
      <c r="N346" t="inlineStr">
        <is>
          <t>Rev. ed.</t>
        </is>
      </c>
      <c r="O346" t="inlineStr">
        <is>
          <t>eng</t>
        </is>
      </c>
      <c r="P346" t="inlineStr">
        <is>
          <t>ilu</t>
        </is>
      </c>
      <c r="R346" t="inlineStr">
        <is>
          <t xml:space="preserve">HN </t>
        </is>
      </c>
      <c r="S346" t="n">
        <v>1</v>
      </c>
      <c r="T346" t="n">
        <v>1</v>
      </c>
      <c r="U346" t="inlineStr">
        <is>
          <t>2001-11-26</t>
        </is>
      </c>
      <c r="V346" t="inlineStr">
        <is>
          <t>2001-11-26</t>
        </is>
      </c>
      <c r="W346" t="inlineStr">
        <is>
          <t>1997-08-05</t>
        </is>
      </c>
      <c r="X346" t="inlineStr">
        <is>
          <t>1997-08-05</t>
        </is>
      </c>
      <c r="Y346" t="n">
        <v>762</v>
      </c>
      <c r="Z346" t="n">
        <v>660</v>
      </c>
      <c r="AA346" t="n">
        <v>932</v>
      </c>
      <c r="AB346" t="n">
        <v>5</v>
      </c>
      <c r="AC346" t="n">
        <v>5</v>
      </c>
      <c r="AD346" t="n">
        <v>25</v>
      </c>
      <c r="AE346" t="n">
        <v>36</v>
      </c>
      <c r="AF346" t="n">
        <v>9</v>
      </c>
      <c r="AG346" t="n">
        <v>14</v>
      </c>
      <c r="AH346" t="n">
        <v>5</v>
      </c>
      <c r="AI346" t="n">
        <v>8</v>
      </c>
      <c r="AJ346" t="n">
        <v>12</v>
      </c>
      <c r="AK346" t="n">
        <v>21</v>
      </c>
      <c r="AL346" t="n">
        <v>4</v>
      </c>
      <c r="AM346" t="n">
        <v>4</v>
      </c>
      <c r="AN346" t="n">
        <v>0</v>
      </c>
      <c r="AO346" t="n">
        <v>0</v>
      </c>
      <c r="AP346" t="inlineStr">
        <is>
          <t>No</t>
        </is>
      </c>
      <c r="AQ346" t="inlineStr">
        <is>
          <t>Yes</t>
        </is>
      </c>
      <c r="AR346">
        <f>HYPERLINK("http://catalog.hathitrust.org/Record/000974759","HathiTrust Record")</f>
        <v/>
      </c>
      <c r="AS346">
        <f>HYPERLINK("https://creighton-primo.hosted.exlibrisgroup.com/primo-explore/search?tab=default_tab&amp;search_scope=EVERYTHING&amp;vid=01CRU&amp;lang=en_US&amp;offset=0&amp;query=any,contains,991002001109702656","Catalog Record")</f>
        <v/>
      </c>
      <c r="AT346">
        <f>HYPERLINK("http://www.worldcat.org/oclc/256272","WorldCat Record")</f>
        <v/>
      </c>
      <c r="AU346" t="inlineStr">
        <is>
          <t>1354536:eng</t>
        </is>
      </c>
      <c r="AV346" t="inlineStr">
        <is>
          <t>256272</t>
        </is>
      </c>
      <c r="AW346" t="inlineStr">
        <is>
          <t>991002001109702656</t>
        </is>
      </c>
      <c r="AX346" t="inlineStr">
        <is>
          <t>991002001109702656</t>
        </is>
      </c>
      <c r="AY346" t="inlineStr">
        <is>
          <t>2272280630002656</t>
        </is>
      </c>
      <c r="AZ346" t="inlineStr">
        <is>
          <t>BOOK</t>
        </is>
      </c>
      <c r="BC346" t="inlineStr">
        <is>
          <t>32285003042024</t>
        </is>
      </c>
      <c r="BD346" t="inlineStr">
        <is>
          <t>893420843</t>
        </is>
      </c>
    </row>
    <row r="347">
      <c r="A347" t="inlineStr">
        <is>
          <t>No</t>
        </is>
      </c>
      <c r="B347" t="inlineStr">
        <is>
          <t>HN57 .W34 1963</t>
        </is>
      </c>
      <c r="C347" t="inlineStr">
        <is>
          <t>0                      HN 0057000W  34          1963</t>
        </is>
      </c>
      <c r="D347" t="inlineStr">
        <is>
          <t>Yankee city / by W. Lloyd Warner [and others]. Abridged ed. Selected and edited by W. Lloyd Warner.</t>
        </is>
      </c>
      <c r="F347" t="inlineStr">
        <is>
          <t>No</t>
        </is>
      </c>
      <c r="G347" t="inlineStr">
        <is>
          <t>1</t>
        </is>
      </c>
      <c r="H347" t="inlineStr">
        <is>
          <t>No</t>
        </is>
      </c>
      <c r="I347" t="inlineStr">
        <is>
          <t>No</t>
        </is>
      </c>
      <c r="J347" t="inlineStr">
        <is>
          <t>0</t>
        </is>
      </c>
      <c r="K347" t="inlineStr">
        <is>
          <t>Warner, W. Lloyd (William Lloyd), 1898-1970.</t>
        </is>
      </c>
      <c r="L347" t="inlineStr">
        <is>
          <t>New Haven : Yale University Press, 1963.</t>
        </is>
      </c>
      <c r="M347" t="inlineStr">
        <is>
          <t>1963</t>
        </is>
      </c>
      <c r="N347" t="inlineStr">
        <is>
          <t>Abridged ed.</t>
        </is>
      </c>
      <c r="O347" t="inlineStr">
        <is>
          <t>eng</t>
        </is>
      </c>
      <c r="P347" t="inlineStr">
        <is>
          <t>ctu</t>
        </is>
      </c>
      <c r="R347" t="inlineStr">
        <is>
          <t xml:space="preserve">HN </t>
        </is>
      </c>
      <c r="S347" t="n">
        <v>1</v>
      </c>
      <c r="T347" t="n">
        <v>1</v>
      </c>
      <c r="U347" t="inlineStr">
        <is>
          <t>1996-06-24</t>
        </is>
      </c>
      <c r="V347" t="inlineStr">
        <is>
          <t>1996-06-24</t>
        </is>
      </c>
      <c r="W347" t="inlineStr">
        <is>
          <t>1993-02-23</t>
        </is>
      </c>
      <c r="X347" t="inlineStr">
        <is>
          <t>1993-02-23</t>
        </is>
      </c>
      <c r="Y347" t="n">
        <v>256</v>
      </c>
      <c r="Z347" t="n">
        <v>226</v>
      </c>
      <c r="AA347" t="n">
        <v>839</v>
      </c>
      <c r="AB347" t="n">
        <v>2</v>
      </c>
      <c r="AC347" t="n">
        <v>6</v>
      </c>
      <c r="AD347" t="n">
        <v>9</v>
      </c>
      <c r="AE347" t="n">
        <v>35</v>
      </c>
      <c r="AF347" t="n">
        <v>4</v>
      </c>
      <c r="AG347" t="n">
        <v>12</v>
      </c>
      <c r="AH347" t="n">
        <v>3</v>
      </c>
      <c r="AI347" t="n">
        <v>8</v>
      </c>
      <c r="AJ347" t="n">
        <v>2</v>
      </c>
      <c r="AK347" t="n">
        <v>16</v>
      </c>
      <c r="AL347" t="n">
        <v>1</v>
      </c>
      <c r="AM347" t="n">
        <v>5</v>
      </c>
      <c r="AN347" t="n">
        <v>0</v>
      </c>
      <c r="AO347" t="n">
        <v>1</v>
      </c>
      <c r="AP347" t="inlineStr">
        <is>
          <t>No</t>
        </is>
      </c>
      <c r="AQ347" t="inlineStr">
        <is>
          <t>No</t>
        </is>
      </c>
      <c r="AS347">
        <f>HYPERLINK("https://creighton-primo.hosted.exlibrisgroup.com/primo-explore/search?tab=default_tab&amp;search_scope=EVERYTHING&amp;vid=01CRU&amp;lang=en_US&amp;offset=0&amp;query=any,contains,991004520129702656","Catalog Record")</f>
        <v/>
      </c>
      <c r="AT347">
        <f>HYPERLINK("http://www.worldcat.org/oclc/3811000","WorldCat Record")</f>
        <v/>
      </c>
      <c r="AU347" t="inlineStr">
        <is>
          <t>281241214:eng</t>
        </is>
      </c>
      <c r="AV347" t="inlineStr">
        <is>
          <t>3811000</t>
        </is>
      </c>
      <c r="AW347" t="inlineStr">
        <is>
          <t>991004520129702656</t>
        </is>
      </c>
      <c r="AX347" t="inlineStr">
        <is>
          <t>991004520129702656</t>
        </is>
      </c>
      <c r="AY347" t="inlineStr">
        <is>
          <t>2256872670002656</t>
        </is>
      </c>
      <c r="AZ347" t="inlineStr">
        <is>
          <t>BOOK</t>
        </is>
      </c>
      <c r="BC347" t="inlineStr">
        <is>
          <t>32285001535060</t>
        </is>
      </c>
      <c r="BD347" t="inlineStr">
        <is>
          <t>893417724</t>
        </is>
      </c>
    </row>
    <row r="348">
      <c r="A348" t="inlineStr">
        <is>
          <t>No</t>
        </is>
      </c>
      <c r="B348" t="inlineStr">
        <is>
          <t>HN57 .W357</t>
        </is>
      </c>
      <c r="C348" t="inlineStr">
        <is>
          <t>0                      HN 0057000W  357</t>
        </is>
      </c>
      <c r="D348" t="inlineStr">
        <is>
          <t>The way we lived : essays and documents in American social history / [compiled by] Frederick M. Binder, David M. Reimers.</t>
        </is>
      </c>
      <c r="E348" t="inlineStr">
        <is>
          <t>V.1</t>
        </is>
      </c>
      <c r="F348" t="inlineStr">
        <is>
          <t>Yes</t>
        </is>
      </c>
      <c r="G348" t="inlineStr">
        <is>
          <t>1</t>
        </is>
      </c>
      <c r="H348" t="inlineStr">
        <is>
          <t>No</t>
        </is>
      </c>
      <c r="I348" t="inlineStr">
        <is>
          <t>No</t>
        </is>
      </c>
      <c r="J348" t="inlineStr">
        <is>
          <t>0</t>
        </is>
      </c>
      <c r="L348" t="inlineStr">
        <is>
          <t>Lexington, Mass. : D.C. Heath, c1996.</t>
        </is>
      </c>
      <c r="M348" t="inlineStr">
        <is>
          <t>1996</t>
        </is>
      </c>
      <c r="N348" t="inlineStr">
        <is>
          <t>3rd ed. [v.2 is 2nd ed., 1992]</t>
        </is>
      </c>
      <c r="O348" t="inlineStr">
        <is>
          <t>eng</t>
        </is>
      </c>
      <c r="P348" t="inlineStr">
        <is>
          <t>mau</t>
        </is>
      </c>
      <c r="R348" t="inlineStr">
        <is>
          <t xml:space="preserve">HN </t>
        </is>
      </c>
      <c r="S348" t="n">
        <v>4</v>
      </c>
      <c r="T348" t="n">
        <v>7</v>
      </c>
      <c r="U348" t="inlineStr">
        <is>
          <t>1996-10-21</t>
        </is>
      </c>
      <c r="V348" t="inlineStr">
        <is>
          <t>1996-10-21</t>
        </is>
      </c>
      <c r="W348" t="inlineStr">
        <is>
          <t>1996-03-21</t>
        </is>
      </c>
      <c r="X348" t="inlineStr">
        <is>
          <t>1996-03-21</t>
        </is>
      </c>
      <c r="Y348" t="n">
        <v>111</v>
      </c>
      <c r="Z348" t="n">
        <v>89</v>
      </c>
      <c r="AA348" t="n">
        <v>458</v>
      </c>
      <c r="AB348" t="n">
        <v>1</v>
      </c>
      <c r="AC348" t="n">
        <v>3</v>
      </c>
      <c r="AD348" t="n">
        <v>2</v>
      </c>
      <c r="AE348" t="n">
        <v>10</v>
      </c>
      <c r="AF348" t="n">
        <v>2</v>
      </c>
      <c r="AG348" t="n">
        <v>5</v>
      </c>
      <c r="AH348" t="n">
        <v>1</v>
      </c>
      <c r="AI348" t="n">
        <v>3</v>
      </c>
      <c r="AJ348" t="n">
        <v>0</v>
      </c>
      <c r="AK348" t="n">
        <v>3</v>
      </c>
      <c r="AL348" t="n">
        <v>0</v>
      </c>
      <c r="AM348" t="n">
        <v>1</v>
      </c>
      <c r="AN348" t="n">
        <v>0</v>
      </c>
      <c r="AO348" t="n">
        <v>0</v>
      </c>
      <c r="AP348" t="inlineStr">
        <is>
          <t>No</t>
        </is>
      </c>
      <c r="AQ348" t="inlineStr">
        <is>
          <t>No</t>
        </is>
      </c>
      <c r="AS348">
        <f>HYPERLINK("https://creighton-primo.hosted.exlibrisgroup.com/primo-explore/search?tab=default_tab&amp;search_scope=EVERYTHING&amp;vid=01CRU&amp;lang=en_US&amp;offset=0&amp;query=any,contains,991002571089702656","Catalog Record")</f>
        <v/>
      </c>
      <c r="AT348">
        <f>HYPERLINK("http://www.worldcat.org/oclc/33407607","WorldCat Record")</f>
        <v/>
      </c>
      <c r="AU348" t="inlineStr">
        <is>
          <t>865277943:eng</t>
        </is>
      </c>
      <c r="AV348" t="inlineStr">
        <is>
          <t>33407607</t>
        </is>
      </c>
      <c r="AW348" t="inlineStr">
        <is>
          <t>991002571089702656</t>
        </is>
      </c>
      <c r="AX348" t="inlineStr">
        <is>
          <t>991002571089702656</t>
        </is>
      </c>
      <c r="AY348" t="inlineStr">
        <is>
          <t>2256799000002656</t>
        </is>
      </c>
      <c r="AZ348" t="inlineStr">
        <is>
          <t>BOOK</t>
        </is>
      </c>
      <c r="BB348" t="inlineStr">
        <is>
          <t>9780669397147</t>
        </is>
      </c>
      <c r="BC348" t="inlineStr">
        <is>
          <t>32285002145885</t>
        </is>
      </c>
      <c r="BD348" t="inlineStr">
        <is>
          <t>893323098</t>
        </is>
      </c>
    </row>
    <row r="349">
      <c r="A349" t="inlineStr">
        <is>
          <t>No</t>
        </is>
      </c>
      <c r="B349" t="inlineStr">
        <is>
          <t>HN57 .W357</t>
        </is>
      </c>
      <c r="C349" t="inlineStr">
        <is>
          <t>0                      HN 0057000W  357</t>
        </is>
      </c>
      <c r="D349" t="inlineStr">
        <is>
          <t>The way we lived : essays and documents in American social history / [compiled by] Frederick M. Binder, David M. Reimers.</t>
        </is>
      </c>
      <c r="E349" t="inlineStr">
        <is>
          <t>V.2</t>
        </is>
      </c>
      <c r="F349" t="inlineStr">
        <is>
          <t>Yes</t>
        </is>
      </c>
      <c r="G349" t="inlineStr">
        <is>
          <t>1</t>
        </is>
      </c>
      <c r="H349" t="inlineStr">
        <is>
          <t>No</t>
        </is>
      </c>
      <c r="I349" t="inlineStr">
        <is>
          <t>No</t>
        </is>
      </c>
      <c r="J349" t="inlineStr">
        <is>
          <t>0</t>
        </is>
      </c>
      <c r="L349" t="inlineStr">
        <is>
          <t>Lexington, Mass. : D.C. Heath, c1996.</t>
        </is>
      </c>
      <c r="M349" t="inlineStr">
        <is>
          <t>1996</t>
        </is>
      </c>
      <c r="N349" t="inlineStr">
        <is>
          <t>3rd ed. [v.2 is 2nd ed., 1992]</t>
        </is>
      </c>
      <c r="O349" t="inlineStr">
        <is>
          <t>eng</t>
        </is>
      </c>
      <c r="P349" t="inlineStr">
        <is>
          <t>mau</t>
        </is>
      </c>
      <c r="R349" t="inlineStr">
        <is>
          <t xml:space="preserve">HN </t>
        </is>
      </c>
      <c r="S349" t="n">
        <v>3</v>
      </c>
      <c r="T349" t="n">
        <v>7</v>
      </c>
      <c r="U349" t="inlineStr">
        <is>
          <t>1996-10-21</t>
        </is>
      </c>
      <c r="V349" t="inlineStr">
        <is>
          <t>1996-10-21</t>
        </is>
      </c>
      <c r="W349" t="inlineStr">
        <is>
          <t>1996-03-21</t>
        </is>
      </c>
      <c r="X349" t="inlineStr">
        <is>
          <t>1996-03-21</t>
        </is>
      </c>
      <c r="Y349" t="n">
        <v>111</v>
      </c>
      <c r="Z349" t="n">
        <v>89</v>
      </c>
      <c r="AA349" t="n">
        <v>458</v>
      </c>
      <c r="AB349" t="n">
        <v>1</v>
      </c>
      <c r="AC349" t="n">
        <v>3</v>
      </c>
      <c r="AD349" t="n">
        <v>2</v>
      </c>
      <c r="AE349" t="n">
        <v>10</v>
      </c>
      <c r="AF349" t="n">
        <v>2</v>
      </c>
      <c r="AG349" t="n">
        <v>5</v>
      </c>
      <c r="AH349" t="n">
        <v>1</v>
      </c>
      <c r="AI349" t="n">
        <v>3</v>
      </c>
      <c r="AJ349" t="n">
        <v>0</v>
      </c>
      <c r="AK349" t="n">
        <v>3</v>
      </c>
      <c r="AL349" t="n">
        <v>0</v>
      </c>
      <c r="AM349" t="n">
        <v>1</v>
      </c>
      <c r="AN349" t="n">
        <v>0</v>
      </c>
      <c r="AO349" t="n">
        <v>0</v>
      </c>
      <c r="AP349" t="inlineStr">
        <is>
          <t>No</t>
        </is>
      </c>
      <c r="AQ349" t="inlineStr">
        <is>
          <t>No</t>
        </is>
      </c>
      <c r="AS349">
        <f>HYPERLINK("https://creighton-primo.hosted.exlibrisgroup.com/primo-explore/search?tab=default_tab&amp;search_scope=EVERYTHING&amp;vid=01CRU&amp;lang=en_US&amp;offset=0&amp;query=any,contains,991002571089702656","Catalog Record")</f>
        <v/>
      </c>
      <c r="AT349">
        <f>HYPERLINK("http://www.worldcat.org/oclc/33407607","WorldCat Record")</f>
        <v/>
      </c>
      <c r="AU349" t="inlineStr">
        <is>
          <t>865277943:eng</t>
        </is>
      </c>
      <c r="AV349" t="inlineStr">
        <is>
          <t>33407607</t>
        </is>
      </c>
      <c r="AW349" t="inlineStr">
        <is>
          <t>991002571089702656</t>
        </is>
      </c>
      <c r="AX349" t="inlineStr">
        <is>
          <t>991002571089702656</t>
        </is>
      </c>
      <c r="AY349" t="inlineStr">
        <is>
          <t>2256799000002656</t>
        </is>
      </c>
      <c r="AZ349" t="inlineStr">
        <is>
          <t>BOOK</t>
        </is>
      </c>
      <c r="BB349" t="inlineStr">
        <is>
          <t>9780669397147</t>
        </is>
      </c>
      <c r="BC349" t="inlineStr">
        <is>
          <t>32285002145893</t>
        </is>
      </c>
      <c r="BD349" t="inlineStr">
        <is>
          <t>893323099</t>
        </is>
      </c>
    </row>
    <row r="350">
      <c r="A350" t="inlineStr">
        <is>
          <t>No</t>
        </is>
      </c>
      <c r="B350" t="inlineStr">
        <is>
          <t>HN57 .W54 1975</t>
        </is>
      </c>
      <c r="C350" t="inlineStr">
        <is>
          <t>0                      HN 0057000W  54          1975</t>
        </is>
      </c>
      <c r="D350" t="inlineStr">
        <is>
          <t>The segmented society ; an introduction to the meaning of America / Robert H. Wiebe.</t>
        </is>
      </c>
      <c r="F350" t="inlineStr">
        <is>
          <t>No</t>
        </is>
      </c>
      <c r="G350" t="inlineStr">
        <is>
          <t>1</t>
        </is>
      </c>
      <c r="H350" t="inlineStr">
        <is>
          <t>No</t>
        </is>
      </c>
      <c r="I350" t="inlineStr">
        <is>
          <t>No</t>
        </is>
      </c>
      <c r="J350" t="inlineStr">
        <is>
          <t>0</t>
        </is>
      </c>
      <c r="K350" t="inlineStr">
        <is>
          <t>Wiebe, Robert H.</t>
        </is>
      </c>
      <c r="L350" t="inlineStr">
        <is>
          <t>New York : Oxford University Press, 1975.</t>
        </is>
      </c>
      <c r="M350" t="inlineStr">
        <is>
          <t>1975</t>
        </is>
      </c>
      <c r="O350" t="inlineStr">
        <is>
          <t>eng</t>
        </is>
      </c>
      <c r="P350" t="inlineStr">
        <is>
          <t>nyu</t>
        </is>
      </c>
      <c r="R350" t="inlineStr">
        <is>
          <t xml:space="preserve">HN </t>
        </is>
      </c>
      <c r="S350" t="n">
        <v>0</v>
      </c>
      <c r="T350" t="n">
        <v>0</v>
      </c>
      <c r="U350" t="inlineStr">
        <is>
          <t>2009-01-30</t>
        </is>
      </c>
      <c r="V350" t="inlineStr">
        <is>
          <t>2009-01-30</t>
        </is>
      </c>
      <c r="W350" t="inlineStr">
        <is>
          <t>1997-08-05</t>
        </is>
      </c>
      <c r="X350" t="inlineStr">
        <is>
          <t>1997-08-05</t>
        </is>
      </c>
      <c r="Y350" t="n">
        <v>813</v>
      </c>
      <c r="Z350" t="n">
        <v>706</v>
      </c>
      <c r="AA350" t="n">
        <v>731</v>
      </c>
      <c r="AB350" t="n">
        <v>6</v>
      </c>
      <c r="AC350" t="n">
        <v>6</v>
      </c>
      <c r="AD350" t="n">
        <v>30</v>
      </c>
      <c r="AE350" t="n">
        <v>30</v>
      </c>
      <c r="AF350" t="n">
        <v>10</v>
      </c>
      <c r="AG350" t="n">
        <v>10</v>
      </c>
      <c r="AH350" t="n">
        <v>7</v>
      </c>
      <c r="AI350" t="n">
        <v>7</v>
      </c>
      <c r="AJ350" t="n">
        <v>17</v>
      </c>
      <c r="AK350" t="n">
        <v>17</v>
      </c>
      <c r="AL350" t="n">
        <v>5</v>
      </c>
      <c r="AM350" t="n">
        <v>5</v>
      </c>
      <c r="AN350" t="n">
        <v>0</v>
      </c>
      <c r="AO350" t="n">
        <v>0</v>
      </c>
      <c r="AP350" t="inlineStr">
        <is>
          <t>No</t>
        </is>
      </c>
      <c r="AQ350" t="inlineStr">
        <is>
          <t>Yes</t>
        </is>
      </c>
      <c r="AR350">
        <f>HYPERLINK("http://catalog.hathitrust.org/Record/000026533","HathiTrust Record")</f>
        <v/>
      </c>
      <c r="AS350">
        <f>HYPERLINK("https://creighton-primo.hosted.exlibrisgroup.com/primo-explore/search?tab=default_tab&amp;search_scope=EVERYTHING&amp;vid=01CRU&amp;lang=en_US&amp;offset=0&amp;query=any,contains,991003652759702656","Catalog Record")</f>
        <v/>
      </c>
      <c r="AT350">
        <f>HYPERLINK("http://www.worldcat.org/oclc/1256227","WorldCat Record")</f>
        <v/>
      </c>
      <c r="AU350" t="inlineStr">
        <is>
          <t>414879:eng</t>
        </is>
      </c>
      <c r="AV350" t="inlineStr">
        <is>
          <t>1256227</t>
        </is>
      </c>
      <c r="AW350" t="inlineStr">
        <is>
          <t>991003652759702656</t>
        </is>
      </c>
      <c r="AX350" t="inlineStr">
        <is>
          <t>991003652759702656</t>
        </is>
      </c>
      <c r="AY350" t="inlineStr">
        <is>
          <t>2258271140002656</t>
        </is>
      </c>
      <c r="AZ350" t="inlineStr">
        <is>
          <t>BOOK</t>
        </is>
      </c>
      <c r="BB350" t="inlineStr">
        <is>
          <t>9780195018394</t>
        </is>
      </c>
      <c r="BC350" t="inlineStr">
        <is>
          <t>32285003042032</t>
        </is>
      </c>
      <c r="BD350" t="inlineStr">
        <is>
          <t>893240447</t>
        </is>
      </c>
    </row>
    <row r="351">
      <c r="A351" t="inlineStr">
        <is>
          <t>No</t>
        </is>
      </c>
      <c r="B351" t="inlineStr">
        <is>
          <t>HN57 .W543 1999</t>
        </is>
      </c>
      <c r="C351" t="inlineStr">
        <is>
          <t>0                      HN 0057000W  543         1999</t>
        </is>
      </c>
      <c r="D351" t="inlineStr">
        <is>
          <t>The American values reader / Harvey S. Wiener, Nora Eisenberg.</t>
        </is>
      </c>
      <c r="F351" t="inlineStr">
        <is>
          <t>No</t>
        </is>
      </c>
      <c r="G351" t="inlineStr">
        <is>
          <t>1</t>
        </is>
      </c>
      <c r="H351" t="inlineStr">
        <is>
          <t>No</t>
        </is>
      </c>
      <c r="I351" t="inlineStr">
        <is>
          <t>No</t>
        </is>
      </c>
      <c r="J351" t="inlineStr">
        <is>
          <t>0</t>
        </is>
      </c>
      <c r="K351" t="inlineStr">
        <is>
          <t>Wiener, Harvey S.</t>
        </is>
      </c>
      <c r="L351" t="inlineStr">
        <is>
          <t>Boston : Allyn and Bacon, c1999.</t>
        </is>
      </c>
      <c r="M351" t="inlineStr">
        <is>
          <t>1999</t>
        </is>
      </c>
      <c r="O351" t="inlineStr">
        <is>
          <t>eng</t>
        </is>
      </c>
      <c r="P351" t="inlineStr">
        <is>
          <t>mau</t>
        </is>
      </c>
      <c r="R351" t="inlineStr">
        <is>
          <t xml:space="preserve">HN </t>
        </is>
      </c>
      <c r="S351" t="n">
        <v>4</v>
      </c>
      <c r="T351" t="n">
        <v>4</v>
      </c>
      <c r="U351" t="inlineStr">
        <is>
          <t>2007-04-15</t>
        </is>
      </c>
      <c r="V351" t="inlineStr">
        <is>
          <t>2007-04-15</t>
        </is>
      </c>
      <c r="W351" t="inlineStr">
        <is>
          <t>1999-08-03</t>
        </is>
      </c>
      <c r="X351" t="inlineStr">
        <is>
          <t>1999-08-03</t>
        </is>
      </c>
      <c r="Y351" t="n">
        <v>68</v>
      </c>
      <c r="Z351" t="n">
        <v>62</v>
      </c>
      <c r="AA351" t="n">
        <v>67</v>
      </c>
      <c r="AB351" t="n">
        <v>1</v>
      </c>
      <c r="AC351" t="n">
        <v>1</v>
      </c>
      <c r="AD351" t="n">
        <v>2</v>
      </c>
      <c r="AE351" t="n">
        <v>2</v>
      </c>
      <c r="AF351" t="n">
        <v>1</v>
      </c>
      <c r="AG351" t="n">
        <v>1</v>
      </c>
      <c r="AH351" t="n">
        <v>1</v>
      </c>
      <c r="AI351" t="n">
        <v>1</v>
      </c>
      <c r="AJ351" t="n">
        <v>1</v>
      </c>
      <c r="AK351" t="n">
        <v>1</v>
      </c>
      <c r="AL351" t="n">
        <v>0</v>
      </c>
      <c r="AM351" t="n">
        <v>0</v>
      </c>
      <c r="AN351" t="n">
        <v>0</v>
      </c>
      <c r="AO351" t="n">
        <v>0</v>
      </c>
      <c r="AP351" t="inlineStr">
        <is>
          <t>No</t>
        </is>
      </c>
      <c r="AQ351" t="inlineStr">
        <is>
          <t>No</t>
        </is>
      </c>
      <c r="AS351">
        <f>HYPERLINK("https://creighton-primo.hosted.exlibrisgroup.com/primo-explore/search?tab=default_tab&amp;search_scope=EVERYTHING&amp;vid=01CRU&amp;lang=en_US&amp;offset=0&amp;query=any,contains,991002962649702656","Catalog Record")</f>
        <v/>
      </c>
      <c r="AT351">
        <f>HYPERLINK("http://www.worldcat.org/oclc/39633697","WorldCat Record")</f>
        <v/>
      </c>
      <c r="AU351" t="inlineStr">
        <is>
          <t>33967802:eng</t>
        </is>
      </c>
      <c r="AV351" t="inlineStr">
        <is>
          <t>39633697</t>
        </is>
      </c>
      <c r="AW351" t="inlineStr">
        <is>
          <t>991002962649702656</t>
        </is>
      </c>
      <c r="AX351" t="inlineStr">
        <is>
          <t>991002962649702656</t>
        </is>
      </c>
      <c r="AY351" t="inlineStr">
        <is>
          <t>2268644170002656</t>
        </is>
      </c>
      <c r="AZ351" t="inlineStr">
        <is>
          <t>BOOK</t>
        </is>
      </c>
      <c r="BB351" t="inlineStr">
        <is>
          <t>9780205273812</t>
        </is>
      </c>
      <c r="BC351" t="inlineStr">
        <is>
          <t>32285003580007</t>
        </is>
      </c>
      <c r="BD351" t="inlineStr">
        <is>
          <t>893511414</t>
        </is>
      </c>
    </row>
    <row r="352">
      <c r="A352" t="inlineStr">
        <is>
          <t>No</t>
        </is>
      </c>
      <c r="B352" t="inlineStr">
        <is>
          <t>HN57 .W55 1970</t>
        </is>
      </c>
      <c r="C352" t="inlineStr">
        <is>
          <t>0                      HN 0057000W  55          1970</t>
        </is>
      </c>
      <c r="D352" t="inlineStr">
        <is>
          <t>American society : a sociological interpretation / by Robin M. Williams, Jr.</t>
        </is>
      </c>
      <c r="F352" t="inlineStr">
        <is>
          <t>No</t>
        </is>
      </c>
      <c r="G352" t="inlineStr">
        <is>
          <t>1</t>
        </is>
      </c>
      <c r="H352" t="inlineStr">
        <is>
          <t>No</t>
        </is>
      </c>
      <c r="I352" t="inlineStr">
        <is>
          <t>No</t>
        </is>
      </c>
      <c r="J352" t="inlineStr">
        <is>
          <t>0</t>
        </is>
      </c>
      <c r="K352" t="inlineStr">
        <is>
          <t>Williams, Robin M., Jr., 1914-2006.</t>
        </is>
      </c>
      <c r="L352" t="inlineStr">
        <is>
          <t>New York : Knopf, [1970]</t>
        </is>
      </c>
      <c r="M352" t="inlineStr">
        <is>
          <t>1970</t>
        </is>
      </c>
      <c r="N352" t="inlineStr">
        <is>
          <t>3d ed. / [rev. and reset]</t>
        </is>
      </c>
      <c r="O352" t="inlineStr">
        <is>
          <t>eng</t>
        </is>
      </c>
      <c r="P352" t="inlineStr">
        <is>
          <t>nyu</t>
        </is>
      </c>
      <c r="R352" t="inlineStr">
        <is>
          <t xml:space="preserve">HN </t>
        </is>
      </c>
      <c r="S352" t="n">
        <v>13</v>
      </c>
      <c r="T352" t="n">
        <v>13</v>
      </c>
      <c r="U352" t="inlineStr">
        <is>
          <t>1998-09-28</t>
        </is>
      </c>
      <c r="V352" t="inlineStr">
        <is>
          <t>1998-09-28</t>
        </is>
      </c>
      <c r="W352" t="inlineStr">
        <is>
          <t>1994-04-19</t>
        </is>
      </c>
      <c r="X352" t="inlineStr">
        <is>
          <t>1994-04-19</t>
        </is>
      </c>
      <c r="Y352" t="n">
        <v>505</v>
      </c>
      <c r="Z352" t="n">
        <v>421</v>
      </c>
      <c r="AA352" t="n">
        <v>962</v>
      </c>
      <c r="AB352" t="n">
        <v>5</v>
      </c>
      <c r="AC352" t="n">
        <v>7</v>
      </c>
      <c r="AD352" t="n">
        <v>26</v>
      </c>
      <c r="AE352" t="n">
        <v>35</v>
      </c>
      <c r="AF352" t="n">
        <v>10</v>
      </c>
      <c r="AG352" t="n">
        <v>12</v>
      </c>
      <c r="AH352" t="n">
        <v>8</v>
      </c>
      <c r="AI352" t="n">
        <v>10</v>
      </c>
      <c r="AJ352" t="n">
        <v>12</v>
      </c>
      <c r="AK352" t="n">
        <v>16</v>
      </c>
      <c r="AL352" t="n">
        <v>4</v>
      </c>
      <c r="AM352" t="n">
        <v>6</v>
      </c>
      <c r="AN352" t="n">
        <v>0</v>
      </c>
      <c r="AO352" t="n">
        <v>0</v>
      </c>
      <c r="AP352" t="inlineStr">
        <is>
          <t>No</t>
        </is>
      </c>
      <c r="AQ352" t="inlineStr">
        <is>
          <t>Yes</t>
        </is>
      </c>
      <c r="AR352">
        <f>HYPERLINK("http://catalog.hathitrust.org/Record/000974767","HathiTrust Record")</f>
        <v/>
      </c>
      <c r="AS352">
        <f>HYPERLINK("https://creighton-primo.hosted.exlibrisgroup.com/primo-explore/search?tab=default_tab&amp;search_scope=EVERYTHING&amp;vid=01CRU&amp;lang=en_US&amp;offset=0&amp;query=any,contains,991000125449702656","Catalog Record")</f>
        <v/>
      </c>
      <c r="AT352">
        <f>HYPERLINK("http://www.worldcat.org/oclc/51838","WorldCat Record")</f>
        <v/>
      </c>
      <c r="AU352" t="inlineStr">
        <is>
          <t>1172499:eng</t>
        </is>
      </c>
      <c r="AV352" t="inlineStr">
        <is>
          <t>51838</t>
        </is>
      </c>
      <c r="AW352" t="inlineStr">
        <is>
          <t>991000125449702656</t>
        </is>
      </c>
      <c r="AX352" t="inlineStr">
        <is>
          <t>991000125449702656</t>
        </is>
      </c>
      <c r="AY352" t="inlineStr">
        <is>
          <t>2256404940002656</t>
        </is>
      </c>
      <c r="AZ352" t="inlineStr">
        <is>
          <t>BOOK</t>
        </is>
      </c>
      <c r="BC352" t="inlineStr">
        <is>
          <t>32285001890184</t>
        </is>
      </c>
      <c r="BD352" t="inlineStr">
        <is>
          <t>893495942</t>
        </is>
      </c>
    </row>
    <row r="353">
      <c r="A353" t="inlineStr">
        <is>
          <t>No</t>
        </is>
      </c>
      <c r="B353" t="inlineStr">
        <is>
          <t>HN577 .G46 1990</t>
        </is>
      </c>
      <c r="C353" t="inlineStr">
        <is>
          <t>0                      HN 0577000G  46          1990</t>
        </is>
      </c>
      <c r="D353" t="inlineStr">
        <is>
          <t>Generating equality in the welfare state : the Swedish experience / edited by Inga Persson.</t>
        </is>
      </c>
      <c r="F353" t="inlineStr">
        <is>
          <t>No</t>
        </is>
      </c>
      <c r="G353" t="inlineStr">
        <is>
          <t>1</t>
        </is>
      </c>
      <c r="H353" t="inlineStr">
        <is>
          <t>No</t>
        </is>
      </c>
      <c r="I353" t="inlineStr">
        <is>
          <t>No</t>
        </is>
      </c>
      <c r="J353" t="inlineStr">
        <is>
          <t>0</t>
        </is>
      </c>
      <c r="L353" t="inlineStr">
        <is>
          <t>Oslo ; Oxford : Norwegian University Press, 1990.</t>
        </is>
      </c>
      <c r="M353" t="inlineStr">
        <is>
          <t>1990</t>
        </is>
      </c>
      <c r="O353" t="inlineStr">
        <is>
          <t>eng</t>
        </is>
      </c>
      <c r="P353" t="inlineStr">
        <is>
          <t>enk</t>
        </is>
      </c>
      <c r="Q353" t="inlineStr">
        <is>
          <t>Scandinavian library</t>
        </is>
      </c>
      <c r="R353" t="inlineStr">
        <is>
          <t xml:space="preserve">HN </t>
        </is>
      </c>
      <c r="S353" t="n">
        <v>6</v>
      </c>
      <c r="T353" t="n">
        <v>6</v>
      </c>
      <c r="U353" t="inlineStr">
        <is>
          <t>1996-03-23</t>
        </is>
      </c>
      <c r="V353" t="inlineStr">
        <is>
          <t>1996-03-23</t>
        </is>
      </c>
      <c r="W353" t="inlineStr">
        <is>
          <t>1992-01-22</t>
        </is>
      </c>
      <c r="X353" t="inlineStr">
        <is>
          <t>1992-01-22</t>
        </is>
      </c>
      <c r="Y353" t="n">
        <v>211</v>
      </c>
      <c r="Z353" t="n">
        <v>134</v>
      </c>
      <c r="AA353" t="n">
        <v>136</v>
      </c>
      <c r="AB353" t="n">
        <v>1</v>
      </c>
      <c r="AC353" t="n">
        <v>1</v>
      </c>
      <c r="AD353" t="n">
        <v>5</v>
      </c>
      <c r="AE353" t="n">
        <v>5</v>
      </c>
      <c r="AF353" t="n">
        <v>1</v>
      </c>
      <c r="AG353" t="n">
        <v>1</v>
      </c>
      <c r="AH353" t="n">
        <v>2</v>
      </c>
      <c r="AI353" t="n">
        <v>2</v>
      </c>
      <c r="AJ353" t="n">
        <v>4</v>
      </c>
      <c r="AK353" t="n">
        <v>4</v>
      </c>
      <c r="AL353" t="n">
        <v>0</v>
      </c>
      <c r="AM353" t="n">
        <v>0</v>
      </c>
      <c r="AN353" t="n">
        <v>0</v>
      </c>
      <c r="AO353" t="n">
        <v>0</v>
      </c>
      <c r="AP353" t="inlineStr">
        <is>
          <t>No</t>
        </is>
      </c>
      <c r="AQ353" t="inlineStr">
        <is>
          <t>Yes</t>
        </is>
      </c>
      <c r="AR353">
        <f>HYPERLINK("http://catalog.hathitrust.org/Record/002476990","HathiTrust Record")</f>
        <v/>
      </c>
      <c r="AS353">
        <f>HYPERLINK("https://creighton-primo.hosted.exlibrisgroup.com/primo-explore/search?tab=default_tab&amp;search_scope=EVERYTHING&amp;vid=01CRU&amp;lang=en_US&amp;offset=0&amp;query=any,contains,991001759159702656","Catalog Record")</f>
        <v/>
      </c>
      <c r="AT353">
        <f>HYPERLINK("http://www.worldcat.org/oclc/26098737","WorldCat Record")</f>
        <v/>
      </c>
      <c r="AU353" t="inlineStr">
        <is>
          <t>836914891:eng</t>
        </is>
      </c>
      <c r="AV353" t="inlineStr">
        <is>
          <t>26098737</t>
        </is>
      </c>
      <c r="AW353" t="inlineStr">
        <is>
          <t>991001759159702656</t>
        </is>
      </c>
      <c r="AX353" t="inlineStr">
        <is>
          <t>991001759159702656</t>
        </is>
      </c>
      <c r="AY353" t="inlineStr">
        <is>
          <t>2272079980002656</t>
        </is>
      </c>
      <c r="AZ353" t="inlineStr">
        <is>
          <t>BOOK</t>
        </is>
      </c>
      <c r="BB353" t="inlineStr">
        <is>
          <t>9788200029915</t>
        </is>
      </c>
      <c r="BC353" t="inlineStr">
        <is>
          <t>32285000865682</t>
        </is>
      </c>
      <c r="BD353" t="inlineStr">
        <is>
          <t>893522813</t>
        </is>
      </c>
    </row>
    <row r="354">
      <c r="A354" t="inlineStr">
        <is>
          <t>No</t>
        </is>
      </c>
      <c r="B354" t="inlineStr">
        <is>
          <t>HN58 .B427 1996</t>
        </is>
      </c>
      <c r="C354" t="inlineStr">
        <is>
          <t>0                      HN 0058000B  427         1996</t>
        </is>
      </c>
      <c r="D354" t="inlineStr">
        <is>
          <t>When dreams came true : the GI Bill and the making of modern America / Michael J. Bennett.</t>
        </is>
      </c>
      <c r="F354" t="inlineStr">
        <is>
          <t>No</t>
        </is>
      </c>
      <c r="G354" t="inlineStr">
        <is>
          <t>1</t>
        </is>
      </c>
      <c r="H354" t="inlineStr">
        <is>
          <t>No</t>
        </is>
      </c>
      <c r="I354" t="inlineStr">
        <is>
          <t>No</t>
        </is>
      </c>
      <c r="J354" t="inlineStr">
        <is>
          <t>0</t>
        </is>
      </c>
      <c r="K354" t="inlineStr">
        <is>
          <t>Bennett, Michael J., 1936-</t>
        </is>
      </c>
      <c r="L354" t="inlineStr">
        <is>
          <t>Washington, D.C. : Brassey's, c1996.</t>
        </is>
      </c>
      <c r="M354" t="inlineStr">
        <is>
          <t>1996</t>
        </is>
      </c>
      <c r="O354" t="inlineStr">
        <is>
          <t>eng</t>
        </is>
      </c>
      <c r="P354" t="inlineStr">
        <is>
          <t>dcu</t>
        </is>
      </c>
      <c r="R354" t="inlineStr">
        <is>
          <t xml:space="preserve">HN </t>
        </is>
      </c>
      <c r="S354" t="n">
        <v>10</v>
      </c>
      <c r="T354" t="n">
        <v>10</v>
      </c>
      <c r="U354" t="inlineStr">
        <is>
          <t>2010-09-30</t>
        </is>
      </c>
      <c r="V354" t="inlineStr">
        <is>
          <t>2010-09-30</t>
        </is>
      </c>
      <c r="W354" t="inlineStr">
        <is>
          <t>1997-09-23</t>
        </is>
      </c>
      <c r="X354" t="inlineStr">
        <is>
          <t>1997-09-23</t>
        </is>
      </c>
      <c r="Y354" t="n">
        <v>941</v>
      </c>
      <c r="Z354" t="n">
        <v>896</v>
      </c>
      <c r="AA354" t="n">
        <v>977</v>
      </c>
      <c r="AB354" t="n">
        <v>5</v>
      </c>
      <c r="AC354" t="n">
        <v>5</v>
      </c>
      <c r="AD354" t="n">
        <v>29</v>
      </c>
      <c r="AE354" t="n">
        <v>30</v>
      </c>
      <c r="AF354" t="n">
        <v>12</v>
      </c>
      <c r="AG354" t="n">
        <v>13</v>
      </c>
      <c r="AH354" t="n">
        <v>7</v>
      </c>
      <c r="AI354" t="n">
        <v>7</v>
      </c>
      <c r="AJ354" t="n">
        <v>16</v>
      </c>
      <c r="AK354" t="n">
        <v>16</v>
      </c>
      <c r="AL354" t="n">
        <v>4</v>
      </c>
      <c r="AM354" t="n">
        <v>4</v>
      </c>
      <c r="AN354" t="n">
        <v>0</v>
      </c>
      <c r="AO354" t="n">
        <v>0</v>
      </c>
      <c r="AP354" t="inlineStr">
        <is>
          <t>No</t>
        </is>
      </c>
      <c r="AQ354" t="inlineStr">
        <is>
          <t>Yes</t>
        </is>
      </c>
      <c r="AR354">
        <f>HYPERLINK("http://catalog.hathitrust.org/Record/003120692","HathiTrust Record")</f>
        <v/>
      </c>
      <c r="AS354">
        <f>HYPERLINK("https://creighton-primo.hosted.exlibrisgroup.com/primo-explore/search?tab=default_tab&amp;search_scope=EVERYTHING&amp;vid=01CRU&amp;lang=en_US&amp;offset=0&amp;query=any,contains,991002677519702656","Catalog Record")</f>
        <v/>
      </c>
      <c r="AT354">
        <f>HYPERLINK("http://www.worldcat.org/oclc/35001824","WorldCat Record")</f>
        <v/>
      </c>
      <c r="AU354" t="inlineStr">
        <is>
          <t>34765366:eng</t>
        </is>
      </c>
      <c r="AV354" t="inlineStr">
        <is>
          <t>35001824</t>
        </is>
      </c>
      <c r="AW354" t="inlineStr">
        <is>
          <t>991002677519702656</t>
        </is>
      </c>
      <c r="AX354" t="inlineStr">
        <is>
          <t>991002677519702656</t>
        </is>
      </c>
      <c r="AY354" t="inlineStr">
        <is>
          <t>2265908530002656</t>
        </is>
      </c>
      <c r="AZ354" t="inlineStr">
        <is>
          <t>BOOK</t>
        </is>
      </c>
      <c r="BB354" t="inlineStr">
        <is>
          <t>9781574880410</t>
        </is>
      </c>
      <c r="BC354" t="inlineStr">
        <is>
          <t>32285003250262</t>
        </is>
      </c>
      <c r="BD354" t="inlineStr">
        <is>
          <t>893610133</t>
        </is>
      </c>
    </row>
    <row r="355">
      <c r="A355" t="inlineStr">
        <is>
          <t>No</t>
        </is>
      </c>
      <c r="B355" t="inlineStr">
        <is>
          <t>HN58 .F37 1996</t>
        </is>
      </c>
      <c r="C355" t="inlineStr">
        <is>
          <t>0                      HN 0058000F  37          1996</t>
        </is>
      </c>
      <c r="D355" t="inlineStr">
        <is>
          <t>The new American reality : who we are, how we got here, where we are going / Reynolds Farley.</t>
        </is>
      </c>
      <c r="F355" t="inlineStr">
        <is>
          <t>No</t>
        </is>
      </c>
      <c r="G355" t="inlineStr">
        <is>
          <t>1</t>
        </is>
      </c>
      <c r="H355" t="inlineStr">
        <is>
          <t>No</t>
        </is>
      </c>
      <c r="I355" t="inlineStr">
        <is>
          <t>No</t>
        </is>
      </c>
      <c r="J355" t="inlineStr">
        <is>
          <t>0</t>
        </is>
      </c>
      <c r="K355" t="inlineStr">
        <is>
          <t>Farley, Reynolds, 1938-</t>
        </is>
      </c>
      <c r="L355" t="inlineStr">
        <is>
          <t>New York : Russell Sage Foundation, c1996.</t>
        </is>
      </c>
      <c r="M355" t="inlineStr">
        <is>
          <t>1996</t>
        </is>
      </c>
      <c r="O355" t="inlineStr">
        <is>
          <t>eng</t>
        </is>
      </c>
      <c r="P355" t="inlineStr">
        <is>
          <t>nyu</t>
        </is>
      </c>
      <c r="R355" t="inlineStr">
        <is>
          <t xml:space="preserve">HN </t>
        </is>
      </c>
      <c r="S355" t="n">
        <v>4</v>
      </c>
      <c r="T355" t="n">
        <v>4</v>
      </c>
      <c r="U355" t="inlineStr">
        <is>
          <t>2002-07-13</t>
        </is>
      </c>
      <c r="V355" t="inlineStr">
        <is>
          <t>2002-07-13</t>
        </is>
      </c>
      <c r="W355" t="inlineStr">
        <is>
          <t>1997-03-31</t>
        </is>
      </c>
      <c r="X355" t="inlineStr">
        <is>
          <t>1997-03-31</t>
        </is>
      </c>
      <c r="Y355" t="n">
        <v>789</v>
      </c>
      <c r="Z355" t="n">
        <v>731</v>
      </c>
      <c r="AA355" t="n">
        <v>811</v>
      </c>
      <c r="AB355" t="n">
        <v>6</v>
      </c>
      <c r="AC355" t="n">
        <v>6</v>
      </c>
      <c r="AD355" t="n">
        <v>32</v>
      </c>
      <c r="AE355" t="n">
        <v>34</v>
      </c>
      <c r="AF355" t="n">
        <v>11</v>
      </c>
      <c r="AG355" t="n">
        <v>13</v>
      </c>
      <c r="AH355" t="n">
        <v>7</v>
      </c>
      <c r="AI355" t="n">
        <v>8</v>
      </c>
      <c r="AJ355" t="n">
        <v>16</v>
      </c>
      <c r="AK355" t="n">
        <v>16</v>
      </c>
      <c r="AL355" t="n">
        <v>5</v>
      </c>
      <c r="AM355" t="n">
        <v>5</v>
      </c>
      <c r="AN355" t="n">
        <v>2</v>
      </c>
      <c r="AO355" t="n">
        <v>2</v>
      </c>
      <c r="AP355" t="inlineStr">
        <is>
          <t>No</t>
        </is>
      </c>
      <c r="AQ355" t="inlineStr">
        <is>
          <t>No</t>
        </is>
      </c>
      <c r="AS355">
        <f>HYPERLINK("https://creighton-primo.hosted.exlibrisgroup.com/primo-explore/search?tab=default_tab&amp;search_scope=EVERYTHING&amp;vid=01CRU&amp;lang=en_US&amp;offset=0&amp;query=any,contains,991002655499702656","Catalog Record")</f>
        <v/>
      </c>
      <c r="AT355">
        <f>HYPERLINK("http://www.worldcat.org/oclc/34722090","WorldCat Record")</f>
        <v/>
      </c>
      <c r="AU355" t="inlineStr">
        <is>
          <t>20952935:eng</t>
        </is>
      </c>
      <c r="AV355" t="inlineStr">
        <is>
          <t>34722090</t>
        </is>
      </c>
      <c r="AW355" t="inlineStr">
        <is>
          <t>991002655499702656</t>
        </is>
      </c>
      <c r="AX355" t="inlineStr">
        <is>
          <t>991002655499702656</t>
        </is>
      </c>
      <c r="AY355" t="inlineStr">
        <is>
          <t>2261851360002656</t>
        </is>
      </c>
      <c r="AZ355" t="inlineStr">
        <is>
          <t>BOOK</t>
        </is>
      </c>
      <c r="BB355" t="inlineStr">
        <is>
          <t>9780871542373</t>
        </is>
      </c>
      <c r="BC355" t="inlineStr">
        <is>
          <t>32285002476959</t>
        </is>
      </c>
      <c r="BD355" t="inlineStr">
        <is>
          <t>893257541</t>
        </is>
      </c>
    </row>
    <row r="356">
      <c r="A356" t="inlineStr">
        <is>
          <t>No</t>
        </is>
      </c>
      <c r="B356" t="inlineStr">
        <is>
          <t>HN58 .G66 1976</t>
        </is>
      </c>
      <c r="C356" t="inlineStr">
        <is>
          <t>0                      HN 0058000G  66          1976</t>
        </is>
      </c>
      <c r="D356" t="inlineStr">
        <is>
          <t>The best years, 1945-1950 / Joseph C. Goulden.</t>
        </is>
      </c>
      <c r="F356" t="inlineStr">
        <is>
          <t>No</t>
        </is>
      </c>
      <c r="G356" t="inlineStr">
        <is>
          <t>1</t>
        </is>
      </c>
      <c r="H356" t="inlineStr">
        <is>
          <t>No</t>
        </is>
      </c>
      <c r="I356" t="inlineStr">
        <is>
          <t>No</t>
        </is>
      </c>
      <c r="J356" t="inlineStr">
        <is>
          <t>0</t>
        </is>
      </c>
      <c r="K356" t="inlineStr">
        <is>
          <t>Goulden, Joseph C., 1934-</t>
        </is>
      </c>
      <c r="L356" t="inlineStr">
        <is>
          <t>New York : Atheneum, 1976.</t>
        </is>
      </c>
      <c r="M356" t="inlineStr">
        <is>
          <t>1976</t>
        </is>
      </c>
      <c r="N356" t="inlineStr">
        <is>
          <t>1st ed.</t>
        </is>
      </c>
      <c r="O356" t="inlineStr">
        <is>
          <t>eng</t>
        </is>
      </c>
      <c r="P356" t="inlineStr">
        <is>
          <t>nyu</t>
        </is>
      </c>
      <c r="R356" t="inlineStr">
        <is>
          <t xml:space="preserve">HN </t>
        </is>
      </c>
      <c r="S356" t="n">
        <v>1</v>
      </c>
      <c r="T356" t="n">
        <v>1</v>
      </c>
      <c r="U356" t="inlineStr">
        <is>
          <t>2008-06-10</t>
        </is>
      </c>
      <c r="V356" t="inlineStr">
        <is>
          <t>2008-06-10</t>
        </is>
      </c>
      <c r="W356" t="inlineStr">
        <is>
          <t>2008-06-10</t>
        </is>
      </c>
      <c r="X356" t="inlineStr">
        <is>
          <t>2008-06-10</t>
        </is>
      </c>
      <c r="Y356" t="n">
        <v>1352</v>
      </c>
      <c r="Z356" t="n">
        <v>1290</v>
      </c>
      <c r="AA356" t="n">
        <v>1318</v>
      </c>
      <c r="AB356" t="n">
        <v>6</v>
      </c>
      <c r="AC356" t="n">
        <v>6</v>
      </c>
      <c r="AD356" t="n">
        <v>35</v>
      </c>
      <c r="AE356" t="n">
        <v>35</v>
      </c>
      <c r="AF356" t="n">
        <v>11</v>
      </c>
      <c r="AG356" t="n">
        <v>11</v>
      </c>
      <c r="AH356" t="n">
        <v>6</v>
      </c>
      <c r="AI356" t="n">
        <v>6</v>
      </c>
      <c r="AJ356" t="n">
        <v>21</v>
      </c>
      <c r="AK356" t="n">
        <v>21</v>
      </c>
      <c r="AL356" t="n">
        <v>5</v>
      </c>
      <c r="AM356" t="n">
        <v>5</v>
      </c>
      <c r="AN356" t="n">
        <v>1</v>
      </c>
      <c r="AO356" t="n">
        <v>1</v>
      </c>
      <c r="AP356" t="inlineStr">
        <is>
          <t>No</t>
        </is>
      </c>
      <c r="AQ356" t="inlineStr">
        <is>
          <t>No</t>
        </is>
      </c>
      <c r="AS356">
        <f>HYPERLINK("https://creighton-primo.hosted.exlibrisgroup.com/primo-explore/search?tab=default_tab&amp;search_scope=EVERYTHING&amp;vid=01CRU&amp;lang=en_US&amp;offset=0&amp;query=any,contains,991005233019702656","Catalog Record")</f>
        <v/>
      </c>
      <c r="AT356">
        <f>HYPERLINK("http://www.worldcat.org/oclc/2005490","WorldCat Record")</f>
        <v/>
      </c>
      <c r="AU356" t="inlineStr">
        <is>
          <t>2607828:eng</t>
        </is>
      </c>
      <c r="AV356" t="inlineStr">
        <is>
          <t>2005490</t>
        </is>
      </c>
      <c r="AW356" t="inlineStr">
        <is>
          <t>991005233019702656</t>
        </is>
      </c>
      <c r="AX356" t="inlineStr">
        <is>
          <t>991005233019702656</t>
        </is>
      </c>
      <c r="AY356" t="inlineStr">
        <is>
          <t>2262080830002656</t>
        </is>
      </c>
      <c r="AZ356" t="inlineStr">
        <is>
          <t>BOOK</t>
        </is>
      </c>
      <c r="BB356" t="inlineStr">
        <is>
          <t>9780689107085</t>
        </is>
      </c>
      <c r="BC356" t="inlineStr">
        <is>
          <t>32285005444012</t>
        </is>
      </c>
      <c r="BD356" t="inlineStr">
        <is>
          <t>893260778</t>
        </is>
      </c>
    </row>
    <row r="357">
      <c r="A357" t="inlineStr">
        <is>
          <t>No</t>
        </is>
      </c>
      <c r="B357" t="inlineStr">
        <is>
          <t>HN58 .H4</t>
        </is>
      </c>
      <c r="C357" t="inlineStr">
        <is>
          <t>0                      HN 0058000H  4</t>
        </is>
      </c>
      <c r="D357" t="inlineStr">
        <is>
          <t>Culture against man.</t>
        </is>
      </c>
      <c r="F357" t="inlineStr">
        <is>
          <t>No</t>
        </is>
      </c>
      <c r="G357" t="inlineStr">
        <is>
          <t>1</t>
        </is>
      </c>
      <c r="H357" t="inlineStr">
        <is>
          <t>No</t>
        </is>
      </c>
      <c r="I357" t="inlineStr">
        <is>
          <t>No</t>
        </is>
      </c>
      <c r="J357" t="inlineStr">
        <is>
          <t>0</t>
        </is>
      </c>
      <c r="K357" t="inlineStr">
        <is>
          <t>Henry, Jules, 1904-1969.</t>
        </is>
      </c>
      <c r="L357" t="inlineStr">
        <is>
          <t>New York, Random House [1963]</t>
        </is>
      </c>
      <c r="M357" t="inlineStr">
        <is>
          <t>1963</t>
        </is>
      </c>
      <c r="O357" t="inlineStr">
        <is>
          <t>eng</t>
        </is>
      </c>
      <c r="P357" t="inlineStr">
        <is>
          <t>nyu</t>
        </is>
      </c>
      <c r="R357" t="inlineStr">
        <is>
          <t xml:space="preserve">HN </t>
        </is>
      </c>
      <c r="S357" t="n">
        <v>1</v>
      </c>
      <c r="T357" t="n">
        <v>1</v>
      </c>
      <c r="U357" t="inlineStr">
        <is>
          <t>2003-04-09</t>
        </is>
      </c>
      <c r="V357" t="inlineStr">
        <is>
          <t>2003-04-09</t>
        </is>
      </c>
      <c r="W357" t="inlineStr">
        <is>
          <t>1997-08-05</t>
        </is>
      </c>
      <c r="X357" t="inlineStr">
        <is>
          <t>1997-08-05</t>
        </is>
      </c>
      <c r="Y357" t="n">
        <v>1059</v>
      </c>
      <c r="Z357" t="n">
        <v>958</v>
      </c>
      <c r="AA357" t="n">
        <v>1175</v>
      </c>
      <c r="AB357" t="n">
        <v>10</v>
      </c>
      <c r="AC357" t="n">
        <v>11</v>
      </c>
      <c r="AD357" t="n">
        <v>44</v>
      </c>
      <c r="AE357" t="n">
        <v>51</v>
      </c>
      <c r="AF357" t="n">
        <v>17</v>
      </c>
      <c r="AG357" t="n">
        <v>19</v>
      </c>
      <c r="AH357" t="n">
        <v>8</v>
      </c>
      <c r="AI357" t="n">
        <v>8</v>
      </c>
      <c r="AJ357" t="n">
        <v>20</v>
      </c>
      <c r="AK357" t="n">
        <v>25</v>
      </c>
      <c r="AL357" t="n">
        <v>8</v>
      </c>
      <c r="AM357" t="n">
        <v>9</v>
      </c>
      <c r="AN357" t="n">
        <v>1</v>
      </c>
      <c r="AO357" t="n">
        <v>1</v>
      </c>
      <c r="AP357" t="inlineStr">
        <is>
          <t>No</t>
        </is>
      </c>
      <c r="AQ357" t="inlineStr">
        <is>
          <t>Yes</t>
        </is>
      </c>
      <c r="AR357">
        <f>HYPERLINK("http://catalog.hathitrust.org/Record/001108169","HathiTrust Record")</f>
        <v/>
      </c>
      <c r="AS357">
        <f>HYPERLINK("https://creighton-primo.hosted.exlibrisgroup.com/primo-explore/search?tab=default_tab&amp;search_scope=EVERYTHING&amp;vid=01CRU&amp;lang=en_US&amp;offset=0&amp;query=any,contains,991002009999702656","Catalog Record")</f>
        <v/>
      </c>
      <c r="AT357">
        <f>HYPERLINK("http://www.worldcat.org/oclc/258799","WorldCat Record")</f>
        <v/>
      </c>
      <c r="AU357" t="inlineStr">
        <is>
          <t>463778:eng</t>
        </is>
      </c>
      <c r="AV357" t="inlineStr">
        <is>
          <t>258799</t>
        </is>
      </c>
      <c r="AW357" t="inlineStr">
        <is>
          <t>991002009999702656</t>
        </is>
      </c>
      <c r="AX357" t="inlineStr">
        <is>
          <t>991002009999702656</t>
        </is>
      </c>
      <c r="AY357" t="inlineStr">
        <is>
          <t>2271542300002656</t>
        </is>
      </c>
      <c r="AZ357" t="inlineStr">
        <is>
          <t>BOOK</t>
        </is>
      </c>
      <c r="BC357" t="inlineStr">
        <is>
          <t>32285003042206</t>
        </is>
      </c>
      <c r="BD357" t="inlineStr">
        <is>
          <t>893691122</t>
        </is>
      </c>
    </row>
    <row r="358">
      <c r="A358" t="inlineStr">
        <is>
          <t>No</t>
        </is>
      </c>
      <c r="B358" t="inlineStr">
        <is>
          <t>HN58 .H64</t>
        </is>
      </c>
      <c r="C358" t="inlineStr">
        <is>
          <t>0                      HN 0058000H  64</t>
        </is>
      </c>
      <c r="D358" t="inlineStr">
        <is>
          <t>American and Soviet society: a reader in comparative sociology and perception.</t>
        </is>
      </c>
      <c r="F358" t="inlineStr">
        <is>
          <t>No</t>
        </is>
      </c>
      <c r="G358" t="inlineStr">
        <is>
          <t>1</t>
        </is>
      </c>
      <c r="H358" t="inlineStr">
        <is>
          <t>No</t>
        </is>
      </c>
      <c r="I358" t="inlineStr">
        <is>
          <t>No</t>
        </is>
      </c>
      <c r="J358" t="inlineStr">
        <is>
          <t>0</t>
        </is>
      </c>
      <c r="K358" t="inlineStr">
        <is>
          <t>Hollander, Paul, 1932-</t>
        </is>
      </c>
      <c r="L358" t="inlineStr">
        <is>
          <t>Englewood Cliffs, N.J., Prentice-Hall [1969]</t>
        </is>
      </c>
      <c r="M358" t="inlineStr">
        <is>
          <t>1969</t>
        </is>
      </c>
      <c r="O358" t="inlineStr">
        <is>
          <t>eng</t>
        </is>
      </c>
      <c r="P358" t="inlineStr">
        <is>
          <t>nju</t>
        </is>
      </c>
      <c r="R358" t="inlineStr">
        <is>
          <t xml:space="preserve">HN </t>
        </is>
      </c>
      <c r="S358" t="n">
        <v>1</v>
      </c>
      <c r="T358" t="n">
        <v>1</v>
      </c>
      <c r="U358" t="inlineStr">
        <is>
          <t>1998-04-06</t>
        </is>
      </c>
      <c r="V358" t="inlineStr">
        <is>
          <t>1998-04-06</t>
        </is>
      </c>
      <c r="W358" t="inlineStr">
        <is>
          <t>1997-08-05</t>
        </is>
      </c>
      <c r="X358" t="inlineStr">
        <is>
          <t>1997-08-05</t>
        </is>
      </c>
      <c r="Y358" t="n">
        <v>649</v>
      </c>
      <c r="Z358" t="n">
        <v>523</v>
      </c>
      <c r="AA358" t="n">
        <v>540</v>
      </c>
      <c r="AB358" t="n">
        <v>6</v>
      </c>
      <c r="AC358" t="n">
        <v>6</v>
      </c>
      <c r="AD358" t="n">
        <v>25</v>
      </c>
      <c r="AE358" t="n">
        <v>27</v>
      </c>
      <c r="AF358" t="n">
        <v>6</v>
      </c>
      <c r="AG358" t="n">
        <v>7</v>
      </c>
      <c r="AH358" t="n">
        <v>4</v>
      </c>
      <c r="AI358" t="n">
        <v>5</v>
      </c>
      <c r="AJ358" t="n">
        <v>14</v>
      </c>
      <c r="AK358" t="n">
        <v>14</v>
      </c>
      <c r="AL358" t="n">
        <v>5</v>
      </c>
      <c r="AM358" t="n">
        <v>5</v>
      </c>
      <c r="AN358" t="n">
        <v>0</v>
      </c>
      <c r="AO358" t="n">
        <v>0</v>
      </c>
      <c r="AP358" t="inlineStr">
        <is>
          <t>No</t>
        </is>
      </c>
      <c r="AQ358" t="inlineStr">
        <is>
          <t>Yes</t>
        </is>
      </c>
      <c r="AR358">
        <f>HYPERLINK("http://catalog.hathitrust.org/Record/001108170","HathiTrust Record")</f>
        <v/>
      </c>
      <c r="AS358">
        <f>HYPERLINK("https://creighton-primo.hosted.exlibrisgroup.com/primo-explore/search?tab=default_tab&amp;search_scope=EVERYTHING&amp;vid=01CRU&amp;lang=en_US&amp;offset=0&amp;query=any,contains,991005433559702656","Catalog Record")</f>
        <v/>
      </c>
      <c r="AT358">
        <f>HYPERLINK("http://www.worldcat.org/oclc/1895","WorldCat Record")</f>
        <v/>
      </c>
      <c r="AU358" t="inlineStr">
        <is>
          <t>118196249:eng</t>
        </is>
      </c>
      <c r="AV358" t="inlineStr">
        <is>
          <t>1895</t>
        </is>
      </c>
      <c r="AW358" t="inlineStr">
        <is>
          <t>991005433559702656</t>
        </is>
      </c>
      <c r="AX358" t="inlineStr">
        <is>
          <t>991005433559702656</t>
        </is>
      </c>
      <c r="AY358" t="inlineStr">
        <is>
          <t>2271287060002656</t>
        </is>
      </c>
      <c r="AZ358" t="inlineStr">
        <is>
          <t>BOOK</t>
        </is>
      </c>
      <c r="BC358" t="inlineStr">
        <is>
          <t>32285003042214</t>
        </is>
      </c>
      <c r="BD358" t="inlineStr">
        <is>
          <t>893248917</t>
        </is>
      </c>
    </row>
    <row r="359">
      <c r="A359" t="inlineStr">
        <is>
          <t>No</t>
        </is>
      </c>
      <c r="B359" t="inlineStr">
        <is>
          <t>HN58 .J66 1980</t>
        </is>
      </c>
      <c r="C359" t="inlineStr">
        <is>
          <t>0                      HN 0058000J  66          1980</t>
        </is>
      </c>
      <c r="D359" t="inlineStr">
        <is>
          <t>Great expectations : America and the baby boom generation / Landon Y. Jones.</t>
        </is>
      </c>
      <c r="F359" t="inlineStr">
        <is>
          <t>No</t>
        </is>
      </c>
      <c r="G359" t="inlineStr">
        <is>
          <t>1</t>
        </is>
      </c>
      <c r="H359" t="inlineStr">
        <is>
          <t>No</t>
        </is>
      </c>
      <c r="I359" t="inlineStr">
        <is>
          <t>No</t>
        </is>
      </c>
      <c r="J359" t="inlineStr">
        <is>
          <t>0</t>
        </is>
      </c>
      <c r="K359" t="inlineStr">
        <is>
          <t>Jones, Landon Y., 1943-</t>
        </is>
      </c>
      <c r="L359" t="inlineStr">
        <is>
          <t>New York : Coward, McCann &amp; Geoghegan, c1980.</t>
        </is>
      </c>
      <c r="M359" t="inlineStr">
        <is>
          <t>1980</t>
        </is>
      </c>
      <c r="O359" t="inlineStr">
        <is>
          <t>eng</t>
        </is>
      </c>
      <c r="P359" t="inlineStr">
        <is>
          <t>nyu</t>
        </is>
      </c>
      <c r="R359" t="inlineStr">
        <is>
          <t xml:space="preserve">HN </t>
        </is>
      </c>
      <c r="S359" t="n">
        <v>9</v>
      </c>
      <c r="T359" t="n">
        <v>9</v>
      </c>
      <c r="U359" t="inlineStr">
        <is>
          <t>1999-04-14</t>
        </is>
      </c>
      <c r="V359" t="inlineStr">
        <is>
          <t>1999-04-14</t>
        </is>
      </c>
      <c r="W359" t="inlineStr">
        <is>
          <t>1992-05-05</t>
        </is>
      </c>
      <c r="X359" t="inlineStr">
        <is>
          <t>1992-05-05</t>
        </is>
      </c>
      <c r="Y359" t="n">
        <v>1161</v>
      </c>
      <c r="Z359" t="n">
        <v>1089</v>
      </c>
      <c r="AA359" t="n">
        <v>1431</v>
      </c>
      <c r="AB359" t="n">
        <v>6</v>
      </c>
      <c r="AC359" t="n">
        <v>7</v>
      </c>
      <c r="AD359" t="n">
        <v>31</v>
      </c>
      <c r="AE359" t="n">
        <v>39</v>
      </c>
      <c r="AF359" t="n">
        <v>13</v>
      </c>
      <c r="AG359" t="n">
        <v>17</v>
      </c>
      <c r="AH359" t="n">
        <v>7</v>
      </c>
      <c r="AI359" t="n">
        <v>8</v>
      </c>
      <c r="AJ359" t="n">
        <v>15</v>
      </c>
      <c r="AK359" t="n">
        <v>18</v>
      </c>
      <c r="AL359" t="n">
        <v>3</v>
      </c>
      <c r="AM359" t="n">
        <v>4</v>
      </c>
      <c r="AN359" t="n">
        <v>2</v>
      </c>
      <c r="AO359" t="n">
        <v>2</v>
      </c>
      <c r="AP359" t="inlineStr">
        <is>
          <t>No</t>
        </is>
      </c>
      <c r="AQ359" t="inlineStr">
        <is>
          <t>No</t>
        </is>
      </c>
      <c r="AS359">
        <f>HYPERLINK("https://creighton-primo.hosted.exlibrisgroup.com/primo-explore/search?tab=default_tab&amp;search_scope=EVERYTHING&amp;vid=01CRU&amp;lang=en_US&amp;offset=0&amp;query=any,contains,991004952739702656","Catalog Record")</f>
        <v/>
      </c>
      <c r="AT359">
        <f>HYPERLINK("http://www.worldcat.org/oclc/6251792","WorldCat Record")</f>
        <v/>
      </c>
      <c r="AU359" t="inlineStr">
        <is>
          <t>443525:eng</t>
        </is>
      </c>
      <c r="AV359" t="inlineStr">
        <is>
          <t>6251792</t>
        </is>
      </c>
      <c r="AW359" t="inlineStr">
        <is>
          <t>991004952739702656</t>
        </is>
      </c>
      <c r="AX359" t="inlineStr">
        <is>
          <t>991004952739702656</t>
        </is>
      </c>
      <c r="AY359" t="inlineStr">
        <is>
          <t>2262911430002656</t>
        </is>
      </c>
      <c r="AZ359" t="inlineStr">
        <is>
          <t>BOOK</t>
        </is>
      </c>
      <c r="BB359" t="inlineStr">
        <is>
          <t>9780698110496</t>
        </is>
      </c>
      <c r="BC359" t="inlineStr">
        <is>
          <t>32285001093946</t>
        </is>
      </c>
      <c r="BD359" t="inlineStr">
        <is>
          <t>893344448</t>
        </is>
      </c>
    </row>
    <row r="360">
      <c r="A360" t="inlineStr">
        <is>
          <t>No</t>
        </is>
      </c>
      <c r="B360" t="inlineStr">
        <is>
          <t>HN59 .B97 1990</t>
        </is>
      </c>
      <c r="C360" t="inlineStr">
        <is>
          <t>0                      HN 0059000B  97          1990</t>
        </is>
      </c>
      <c r="D360" t="inlineStr">
        <is>
          <t>Social movements of the 1960s : searching for democracy / Stewart Burns.</t>
        </is>
      </c>
      <c r="F360" t="inlineStr">
        <is>
          <t>No</t>
        </is>
      </c>
      <c r="G360" t="inlineStr">
        <is>
          <t>1</t>
        </is>
      </c>
      <c r="H360" t="inlineStr">
        <is>
          <t>No</t>
        </is>
      </c>
      <c r="I360" t="inlineStr">
        <is>
          <t>No</t>
        </is>
      </c>
      <c r="J360" t="inlineStr">
        <is>
          <t>0</t>
        </is>
      </c>
      <c r="K360" t="inlineStr">
        <is>
          <t>Burns, Stewart.</t>
        </is>
      </c>
      <c r="L360" t="inlineStr">
        <is>
          <t>Boston : Twayne Publishers, 1990.</t>
        </is>
      </c>
      <c r="M360" t="inlineStr">
        <is>
          <t>1990</t>
        </is>
      </c>
      <c r="O360" t="inlineStr">
        <is>
          <t>eng</t>
        </is>
      </c>
      <c r="P360" t="inlineStr">
        <is>
          <t>mau</t>
        </is>
      </c>
      <c r="Q360" t="inlineStr">
        <is>
          <t>Social movements past and present</t>
        </is>
      </c>
      <c r="R360" t="inlineStr">
        <is>
          <t xml:space="preserve">HN </t>
        </is>
      </c>
      <c r="S360" t="n">
        <v>2</v>
      </c>
      <c r="T360" t="n">
        <v>2</v>
      </c>
      <c r="U360" t="inlineStr">
        <is>
          <t>1992-04-05</t>
        </is>
      </c>
      <c r="V360" t="inlineStr">
        <is>
          <t>1992-04-05</t>
        </is>
      </c>
      <c r="W360" t="inlineStr">
        <is>
          <t>1990-10-12</t>
        </is>
      </c>
      <c r="X360" t="inlineStr">
        <is>
          <t>1990-10-12</t>
        </is>
      </c>
      <c r="Y360" t="n">
        <v>1414</v>
      </c>
      <c r="Z360" t="n">
        <v>1289</v>
      </c>
      <c r="AA360" t="n">
        <v>1297</v>
      </c>
      <c r="AB360" t="n">
        <v>12</v>
      </c>
      <c r="AC360" t="n">
        <v>12</v>
      </c>
      <c r="AD360" t="n">
        <v>51</v>
      </c>
      <c r="AE360" t="n">
        <v>51</v>
      </c>
      <c r="AF360" t="n">
        <v>21</v>
      </c>
      <c r="AG360" t="n">
        <v>21</v>
      </c>
      <c r="AH360" t="n">
        <v>7</v>
      </c>
      <c r="AI360" t="n">
        <v>7</v>
      </c>
      <c r="AJ360" t="n">
        <v>22</v>
      </c>
      <c r="AK360" t="n">
        <v>22</v>
      </c>
      <c r="AL360" t="n">
        <v>10</v>
      </c>
      <c r="AM360" t="n">
        <v>10</v>
      </c>
      <c r="AN360" t="n">
        <v>1</v>
      </c>
      <c r="AO360" t="n">
        <v>1</v>
      </c>
      <c r="AP360" t="inlineStr">
        <is>
          <t>No</t>
        </is>
      </c>
      <c r="AQ360" t="inlineStr">
        <is>
          <t>Yes</t>
        </is>
      </c>
      <c r="AR360">
        <f>HYPERLINK("http://catalog.hathitrust.org/Record/007108129","HathiTrust Record")</f>
        <v/>
      </c>
      <c r="AS360">
        <f>HYPERLINK("https://creighton-primo.hosted.exlibrisgroup.com/primo-explore/search?tab=default_tab&amp;search_scope=EVERYTHING&amp;vid=01CRU&amp;lang=en_US&amp;offset=0&amp;query=any,contains,991001587769702656","Catalog Record")</f>
        <v/>
      </c>
      <c r="AT360">
        <f>HYPERLINK("http://www.worldcat.org/oclc/20560608","WorldCat Record")</f>
        <v/>
      </c>
      <c r="AU360" t="inlineStr">
        <is>
          <t>22140152:eng</t>
        </is>
      </c>
      <c r="AV360" t="inlineStr">
        <is>
          <t>20560608</t>
        </is>
      </c>
      <c r="AW360" t="inlineStr">
        <is>
          <t>991001587769702656</t>
        </is>
      </c>
      <c r="AX360" t="inlineStr">
        <is>
          <t>991001587769702656</t>
        </is>
      </c>
      <c r="AY360" t="inlineStr">
        <is>
          <t>2259412510002656</t>
        </is>
      </c>
      <c r="AZ360" t="inlineStr">
        <is>
          <t>BOOK</t>
        </is>
      </c>
      <c r="BB360" t="inlineStr">
        <is>
          <t>9780805797381</t>
        </is>
      </c>
      <c r="BC360" t="inlineStr">
        <is>
          <t>32285000310283</t>
        </is>
      </c>
      <c r="BD360" t="inlineStr">
        <is>
          <t>893897888</t>
        </is>
      </c>
    </row>
    <row r="361">
      <c r="A361" t="inlineStr">
        <is>
          <t>No</t>
        </is>
      </c>
      <c r="B361" t="inlineStr">
        <is>
          <t>HN59 .C26</t>
        </is>
      </c>
      <c r="C361" t="inlineStr">
        <is>
          <t>0                      HN 0059000C  26</t>
        </is>
      </c>
      <c r="D361" t="inlineStr">
        <is>
          <t>Governing America : an insider's report from the White House and the Cabinet / Joseph A. Califano, Jr.</t>
        </is>
      </c>
      <c r="F361" t="inlineStr">
        <is>
          <t>No</t>
        </is>
      </c>
      <c r="G361" t="inlineStr">
        <is>
          <t>1</t>
        </is>
      </c>
      <c r="H361" t="inlineStr">
        <is>
          <t>No</t>
        </is>
      </c>
      <c r="I361" t="inlineStr">
        <is>
          <t>No</t>
        </is>
      </c>
      <c r="J361" t="inlineStr">
        <is>
          <t>0</t>
        </is>
      </c>
      <c r="K361" t="inlineStr">
        <is>
          <t>Califano, Joseph A., Jr., 1931-</t>
        </is>
      </c>
      <c r="L361" t="inlineStr">
        <is>
          <t>New York : Simon and Schuster, c1981.</t>
        </is>
      </c>
      <c r="M361" t="inlineStr">
        <is>
          <t>1981</t>
        </is>
      </c>
      <c r="O361" t="inlineStr">
        <is>
          <t>eng</t>
        </is>
      </c>
      <c r="P361" t="inlineStr">
        <is>
          <t>nyu</t>
        </is>
      </c>
      <c r="R361" t="inlineStr">
        <is>
          <t xml:space="preserve">HN </t>
        </is>
      </c>
      <c r="S361" t="n">
        <v>5</v>
      </c>
      <c r="T361" t="n">
        <v>5</v>
      </c>
      <c r="U361" t="inlineStr">
        <is>
          <t>1993-11-26</t>
        </is>
      </c>
      <c r="V361" t="inlineStr">
        <is>
          <t>1993-11-26</t>
        </is>
      </c>
      <c r="W361" t="inlineStr">
        <is>
          <t>1990-07-02</t>
        </is>
      </c>
      <c r="X361" t="inlineStr">
        <is>
          <t>1990-07-02</t>
        </is>
      </c>
      <c r="Y361" t="n">
        <v>1140</v>
      </c>
      <c r="Z361" t="n">
        <v>1071</v>
      </c>
      <c r="AA361" t="n">
        <v>1099</v>
      </c>
      <c r="AB361" t="n">
        <v>7</v>
      </c>
      <c r="AC361" t="n">
        <v>8</v>
      </c>
      <c r="AD361" t="n">
        <v>38</v>
      </c>
      <c r="AE361" t="n">
        <v>40</v>
      </c>
      <c r="AF361" t="n">
        <v>13</v>
      </c>
      <c r="AG361" t="n">
        <v>13</v>
      </c>
      <c r="AH361" t="n">
        <v>7</v>
      </c>
      <c r="AI361" t="n">
        <v>8</v>
      </c>
      <c r="AJ361" t="n">
        <v>21</v>
      </c>
      <c r="AK361" t="n">
        <v>22</v>
      </c>
      <c r="AL361" t="n">
        <v>3</v>
      </c>
      <c r="AM361" t="n">
        <v>4</v>
      </c>
      <c r="AN361" t="n">
        <v>4</v>
      </c>
      <c r="AO361" t="n">
        <v>4</v>
      </c>
      <c r="AP361" t="inlineStr">
        <is>
          <t>No</t>
        </is>
      </c>
      <c r="AQ361" t="inlineStr">
        <is>
          <t>Yes</t>
        </is>
      </c>
      <c r="AR361">
        <f>HYPERLINK("http://catalog.hathitrust.org/Record/000098701","HathiTrust Record")</f>
        <v/>
      </c>
      <c r="AS361">
        <f>HYPERLINK("https://creighton-primo.hosted.exlibrisgroup.com/primo-explore/search?tab=default_tab&amp;search_scope=EVERYTHING&amp;vid=01CRU&amp;lang=en_US&amp;offset=0&amp;query=any,contains,991005099739702656","Catalog Record")</f>
        <v/>
      </c>
      <c r="AT361">
        <f>HYPERLINK("http://www.worldcat.org/oclc/7282045","WorldCat Record")</f>
        <v/>
      </c>
      <c r="AU361" t="inlineStr">
        <is>
          <t>26371678:eng</t>
        </is>
      </c>
      <c r="AV361" t="inlineStr">
        <is>
          <t>7282045</t>
        </is>
      </c>
      <c r="AW361" t="inlineStr">
        <is>
          <t>991005099739702656</t>
        </is>
      </c>
      <c r="AX361" t="inlineStr">
        <is>
          <t>991005099739702656</t>
        </is>
      </c>
      <c r="AY361" t="inlineStr">
        <is>
          <t>2257985170002656</t>
        </is>
      </c>
      <c r="AZ361" t="inlineStr">
        <is>
          <t>BOOK</t>
        </is>
      </c>
      <c r="BB361" t="inlineStr">
        <is>
          <t>9780671254285</t>
        </is>
      </c>
      <c r="BC361" t="inlineStr">
        <is>
          <t>32285000219187</t>
        </is>
      </c>
      <c r="BD361" t="inlineStr">
        <is>
          <t>893870507</t>
        </is>
      </c>
    </row>
    <row r="362">
      <c r="A362" t="inlineStr">
        <is>
          <t>No</t>
        </is>
      </c>
      <c r="B362" t="inlineStr">
        <is>
          <t>HN59 .C58</t>
        </is>
      </c>
      <c r="C362" t="inlineStr">
        <is>
          <t>0                      HN 0059000C  58</t>
        </is>
      </c>
      <c r="D362" t="inlineStr">
        <is>
          <t>The politics of turmoil; essays on poverty, race, and the urban crisis, by Richard A. Cloward and Frances Fox Piven. --</t>
        </is>
      </c>
      <c r="F362" t="inlineStr">
        <is>
          <t>No</t>
        </is>
      </c>
      <c r="G362" t="inlineStr">
        <is>
          <t>1</t>
        </is>
      </c>
      <c r="H362" t="inlineStr">
        <is>
          <t>No</t>
        </is>
      </c>
      <c r="I362" t="inlineStr">
        <is>
          <t>No</t>
        </is>
      </c>
      <c r="J362" t="inlineStr">
        <is>
          <t>0</t>
        </is>
      </c>
      <c r="K362" t="inlineStr">
        <is>
          <t>Cloward, Richard A.</t>
        </is>
      </c>
      <c r="L362" t="inlineStr">
        <is>
          <t>New York: Pantheon Books, [1974]</t>
        </is>
      </c>
      <c r="M362" t="inlineStr">
        <is>
          <t>1974</t>
        </is>
      </c>
      <c r="N362" t="inlineStr">
        <is>
          <t>[1st ed.]</t>
        </is>
      </c>
      <c r="O362" t="inlineStr">
        <is>
          <t>eng</t>
        </is>
      </c>
      <c r="P362" t="inlineStr">
        <is>
          <t>nyu</t>
        </is>
      </c>
      <c r="R362" t="inlineStr">
        <is>
          <t xml:space="preserve">HN </t>
        </is>
      </c>
      <c r="S362" t="n">
        <v>1</v>
      </c>
      <c r="T362" t="n">
        <v>1</v>
      </c>
      <c r="U362" t="inlineStr">
        <is>
          <t>1992-11-29</t>
        </is>
      </c>
      <c r="V362" t="inlineStr">
        <is>
          <t>1992-11-29</t>
        </is>
      </c>
      <c r="W362" t="inlineStr">
        <is>
          <t>1992-09-28</t>
        </is>
      </c>
      <c r="X362" t="inlineStr">
        <is>
          <t>1992-09-28</t>
        </is>
      </c>
      <c r="Y362" t="n">
        <v>711</v>
      </c>
      <c r="Z362" t="n">
        <v>639</v>
      </c>
      <c r="AA362" t="n">
        <v>706</v>
      </c>
      <c r="AB362" t="n">
        <v>6</v>
      </c>
      <c r="AC362" t="n">
        <v>6</v>
      </c>
      <c r="AD362" t="n">
        <v>23</v>
      </c>
      <c r="AE362" t="n">
        <v>28</v>
      </c>
      <c r="AF362" t="n">
        <v>10</v>
      </c>
      <c r="AG362" t="n">
        <v>12</v>
      </c>
      <c r="AH362" t="n">
        <v>4</v>
      </c>
      <c r="AI362" t="n">
        <v>6</v>
      </c>
      <c r="AJ362" t="n">
        <v>13</v>
      </c>
      <c r="AK362" t="n">
        <v>14</v>
      </c>
      <c r="AL362" t="n">
        <v>3</v>
      </c>
      <c r="AM362" t="n">
        <v>3</v>
      </c>
      <c r="AN362" t="n">
        <v>1</v>
      </c>
      <c r="AO362" t="n">
        <v>3</v>
      </c>
      <c r="AP362" t="inlineStr">
        <is>
          <t>No</t>
        </is>
      </c>
      <c r="AQ362" t="inlineStr">
        <is>
          <t>Yes</t>
        </is>
      </c>
      <c r="AR362">
        <f>HYPERLINK("http://catalog.hathitrust.org/Record/000012345","HathiTrust Record")</f>
        <v/>
      </c>
      <c r="AS362">
        <f>HYPERLINK("https://creighton-primo.hosted.exlibrisgroup.com/primo-explore/search?tab=default_tab&amp;search_scope=EVERYTHING&amp;vid=01CRU&amp;lang=en_US&amp;offset=0&amp;query=any,contains,991003292699702656","Catalog Record")</f>
        <v/>
      </c>
      <c r="AT362">
        <f>HYPERLINK("http://www.worldcat.org/oclc/814563","WorldCat Record")</f>
        <v/>
      </c>
      <c r="AU362" t="inlineStr">
        <is>
          <t>1667097:eng</t>
        </is>
      </c>
      <c r="AV362" t="inlineStr">
        <is>
          <t>814563</t>
        </is>
      </c>
      <c r="AW362" t="inlineStr">
        <is>
          <t>991003292699702656</t>
        </is>
      </c>
      <c r="AX362" t="inlineStr">
        <is>
          <t>991003292699702656</t>
        </is>
      </c>
      <c r="AY362" t="inlineStr">
        <is>
          <t>2270090410002656</t>
        </is>
      </c>
      <c r="AZ362" t="inlineStr">
        <is>
          <t>BOOK</t>
        </is>
      </c>
      <c r="BB362" t="inlineStr">
        <is>
          <t>9780394481630</t>
        </is>
      </c>
      <c r="BC362" t="inlineStr">
        <is>
          <t>32285001355162</t>
        </is>
      </c>
      <c r="BD362" t="inlineStr">
        <is>
          <t>893422404</t>
        </is>
      </c>
    </row>
    <row r="363">
      <c r="A363" t="inlineStr">
        <is>
          <t>No</t>
        </is>
      </c>
      <c r="B363" t="inlineStr">
        <is>
          <t>HN59 .C63 1989</t>
        </is>
      </c>
      <c r="C363" t="inlineStr">
        <is>
          <t>0                      HN 0059000C  63          1989</t>
        </is>
      </c>
      <c r="D363" t="inlineStr">
        <is>
          <t>Destructive generation : second thoughts about the sixties / Peter Collier, David Horowitz.</t>
        </is>
      </c>
      <c r="F363" t="inlineStr">
        <is>
          <t>No</t>
        </is>
      </c>
      <c r="G363" t="inlineStr">
        <is>
          <t>1</t>
        </is>
      </c>
      <c r="H363" t="inlineStr">
        <is>
          <t>No</t>
        </is>
      </c>
      <c r="I363" t="inlineStr">
        <is>
          <t>No</t>
        </is>
      </c>
      <c r="J363" t="inlineStr">
        <is>
          <t>0</t>
        </is>
      </c>
      <c r="K363" t="inlineStr">
        <is>
          <t>Collier, Peter, 1939-2019.</t>
        </is>
      </c>
      <c r="L363" t="inlineStr">
        <is>
          <t>New York : Summit Books, c1989.</t>
        </is>
      </c>
      <c r="M363" t="inlineStr">
        <is>
          <t>1989</t>
        </is>
      </c>
      <c r="O363" t="inlineStr">
        <is>
          <t>eng</t>
        </is>
      </c>
      <c r="P363" t="inlineStr">
        <is>
          <t>nyu</t>
        </is>
      </c>
      <c r="R363" t="inlineStr">
        <is>
          <t xml:space="preserve">HN </t>
        </is>
      </c>
      <c r="S363" t="n">
        <v>7</v>
      </c>
      <c r="T363" t="n">
        <v>7</v>
      </c>
      <c r="U363" t="inlineStr">
        <is>
          <t>2003-03-16</t>
        </is>
      </c>
      <c r="V363" t="inlineStr">
        <is>
          <t>2003-03-16</t>
        </is>
      </c>
      <c r="W363" t="inlineStr">
        <is>
          <t>1990-07-02</t>
        </is>
      </c>
      <c r="X363" t="inlineStr">
        <is>
          <t>1990-07-02</t>
        </is>
      </c>
      <c r="Y363" t="n">
        <v>985</v>
      </c>
      <c r="Z363" t="n">
        <v>924</v>
      </c>
      <c r="AA363" t="n">
        <v>1176</v>
      </c>
      <c r="AB363" t="n">
        <v>8</v>
      </c>
      <c r="AC363" t="n">
        <v>8</v>
      </c>
      <c r="AD363" t="n">
        <v>22</v>
      </c>
      <c r="AE363" t="n">
        <v>27</v>
      </c>
      <c r="AF363" t="n">
        <v>5</v>
      </c>
      <c r="AG363" t="n">
        <v>8</v>
      </c>
      <c r="AH363" t="n">
        <v>6</v>
      </c>
      <c r="AI363" t="n">
        <v>6</v>
      </c>
      <c r="AJ363" t="n">
        <v>13</v>
      </c>
      <c r="AK363" t="n">
        <v>16</v>
      </c>
      <c r="AL363" t="n">
        <v>3</v>
      </c>
      <c r="AM363" t="n">
        <v>3</v>
      </c>
      <c r="AN363" t="n">
        <v>1</v>
      </c>
      <c r="AO363" t="n">
        <v>2</v>
      </c>
      <c r="AP363" t="inlineStr">
        <is>
          <t>No</t>
        </is>
      </c>
      <c r="AQ363" t="inlineStr">
        <is>
          <t>Yes</t>
        </is>
      </c>
      <c r="AR363">
        <f>HYPERLINK("http://catalog.hathitrust.org/Record/001089519","HathiTrust Record")</f>
        <v/>
      </c>
      <c r="AS363">
        <f>HYPERLINK("https://creighton-primo.hosted.exlibrisgroup.com/primo-explore/search?tab=default_tab&amp;search_scope=EVERYTHING&amp;vid=01CRU&amp;lang=en_US&amp;offset=0&amp;query=any,contains,991001407829702656","Catalog Record")</f>
        <v/>
      </c>
      <c r="AT363">
        <f>HYPERLINK("http://www.worldcat.org/oclc/18870005","WorldCat Record")</f>
        <v/>
      </c>
      <c r="AU363" t="inlineStr">
        <is>
          <t>18593412:eng</t>
        </is>
      </c>
      <c r="AV363" t="inlineStr">
        <is>
          <t>18870005</t>
        </is>
      </c>
      <c r="AW363" t="inlineStr">
        <is>
          <t>991001407829702656</t>
        </is>
      </c>
      <c r="AX363" t="inlineStr">
        <is>
          <t>991001407829702656</t>
        </is>
      </c>
      <c r="AY363" t="inlineStr">
        <is>
          <t>2256656510002656</t>
        </is>
      </c>
      <c r="AZ363" t="inlineStr">
        <is>
          <t>BOOK</t>
        </is>
      </c>
      <c r="BB363" t="inlineStr">
        <is>
          <t>9780671667528</t>
        </is>
      </c>
      <c r="BC363" t="inlineStr">
        <is>
          <t>32285000219203</t>
        </is>
      </c>
      <c r="BD363" t="inlineStr">
        <is>
          <t>893256229</t>
        </is>
      </c>
    </row>
    <row r="364">
      <c r="A364" t="inlineStr">
        <is>
          <t>No</t>
        </is>
      </c>
      <c r="B364" t="inlineStr">
        <is>
          <t>HN59 .F35 1997</t>
        </is>
      </c>
      <c r="C364" t="inlineStr">
        <is>
          <t>0                      HN 0059000F  35          1997</t>
        </is>
      </c>
      <c r="D364" t="inlineStr">
        <is>
          <t>The spirit of the sixties : making postwar radicalism / James J. Farrell.</t>
        </is>
      </c>
      <c r="F364" t="inlineStr">
        <is>
          <t>No</t>
        </is>
      </c>
      <c r="G364" t="inlineStr">
        <is>
          <t>1</t>
        </is>
      </c>
      <c r="H364" t="inlineStr">
        <is>
          <t>No</t>
        </is>
      </c>
      <c r="I364" t="inlineStr">
        <is>
          <t>No</t>
        </is>
      </c>
      <c r="J364" t="inlineStr">
        <is>
          <t>0</t>
        </is>
      </c>
      <c r="K364" t="inlineStr">
        <is>
          <t>Farrell, James J., 1949-2013.</t>
        </is>
      </c>
      <c r="L364" t="inlineStr">
        <is>
          <t>New York : Routledge, 1997.</t>
        </is>
      </c>
      <c r="M364" t="inlineStr">
        <is>
          <t>1997</t>
        </is>
      </c>
      <c r="O364" t="inlineStr">
        <is>
          <t>eng</t>
        </is>
      </c>
      <c r="P364" t="inlineStr">
        <is>
          <t>nyu</t>
        </is>
      </c>
      <c r="Q364" t="inlineStr">
        <is>
          <t>American radicals</t>
        </is>
      </c>
      <c r="R364" t="inlineStr">
        <is>
          <t xml:space="preserve">HN </t>
        </is>
      </c>
      <c r="S364" t="n">
        <v>7</v>
      </c>
      <c r="T364" t="n">
        <v>7</v>
      </c>
      <c r="U364" t="inlineStr">
        <is>
          <t>2008-11-15</t>
        </is>
      </c>
      <c r="V364" t="inlineStr">
        <is>
          <t>2008-11-15</t>
        </is>
      </c>
      <c r="W364" t="inlineStr">
        <is>
          <t>1997-09-18</t>
        </is>
      </c>
      <c r="X364" t="inlineStr">
        <is>
          <t>1997-09-18</t>
        </is>
      </c>
      <c r="Y364" t="n">
        <v>450</v>
      </c>
      <c r="Z364" t="n">
        <v>351</v>
      </c>
      <c r="AA364" t="n">
        <v>372</v>
      </c>
      <c r="AB364" t="n">
        <v>3</v>
      </c>
      <c r="AC364" t="n">
        <v>3</v>
      </c>
      <c r="AD364" t="n">
        <v>21</v>
      </c>
      <c r="AE364" t="n">
        <v>22</v>
      </c>
      <c r="AF364" t="n">
        <v>9</v>
      </c>
      <c r="AG364" t="n">
        <v>9</v>
      </c>
      <c r="AH364" t="n">
        <v>5</v>
      </c>
      <c r="AI364" t="n">
        <v>6</v>
      </c>
      <c r="AJ364" t="n">
        <v>11</v>
      </c>
      <c r="AK364" t="n">
        <v>11</v>
      </c>
      <c r="AL364" t="n">
        <v>2</v>
      </c>
      <c r="AM364" t="n">
        <v>2</v>
      </c>
      <c r="AN364" t="n">
        <v>0</v>
      </c>
      <c r="AO364" t="n">
        <v>0</v>
      </c>
      <c r="AP364" t="inlineStr">
        <is>
          <t>No</t>
        </is>
      </c>
      <c r="AQ364" t="inlineStr">
        <is>
          <t>No</t>
        </is>
      </c>
      <c r="AS364">
        <f>HYPERLINK("https://creighton-primo.hosted.exlibrisgroup.com/primo-explore/search?tab=default_tab&amp;search_scope=EVERYTHING&amp;vid=01CRU&amp;lang=en_US&amp;offset=0&amp;query=any,contains,991002779519702656","Catalog Record")</f>
        <v/>
      </c>
      <c r="AT364">
        <f>HYPERLINK("http://www.worldcat.org/oclc/36495805","WorldCat Record")</f>
        <v/>
      </c>
      <c r="AU364" t="inlineStr">
        <is>
          <t>807869549:eng</t>
        </is>
      </c>
      <c r="AV364" t="inlineStr">
        <is>
          <t>36495805</t>
        </is>
      </c>
      <c r="AW364" t="inlineStr">
        <is>
          <t>991002779519702656</t>
        </is>
      </c>
      <c r="AX364" t="inlineStr">
        <is>
          <t>991002779519702656</t>
        </is>
      </c>
      <c r="AY364" t="inlineStr">
        <is>
          <t>2266170050002656</t>
        </is>
      </c>
      <c r="AZ364" t="inlineStr">
        <is>
          <t>BOOK</t>
        </is>
      </c>
      <c r="BB364" t="inlineStr">
        <is>
          <t>9780415913867</t>
        </is>
      </c>
      <c r="BC364" t="inlineStr">
        <is>
          <t>32285003176343</t>
        </is>
      </c>
      <c r="BD364" t="inlineStr">
        <is>
          <t>893434280</t>
        </is>
      </c>
    </row>
    <row r="365">
      <c r="A365" t="inlineStr">
        <is>
          <t>No</t>
        </is>
      </c>
      <c r="B365" t="inlineStr">
        <is>
          <t>HN59 .G55 1999</t>
        </is>
      </c>
      <c r="C365" t="inlineStr">
        <is>
          <t>0                      HN 0059000G  55          1999</t>
        </is>
      </c>
      <c r="D365" t="inlineStr">
        <is>
          <t>The culture of fear : why Americans are afraid of the wrong things / Barry Glassner.</t>
        </is>
      </c>
      <c r="F365" t="inlineStr">
        <is>
          <t>No</t>
        </is>
      </c>
      <c r="G365" t="inlineStr">
        <is>
          <t>1</t>
        </is>
      </c>
      <c r="H365" t="inlineStr">
        <is>
          <t>No</t>
        </is>
      </c>
      <c r="I365" t="inlineStr">
        <is>
          <t>No</t>
        </is>
      </c>
      <c r="J365" t="inlineStr">
        <is>
          <t>0</t>
        </is>
      </c>
      <c r="K365" t="inlineStr">
        <is>
          <t>Glassner, Barry.</t>
        </is>
      </c>
      <c r="L365" t="inlineStr">
        <is>
          <t>New York, NY : Basic Books, c1999.</t>
        </is>
      </c>
      <c r="M365" t="inlineStr">
        <is>
          <t>1999</t>
        </is>
      </c>
      <c r="N365" t="inlineStr">
        <is>
          <t>1st ed.</t>
        </is>
      </c>
      <c r="O365" t="inlineStr">
        <is>
          <t>eng</t>
        </is>
      </c>
      <c r="P365" t="inlineStr">
        <is>
          <t>nyu</t>
        </is>
      </c>
      <c r="R365" t="inlineStr">
        <is>
          <t xml:space="preserve">HN </t>
        </is>
      </c>
      <c r="S365" t="n">
        <v>10</v>
      </c>
      <c r="T365" t="n">
        <v>10</v>
      </c>
      <c r="U365" t="inlineStr">
        <is>
          <t>2005-06-16</t>
        </is>
      </c>
      <c r="V365" t="inlineStr">
        <is>
          <t>2005-06-16</t>
        </is>
      </c>
      <c r="W365" t="inlineStr">
        <is>
          <t>1999-10-27</t>
        </is>
      </c>
      <c r="X365" t="inlineStr">
        <is>
          <t>1999-10-27</t>
        </is>
      </c>
      <c r="Y365" t="n">
        <v>1337</v>
      </c>
      <c r="Z365" t="n">
        <v>1197</v>
      </c>
      <c r="AA365" t="n">
        <v>1973</v>
      </c>
      <c r="AB365" t="n">
        <v>9</v>
      </c>
      <c r="AC365" t="n">
        <v>18</v>
      </c>
      <c r="AD365" t="n">
        <v>39</v>
      </c>
      <c r="AE365" t="n">
        <v>59</v>
      </c>
      <c r="AF365" t="n">
        <v>14</v>
      </c>
      <c r="AG365" t="n">
        <v>24</v>
      </c>
      <c r="AH365" t="n">
        <v>9</v>
      </c>
      <c r="AI365" t="n">
        <v>11</v>
      </c>
      <c r="AJ365" t="n">
        <v>22</v>
      </c>
      <c r="AK365" t="n">
        <v>25</v>
      </c>
      <c r="AL365" t="n">
        <v>5</v>
      </c>
      <c r="AM365" t="n">
        <v>11</v>
      </c>
      <c r="AN365" t="n">
        <v>1</v>
      </c>
      <c r="AO365" t="n">
        <v>2</v>
      </c>
      <c r="AP365" t="inlineStr">
        <is>
          <t>No</t>
        </is>
      </c>
      <c r="AQ365" t="inlineStr">
        <is>
          <t>Yes</t>
        </is>
      </c>
      <c r="AR365">
        <f>HYPERLINK("http://catalog.hathitrust.org/Record/004033845","HathiTrust Record")</f>
        <v/>
      </c>
      <c r="AS365">
        <f>HYPERLINK("https://creighton-primo.hosted.exlibrisgroup.com/primo-explore/search?tab=default_tab&amp;search_scope=EVERYTHING&amp;vid=01CRU&amp;lang=en_US&amp;offset=0&amp;query=any,contains,991005430429702656","Catalog Record")</f>
        <v/>
      </c>
      <c r="AT365">
        <f>HYPERLINK("http://www.worldcat.org/oclc/41385323","WorldCat Record")</f>
        <v/>
      </c>
      <c r="AU365" t="inlineStr">
        <is>
          <t>783706:eng</t>
        </is>
      </c>
      <c r="AV365" t="inlineStr">
        <is>
          <t>41385323</t>
        </is>
      </c>
      <c r="AW365" t="inlineStr">
        <is>
          <t>991005430429702656</t>
        </is>
      </c>
      <c r="AX365" t="inlineStr">
        <is>
          <t>991005430429702656</t>
        </is>
      </c>
      <c r="AY365" t="inlineStr">
        <is>
          <t>2259488880002656</t>
        </is>
      </c>
      <c r="AZ365" t="inlineStr">
        <is>
          <t>BOOK</t>
        </is>
      </c>
      <c r="BB365" t="inlineStr">
        <is>
          <t>9780465014897</t>
        </is>
      </c>
      <c r="BC365" t="inlineStr">
        <is>
          <t>32285003614368</t>
        </is>
      </c>
      <c r="BD365" t="inlineStr">
        <is>
          <t>893261155</t>
        </is>
      </c>
    </row>
    <row r="366">
      <c r="A366" t="inlineStr">
        <is>
          <t>No</t>
        </is>
      </c>
      <c r="B366" t="inlineStr">
        <is>
          <t>HN59 .G55 2004</t>
        </is>
      </c>
      <c r="C366" t="inlineStr">
        <is>
          <t>0                      HN 0059000G  55          2004</t>
        </is>
      </c>
      <c r="D366" t="inlineStr">
        <is>
          <t>Boomer nation : the largest and richest generation ever, and how it changed America / Steve Gillon.</t>
        </is>
      </c>
      <c r="F366" t="inlineStr">
        <is>
          <t>No</t>
        </is>
      </c>
      <c r="G366" t="inlineStr">
        <is>
          <t>1</t>
        </is>
      </c>
      <c r="H366" t="inlineStr">
        <is>
          <t>No</t>
        </is>
      </c>
      <c r="I366" t="inlineStr">
        <is>
          <t>No</t>
        </is>
      </c>
      <c r="J366" t="inlineStr">
        <is>
          <t>0</t>
        </is>
      </c>
      <c r="K366" t="inlineStr">
        <is>
          <t>Gillon, Steven M.</t>
        </is>
      </c>
      <c r="L366" t="inlineStr">
        <is>
          <t>New York : Free Press, c2004.</t>
        </is>
      </c>
      <c r="M366" t="inlineStr">
        <is>
          <t>2004</t>
        </is>
      </c>
      <c r="O366" t="inlineStr">
        <is>
          <t>eng</t>
        </is>
      </c>
      <c r="P366" t="inlineStr">
        <is>
          <t>nyu</t>
        </is>
      </c>
      <c r="R366" t="inlineStr">
        <is>
          <t xml:space="preserve">HN </t>
        </is>
      </c>
      <c r="S366" t="n">
        <v>3</v>
      </c>
      <c r="T366" t="n">
        <v>3</v>
      </c>
      <c r="U366" t="inlineStr">
        <is>
          <t>2004-06-24</t>
        </is>
      </c>
      <c r="V366" t="inlineStr">
        <is>
          <t>2004-06-24</t>
        </is>
      </c>
      <c r="W366" t="inlineStr">
        <is>
          <t>2004-06-09</t>
        </is>
      </c>
      <c r="X366" t="inlineStr">
        <is>
          <t>2004-06-09</t>
        </is>
      </c>
      <c r="Y366" t="n">
        <v>722</v>
      </c>
      <c r="Z366" t="n">
        <v>679</v>
      </c>
      <c r="AA366" t="n">
        <v>696</v>
      </c>
      <c r="AB366" t="n">
        <v>3</v>
      </c>
      <c r="AC366" t="n">
        <v>3</v>
      </c>
      <c r="AD366" t="n">
        <v>17</v>
      </c>
      <c r="AE366" t="n">
        <v>17</v>
      </c>
      <c r="AF366" t="n">
        <v>6</v>
      </c>
      <c r="AG366" t="n">
        <v>6</v>
      </c>
      <c r="AH366" t="n">
        <v>6</v>
      </c>
      <c r="AI366" t="n">
        <v>6</v>
      </c>
      <c r="AJ366" t="n">
        <v>8</v>
      </c>
      <c r="AK366" t="n">
        <v>8</v>
      </c>
      <c r="AL366" t="n">
        <v>2</v>
      </c>
      <c r="AM366" t="n">
        <v>2</v>
      </c>
      <c r="AN366" t="n">
        <v>0</v>
      </c>
      <c r="AO366" t="n">
        <v>0</v>
      </c>
      <c r="AP366" t="inlineStr">
        <is>
          <t>No</t>
        </is>
      </c>
      <c r="AQ366" t="inlineStr">
        <is>
          <t>No</t>
        </is>
      </c>
      <c r="AS366">
        <f>HYPERLINK("https://creighton-primo.hosted.exlibrisgroup.com/primo-explore/search?tab=default_tab&amp;search_scope=EVERYTHING&amp;vid=01CRU&amp;lang=en_US&amp;offset=0&amp;query=any,contains,991004282809702656","Catalog Record")</f>
        <v/>
      </c>
      <c r="AT366">
        <f>HYPERLINK("http://www.worldcat.org/oclc/54046735","WorldCat Record")</f>
        <v/>
      </c>
      <c r="AU366" t="inlineStr">
        <is>
          <t>741194:eng</t>
        </is>
      </c>
      <c r="AV366" t="inlineStr">
        <is>
          <t>54046735</t>
        </is>
      </c>
      <c r="AW366" t="inlineStr">
        <is>
          <t>991004282809702656</t>
        </is>
      </c>
      <c r="AX366" t="inlineStr">
        <is>
          <t>991004282809702656</t>
        </is>
      </c>
      <c r="AY366" t="inlineStr">
        <is>
          <t>2259560330002656</t>
        </is>
      </c>
      <c r="AZ366" t="inlineStr">
        <is>
          <t>BOOK</t>
        </is>
      </c>
      <c r="BB366" t="inlineStr">
        <is>
          <t>9780743229470</t>
        </is>
      </c>
      <c r="BC366" t="inlineStr">
        <is>
          <t>32285004908413</t>
        </is>
      </c>
      <c r="BD366" t="inlineStr">
        <is>
          <t>893325174</t>
        </is>
      </c>
    </row>
    <row r="367">
      <c r="A367" t="inlineStr">
        <is>
          <t>No</t>
        </is>
      </c>
      <c r="B367" t="inlineStr">
        <is>
          <t>HN59 .G57 1988</t>
        </is>
      </c>
      <c r="C367" t="inlineStr">
        <is>
          <t>0                      HN 0059000G  57          1988</t>
        </is>
      </c>
      <c r="D367" t="inlineStr">
        <is>
          <t>The limits of social policy / Nathan Glazer.</t>
        </is>
      </c>
      <c r="F367" t="inlineStr">
        <is>
          <t>No</t>
        </is>
      </c>
      <c r="G367" t="inlineStr">
        <is>
          <t>1</t>
        </is>
      </c>
      <c r="H367" t="inlineStr">
        <is>
          <t>No</t>
        </is>
      </c>
      <c r="I367" t="inlineStr">
        <is>
          <t>No</t>
        </is>
      </c>
      <c r="J367" t="inlineStr">
        <is>
          <t>0</t>
        </is>
      </c>
      <c r="K367" t="inlineStr">
        <is>
          <t>Glazer, Nathan.</t>
        </is>
      </c>
      <c r="L367" t="inlineStr">
        <is>
          <t>Cambridge, Mass. : Harvard University Press, 1988.</t>
        </is>
      </c>
      <c r="M367" t="inlineStr">
        <is>
          <t>1988</t>
        </is>
      </c>
      <c r="O367" t="inlineStr">
        <is>
          <t>eng</t>
        </is>
      </c>
      <c r="P367" t="inlineStr">
        <is>
          <t>mau</t>
        </is>
      </c>
      <c r="R367" t="inlineStr">
        <is>
          <t xml:space="preserve">HN </t>
        </is>
      </c>
      <c r="S367" t="n">
        <v>7</v>
      </c>
      <c r="T367" t="n">
        <v>7</v>
      </c>
      <c r="U367" t="inlineStr">
        <is>
          <t>1995-10-20</t>
        </is>
      </c>
      <c r="V367" t="inlineStr">
        <is>
          <t>1995-10-20</t>
        </is>
      </c>
      <c r="W367" t="inlineStr">
        <is>
          <t>1990-02-09</t>
        </is>
      </c>
      <c r="X367" t="inlineStr">
        <is>
          <t>1990-02-09</t>
        </is>
      </c>
      <c r="Y367" t="n">
        <v>1050</v>
      </c>
      <c r="Z367" t="n">
        <v>887</v>
      </c>
      <c r="AA367" t="n">
        <v>901</v>
      </c>
      <c r="AB367" t="n">
        <v>6</v>
      </c>
      <c r="AC367" t="n">
        <v>6</v>
      </c>
      <c r="AD367" t="n">
        <v>39</v>
      </c>
      <c r="AE367" t="n">
        <v>39</v>
      </c>
      <c r="AF367" t="n">
        <v>14</v>
      </c>
      <c r="AG367" t="n">
        <v>14</v>
      </c>
      <c r="AH367" t="n">
        <v>9</v>
      </c>
      <c r="AI367" t="n">
        <v>9</v>
      </c>
      <c r="AJ367" t="n">
        <v>17</v>
      </c>
      <c r="AK367" t="n">
        <v>17</v>
      </c>
      <c r="AL367" t="n">
        <v>5</v>
      </c>
      <c r="AM367" t="n">
        <v>5</v>
      </c>
      <c r="AN367" t="n">
        <v>4</v>
      </c>
      <c r="AO367" t="n">
        <v>4</v>
      </c>
      <c r="AP367" t="inlineStr">
        <is>
          <t>No</t>
        </is>
      </c>
      <c r="AQ367" t="inlineStr">
        <is>
          <t>Yes</t>
        </is>
      </c>
      <c r="AR367">
        <f>HYPERLINK("http://catalog.hathitrust.org/Record/000929660","HathiTrust Record")</f>
        <v/>
      </c>
      <c r="AS367">
        <f>HYPERLINK("https://creighton-primo.hosted.exlibrisgroup.com/primo-explore/search?tab=default_tab&amp;search_scope=EVERYTHING&amp;vid=01CRU&amp;lang=en_US&amp;offset=0&amp;query=any,contains,991001230229702656","Catalog Record")</f>
        <v/>
      </c>
      <c r="AT367">
        <f>HYPERLINK("http://www.worldcat.org/oclc/17546291","WorldCat Record")</f>
        <v/>
      </c>
      <c r="AU367" t="inlineStr">
        <is>
          <t>2681632:eng</t>
        </is>
      </c>
      <c r="AV367" t="inlineStr">
        <is>
          <t>17546291</t>
        </is>
      </c>
      <c r="AW367" t="inlineStr">
        <is>
          <t>991001230229702656</t>
        </is>
      </c>
      <c r="AX367" t="inlineStr">
        <is>
          <t>991001230229702656</t>
        </is>
      </c>
      <c r="AY367" t="inlineStr">
        <is>
          <t>2267845990002656</t>
        </is>
      </c>
      <c r="AZ367" t="inlineStr">
        <is>
          <t>BOOK</t>
        </is>
      </c>
      <c r="BB367" t="inlineStr">
        <is>
          <t>9780674534438</t>
        </is>
      </c>
      <c r="BC367" t="inlineStr">
        <is>
          <t>32285000008861</t>
        </is>
      </c>
      <c r="BD367" t="inlineStr">
        <is>
          <t>893897632</t>
        </is>
      </c>
    </row>
    <row r="368">
      <c r="A368" t="inlineStr">
        <is>
          <t>No</t>
        </is>
      </c>
      <c r="B368" t="inlineStr">
        <is>
          <t>HN59 .M87 1984</t>
        </is>
      </c>
      <c r="C368" t="inlineStr">
        <is>
          <t>0                      HN 0059000M  87          1984</t>
        </is>
      </c>
      <c r="D368" t="inlineStr">
        <is>
          <t>Losing ground : American social policy, 1950-1980 / Charles Murray.</t>
        </is>
      </c>
      <c r="F368" t="inlineStr">
        <is>
          <t>No</t>
        </is>
      </c>
      <c r="G368" t="inlineStr">
        <is>
          <t>1</t>
        </is>
      </c>
      <c r="H368" t="inlineStr">
        <is>
          <t>Yes</t>
        </is>
      </c>
      <c r="I368" t="inlineStr">
        <is>
          <t>No</t>
        </is>
      </c>
      <c r="J368" t="inlineStr">
        <is>
          <t>0</t>
        </is>
      </c>
      <c r="K368" t="inlineStr">
        <is>
          <t>Murray, Charles A.</t>
        </is>
      </c>
      <c r="L368" t="inlineStr">
        <is>
          <t>New York : Basic Books, c1984.</t>
        </is>
      </c>
      <c r="M368" t="inlineStr">
        <is>
          <t>1984</t>
        </is>
      </c>
      <c r="O368" t="inlineStr">
        <is>
          <t>eng</t>
        </is>
      </c>
      <c r="P368" t="inlineStr">
        <is>
          <t>nyu</t>
        </is>
      </c>
      <c r="R368" t="inlineStr">
        <is>
          <t xml:space="preserve">HN </t>
        </is>
      </c>
      <c r="S368" t="n">
        <v>7</v>
      </c>
      <c r="T368" t="n">
        <v>8</v>
      </c>
      <c r="U368" t="inlineStr">
        <is>
          <t>1995-06-19</t>
        </is>
      </c>
      <c r="V368" t="inlineStr">
        <is>
          <t>2002-04-17</t>
        </is>
      </c>
      <c r="W368" t="inlineStr">
        <is>
          <t>1990-03-12</t>
        </is>
      </c>
      <c r="X368" t="inlineStr">
        <is>
          <t>1999-10-22</t>
        </is>
      </c>
      <c r="Y368" t="n">
        <v>1801</v>
      </c>
      <c r="Z368" t="n">
        <v>1604</v>
      </c>
      <c r="AA368" t="n">
        <v>1812</v>
      </c>
      <c r="AB368" t="n">
        <v>11</v>
      </c>
      <c r="AC368" t="n">
        <v>12</v>
      </c>
      <c r="AD368" t="n">
        <v>55</v>
      </c>
      <c r="AE368" t="n">
        <v>58</v>
      </c>
      <c r="AF368" t="n">
        <v>24</v>
      </c>
      <c r="AG368" t="n">
        <v>25</v>
      </c>
      <c r="AH368" t="n">
        <v>10</v>
      </c>
      <c r="AI368" t="n">
        <v>10</v>
      </c>
      <c r="AJ368" t="n">
        <v>23</v>
      </c>
      <c r="AK368" t="n">
        <v>24</v>
      </c>
      <c r="AL368" t="n">
        <v>5</v>
      </c>
      <c r="AM368" t="n">
        <v>5</v>
      </c>
      <c r="AN368" t="n">
        <v>6</v>
      </c>
      <c r="AO368" t="n">
        <v>7</v>
      </c>
      <c r="AP368" t="inlineStr">
        <is>
          <t>No</t>
        </is>
      </c>
      <c r="AQ368" t="inlineStr">
        <is>
          <t>Yes</t>
        </is>
      </c>
      <c r="AR368">
        <f>HYPERLINK("http://catalog.hathitrust.org/Record/000249990","HathiTrust Record")</f>
        <v/>
      </c>
      <c r="AS368">
        <f>HYPERLINK("https://creighton-primo.hosted.exlibrisgroup.com/primo-explore/search?tab=default_tab&amp;search_scope=EVERYTHING&amp;vid=01CRU&amp;lang=en_US&amp;offset=0&amp;query=any,contains,991001628869702656","Catalog Record")</f>
        <v/>
      </c>
      <c r="AT368">
        <f>HYPERLINK("http://www.worldcat.org/oclc/11192370","WorldCat Record")</f>
        <v/>
      </c>
      <c r="AU368" t="inlineStr">
        <is>
          <t>4204156:eng</t>
        </is>
      </c>
      <c r="AV368" t="inlineStr">
        <is>
          <t>11192370</t>
        </is>
      </c>
      <c r="AW368" t="inlineStr">
        <is>
          <t>991001628869702656</t>
        </is>
      </c>
      <c r="AX368" t="inlineStr">
        <is>
          <t>991001628869702656</t>
        </is>
      </c>
      <c r="AY368" t="inlineStr">
        <is>
          <t>2267770930002656</t>
        </is>
      </c>
      <c r="AZ368" t="inlineStr">
        <is>
          <t>BOOK</t>
        </is>
      </c>
      <c r="BB368" t="inlineStr">
        <is>
          <t>9780465042319</t>
        </is>
      </c>
      <c r="BC368" t="inlineStr">
        <is>
          <t>32285000065788</t>
        </is>
      </c>
      <c r="BD368" t="inlineStr">
        <is>
          <t>893322095</t>
        </is>
      </c>
    </row>
    <row r="369">
      <c r="A369" t="inlineStr">
        <is>
          <t>No</t>
        </is>
      </c>
      <c r="B369" t="inlineStr">
        <is>
          <t>HN59 .P39</t>
        </is>
      </c>
      <c r="C369" t="inlineStr">
        <is>
          <t>0                      HN 0059000P  39</t>
        </is>
      </c>
      <c r="D369" t="inlineStr">
        <is>
          <t>America's struggle against poverty, 1900-1980 / James T. Patterson.</t>
        </is>
      </c>
      <c r="F369" t="inlineStr">
        <is>
          <t>No</t>
        </is>
      </c>
      <c r="G369" t="inlineStr">
        <is>
          <t>1</t>
        </is>
      </c>
      <c r="H369" t="inlineStr">
        <is>
          <t>No</t>
        </is>
      </c>
      <c r="I369" t="inlineStr">
        <is>
          <t>Yes</t>
        </is>
      </c>
      <c r="J369" t="inlineStr">
        <is>
          <t>0</t>
        </is>
      </c>
      <c r="K369" t="inlineStr">
        <is>
          <t>Patterson, James T.</t>
        </is>
      </c>
      <c r="L369" t="inlineStr">
        <is>
          <t>Cambridge, Mass. : Harvard University Press, 1981.</t>
        </is>
      </c>
      <c r="M369" t="inlineStr">
        <is>
          <t>1981</t>
        </is>
      </c>
      <c r="O369" t="inlineStr">
        <is>
          <t>eng</t>
        </is>
      </c>
      <c r="P369" t="inlineStr">
        <is>
          <t>mau</t>
        </is>
      </c>
      <c r="R369" t="inlineStr">
        <is>
          <t xml:space="preserve">HN </t>
        </is>
      </c>
      <c r="S369" t="n">
        <v>17</v>
      </c>
      <c r="T369" t="n">
        <v>17</v>
      </c>
      <c r="U369" t="inlineStr">
        <is>
          <t>2003-04-25</t>
        </is>
      </c>
      <c r="V369" t="inlineStr">
        <is>
          <t>2003-04-25</t>
        </is>
      </c>
      <c r="W369" t="inlineStr">
        <is>
          <t>1992-02-19</t>
        </is>
      </c>
      <c r="X369" t="inlineStr">
        <is>
          <t>1992-02-19</t>
        </is>
      </c>
      <c r="Y369" t="n">
        <v>1149</v>
      </c>
      <c r="Z369" t="n">
        <v>1005</v>
      </c>
      <c r="AA369" t="n">
        <v>1312</v>
      </c>
      <c r="AB369" t="n">
        <v>7</v>
      </c>
      <c r="AC369" t="n">
        <v>9</v>
      </c>
      <c r="AD369" t="n">
        <v>33</v>
      </c>
      <c r="AE369" t="n">
        <v>49</v>
      </c>
      <c r="AF369" t="n">
        <v>9</v>
      </c>
      <c r="AG369" t="n">
        <v>17</v>
      </c>
      <c r="AH369" t="n">
        <v>8</v>
      </c>
      <c r="AI369" t="n">
        <v>9</v>
      </c>
      <c r="AJ369" t="n">
        <v>14</v>
      </c>
      <c r="AK369" t="n">
        <v>19</v>
      </c>
      <c r="AL369" t="n">
        <v>5</v>
      </c>
      <c r="AM369" t="n">
        <v>7</v>
      </c>
      <c r="AN369" t="n">
        <v>4</v>
      </c>
      <c r="AO369" t="n">
        <v>7</v>
      </c>
      <c r="AP369" t="inlineStr">
        <is>
          <t>No</t>
        </is>
      </c>
      <c r="AQ369" t="inlineStr">
        <is>
          <t>Yes</t>
        </is>
      </c>
      <c r="AR369">
        <f>HYPERLINK("http://catalog.hathitrust.org/Record/000142741","HathiTrust Record")</f>
        <v/>
      </c>
      <c r="AS369">
        <f>HYPERLINK("https://creighton-primo.hosted.exlibrisgroup.com/primo-explore/search?tab=default_tab&amp;search_scope=EVERYTHING&amp;vid=01CRU&amp;lang=en_US&amp;offset=0&amp;query=any,contains,991005102919702656","Catalog Record")</f>
        <v/>
      </c>
      <c r="AT369">
        <f>HYPERLINK("http://www.worldcat.org/oclc/7307104","WorldCat Record")</f>
        <v/>
      </c>
      <c r="AU369" t="inlineStr">
        <is>
          <t>4757728357:eng</t>
        </is>
      </c>
      <c r="AV369" t="inlineStr">
        <is>
          <t>7307104</t>
        </is>
      </c>
      <c r="AW369" t="inlineStr">
        <is>
          <t>991005102919702656</t>
        </is>
      </c>
      <c r="AX369" t="inlineStr">
        <is>
          <t>991005102919702656</t>
        </is>
      </c>
      <c r="AY369" t="inlineStr">
        <is>
          <t>2259708120002656</t>
        </is>
      </c>
      <c r="AZ369" t="inlineStr">
        <is>
          <t>BOOK</t>
        </is>
      </c>
      <c r="BB369" t="inlineStr">
        <is>
          <t>9780674031203</t>
        </is>
      </c>
      <c r="BC369" t="inlineStr">
        <is>
          <t>32285000971597</t>
        </is>
      </c>
      <c r="BD369" t="inlineStr">
        <is>
          <t>893625454</t>
        </is>
      </c>
    </row>
    <row r="370">
      <c r="A370" t="inlineStr">
        <is>
          <t>No</t>
        </is>
      </c>
      <c r="B370" t="inlineStr">
        <is>
          <t>HN59 .P39 1994</t>
        </is>
      </c>
      <c r="C370" t="inlineStr">
        <is>
          <t>0                      HN 0059000P  39          1994</t>
        </is>
      </c>
      <c r="D370" t="inlineStr">
        <is>
          <t>America's struggle against poverty, 1900-1994 / James T. Patterson.</t>
        </is>
      </c>
      <c r="F370" t="inlineStr">
        <is>
          <t>No</t>
        </is>
      </c>
      <c r="G370" t="inlineStr">
        <is>
          <t>1</t>
        </is>
      </c>
      <c r="H370" t="inlineStr">
        <is>
          <t>No</t>
        </is>
      </c>
      <c r="I370" t="inlineStr">
        <is>
          <t>Yes</t>
        </is>
      </c>
      <c r="J370" t="inlineStr">
        <is>
          <t>0</t>
        </is>
      </c>
      <c r="K370" t="inlineStr">
        <is>
          <t>Patterson, James T.</t>
        </is>
      </c>
      <c r="L370" t="inlineStr">
        <is>
          <t>Cambridge, Mass : Harvard University Press, c1994.</t>
        </is>
      </c>
      <c r="M370" t="inlineStr">
        <is>
          <t>1994</t>
        </is>
      </c>
      <c r="O370" t="inlineStr">
        <is>
          <t>eng</t>
        </is>
      </c>
      <c r="P370" t="inlineStr">
        <is>
          <t>mau</t>
        </is>
      </c>
      <c r="R370" t="inlineStr">
        <is>
          <t xml:space="preserve">HN </t>
        </is>
      </c>
      <c r="S370" t="n">
        <v>15</v>
      </c>
      <c r="T370" t="n">
        <v>15</v>
      </c>
      <c r="U370" t="inlineStr">
        <is>
          <t>2004-02-24</t>
        </is>
      </c>
      <c r="V370" t="inlineStr">
        <is>
          <t>2004-02-24</t>
        </is>
      </c>
      <c r="W370" t="inlineStr">
        <is>
          <t>1995-04-26</t>
        </is>
      </c>
      <c r="X370" t="inlineStr">
        <is>
          <t>1995-04-26</t>
        </is>
      </c>
      <c r="Y370" t="n">
        <v>434</v>
      </c>
      <c r="Z370" t="n">
        <v>368</v>
      </c>
      <c r="AA370" t="n">
        <v>1312</v>
      </c>
      <c r="AB370" t="n">
        <v>2</v>
      </c>
      <c r="AC370" t="n">
        <v>9</v>
      </c>
      <c r="AD370" t="n">
        <v>22</v>
      </c>
      <c r="AE370" t="n">
        <v>49</v>
      </c>
      <c r="AF370" t="n">
        <v>8</v>
      </c>
      <c r="AG370" t="n">
        <v>17</v>
      </c>
      <c r="AH370" t="n">
        <v>4</v>
      </c>
      <c r="AI370" t="n">
        <v>9</v>
      </c>
      <c r="AJ370" t="n">
        <v>12</v>
      </c>
      <c r="AK370" t="n">
        <v>19</v>
      </c>
      <c r="AL370" t="n">
        <v>1</v>
      </c>
      <c r="AM370" t="n">
        <v>7</v>
      </c>
      <c r="AN370" t="n">
        <v>2</v>
      </c>
      <c r="AO370" t="n">
        <v>7</v>
      </c>
      <c r="AP370" t="inlineStr">
        <is>
          <t>No</t>
        </is>
      </c>
      <c r="AQ370" t="inlineStr">
        <is>
          <t>No</t>
        </is>
      </c>
      <c r="AS370">
        <f>HYPERLINK("https://creighton-primo.hosted.exlibrisgroup.com/primo-explore/search?tab=default_tab&amp;search_scope=EVERYTHING&amp;vid=01CRU&amp;lang=en_US&amp;offset=0&amp;query=any,contains,991002374269702656","Catalog Record")</f>
        <v/>
      </c>
      <c r="AT370">
        <f>HYPERLINK("http://www.worldcat.org/oclc/30892833","WorldCat Record")</f>
        <v/>
      </c>
      <c r="AU370" t="inlineStr">
        <is>
          <t>4757728357:eng</t>
        </is>
      </c>
      <c r="AV370" t="inlineStr">
        <is>
          <t>30892833</t>
        </is>
      </c>
      <c r="AW370" t="inlineStr">
        <is>
          <t>991002374269702656</t>
        </is>
      </c>
      <c r="AX370" t="inlineStr">
        <is>
          <t>991002374269702656</t>
        </is>
      </c>
      <c r="AY370" t="inlineStr">
        <is>
          <t>2270169280002656</t>
        </is>
      </c>
      <c r="AZ370" t="inlineStr">
        <is>
          <t>BOOK</t>
        </is>
      </c>
      <c r="BB370" t="inlineStr">
        <is>
          <t>9780674031234</t>
        </is>
      </c>
      <c r="BC370" t="inlineStr">
        <is>
          <t>32285002035953</t>
        </is>
      </c>
      <c r="BD370" t="inlineStr">
        <is>
          <t>893710205</t>
        </is>
      </c>
    </row>
    <row r="371">
      <c r="A371" t="inlineStr">
        <is>
          <t>No</t>
        </is>
      </c>
      <c r="B371" t="inlineStr">
        <is>
          <t>HN59 .R94</t>
        </is>
      </c>
      <c r="C371" t="inlineStr">
        <is>
          <t>0                      HN 0059000R  94</t>
        </is>
      </c>
      <c r="D371" t="inlineStr">
        <is>
          <t>Rural U.S.A. : persistence and change / edited by Thomas R. Ford.</t>
        </is>
      </c>
      <c r="F371" t="inlineStr">
        <is>
          <t>No</t>
        </is>
      </c>
      <c r="G371" t="inlineStr">
        <is>
          <t>1</t>
        </is>
      </c>
      <c r="H371" t="inlineStr">
        <is>
          <t>No</t>
        </is>
      </c>
      <c r="I371" t="inlineStr">
        <is>
          <t>No</t>
        </is>
      </c>
      <c r="J371" t="inlineStr">
        <is>
          <t>0</t>
        </is>
      </c>
      <c r="L371" t="inlineStr">
        <is>
          <t>Ames : Iowa State University Press, 1978.</t>
        </is>
      </c>
      <c r="M371" t="inlineStr">
        <is>
          <t>1978</t>
        </is>
      </c>
      <c r="N371" t="inlineStr">
        <is>
          <t>1st ed. --</t>
        </is>
      </c>
      <c r="O371" t="inlineStr">
        <is>
          <t>eng</t>
        </is>
      </c>
      <c r="P371" t="inlineStr">
        <is>
          <t>iau</t>
        </is>
      </c>
      <c r="R371" t="inlineStr">
        <is>
          <t xml:space="preserve">HN </t>
        </is>
      </c>
      <c r="S371" t="n">
        <v>2</v>
      </c>
      <c r="T371" t="n">
        <v>2</v>
      </c>
      <c r="U371" t="inlineStr">
        <is>
          <t>1994-03-13</t>
        </is>
      </c>
      <c r="V371" t="inlineStr">
        <is>
          <t>1994-03-13</t>
        </is>
      </c>
      <c r="W371" t="inlineStr">
        <is>
          <t>1990-07-02</t>
        </is>
      </c>
      <c r="X371" t="inlineStr">
        <is>
          <t>1990-07-02</t>
        </is>
      </c>
      <c r="Y371" t="n">
        <v>466</v>
      </c>
      <c r="Z371" t="n">
        <v>393</v>
      </c>
      <c r="AA371" t="n">
        <v>408</v>
      </c>
      <c r="AB371" t="n">
        <v>5</v>
      </c>
      <c r="AC371" t="n">
        <v>5</v>
      </c>
      <c r="AD371" t="n">
        <v>17</v>
      </c>
      <c r="AE371" t="n">
        <v>17</v>
      </c>
      <c r="AF371" t="n">
        <v>3</v>
      </c>
      <c r="AG371" t="n">
        <v>3</v>
      </c>
      <c r="AH371" t="n">
        <v>5</v>
      </c>
      <c r="AI371" t="n">
        <v>5</v>
      </c>
      <c r="AJ371" t="n">
        <v>8</v>
      </c>
      <c r="AK371" t="n">
        <v>8</v>
      </c>
      <c r="AL371" t="n">
        <v>3</v>
      </c>
      <c r="AM371" t="n">
        <v>3</v>
      </c>
      <c r="AN371" t="n">
        <v>1</v>
      </c>
      <c r="AO371" t="n">
        <v>1</v>
      </c>
      <c r="AP371" t="inlineStr">
        <is>
          <t>No</t>
        </is>
      </c>
      <c r="AQ371" t="inlineStr">
        <is>
          <t>Yes</t>
        </is>
      </c>
      <c r="AR371">
        <f>HYPERLINK("http://catalog.hathitrust.org/Record/000690318","HathiTrust Record")</f>
        <v/>
      </c>
      <c r="AS371">
        <f>HYPERLINK("https://creighton-primo.hosted.exlibrisgroup.com/primo-explore/search?tab=default_tab&amp;search_scope=EVERYTHING&amp;vid=01CRU&amp;lang=en_US&amp;offset=0&amp;query=any,contains,991004614179702656","Catalog Record")</f>
        <v/>
      </c>
      <c r="AT371">
        <f>HYPERLINK("http://www.worldcat.org/oclc/3541833","WorldCat Record")</f>
        <v/>
      </c>
      <c r="AU371" t="inlineStr">
        <is>
          <t>475143:eng</t>
        </is>
      </c>
      <c r="AV371" t="inlineStr">
        <is>
          <t>3541833</t>
        </is>
      </c>
      <c r="AW371" t="inlineStr">
        <is>
          <t>991004614179702656</t>
        </is>
      </c>
      <c r="AX371" t="inlineStr">
        <is>
          <t>991004614179702656</t>
        </is>
      </c>
      <c r="AY371" t="inlineStr">
        <is>
          <t>2260613670002656</t>
        </is>
      </c>
      <c r="AZ371" t="inlineStr">
        <is>
          <t>BOOK</t>
        </is>
      </c>
      <c r="BC371" t="inlineStr">
        <is>
          <t>32285000219237</t>
        </is>
      </c>
      <c r="BD371" t="inlineStr">
        <is>
          <t>893901433</t>
        </is>
      </c>
    </row>
    <row r="372">
      <c r="A372" t="inlineStr">
        <is>
          <t>No</t>
        </is>
      </c>
      <c r="B372" t="inlineStr">
        <is>
          <t>HN59 .S49 1991</t>
        </is>
      </c>
      <c r="C372" t="inlineStr">
        <is>
          <t>0                      HN 0059000S  49          1991</t>
        </is>
      </c>
      <c r="D372" t="inlineStr">
        <is>
          <t>The Sixties : art, politics, and media of our most explosive decade / edited by Gerald Howard.</t>
        </is>
      </c>
      <c r="F372" t="inlineStr">
        <is>
          <t>No</t>
        </is>
      </c>
      <c r="G372" t="inlineStr">
        <is>
          <t>1</t>
        </is>
      </c>
      <c r="H372" t="inlineStr">
        <is>
          <t>No</t>
        </is>
      </c>
      <c r="I372" t="inlineStr">
        <is>
          <t>No</t>
        </is>
      </c>
      <c r="J372" t="inlineStr">
        <is>
          <t>0</t>
        </is>
      </c>
      <c r="L372" t="inlineStr">
        <is>
          <t>New York : Paragon House, 1991.</t>
        </is>
      </c>
      <c r="M372" t="inlineStr">
        <is>
          <t>1991</t>
        </is>
      </c>
      <c r="N372" t="inlineStr">
        <is>
          <t>1st Paragon House ed.</t>
        </is>
      </c>
      <c r="O372" t="inlineStr">
        <is>
          <t>eng</t>
        </is>
      </c>
      <c r="P372" t="inlineStr">
        <is>
          <t>nyu</t>
        </is>
      </c>
      <c r="R372" t="inlineStr">
        <is>
          <t xml:space="preserve">HN </t>
        </is>
      </c>
      <c r="S372" t="n">
        <v>15</v>
      </c>
      <c r="T372" t="n">
        <v>15</v>
      </c>
      <c r="U372" t="inlineStr">
        <is>
          <t>2005-05-03</t>
        </is>
      </c>
      <c r="V372" t="inlineStr">
        <is>
          <t>2005-05-03</t>
        </is>
      </c>
      <c r="W372" t="inlineStr">
        <is>
          <t>1991-12-15</t>
        </is>
      </c>
      <c r="X372" t="inlineStr">
        <is>
          <t>1991-12-15</t>
        </is>
      </c>
      <c r="Y372" t="n">
        <v>371</v>
      </c>
      <c r="Z372" t="n">
        <v>325</v>
      </c>
      <c r="AA372" t="n">
        <v>407</v>
      </c>
      <c r="AB372" t="n">
        <v>1</v>
      </c>
      <c r="AC372" t="n">
        <v>2</v>
      </c>
      <c r="AD372" t="n">
        <v>7</v>
      </c>
      <c r="AE372" t="n">
        <v>8</v>
      </c>
      <c r="AF372" t="n">
        <v>4</v>
      </c>
      <c r="AG372" t="n">
        <v>4</v>
      </c>
      <c r="AH372" t="n">
        <v>0</v>
      </c>
      <c r="AI372" t="n">
        <v>0</v>
      </c>
      <c r="AJ372" t="n">
        <v>4</v>
      </c>
      <c r="AK372" t="n">
        <v>4</v>
      </c>
      <c r="AL372" t="n">
        <v>0</v>
      </c>
      <c r="AM372" t="n">
        <v>1</v>
      </c>
      <c r="AN372" t="n">
        <v>0</v>
      </c>
      <c r="AO372" t="n">
        <v>0</v>
      </c>
      <c r="AP372" t="inlineStr">
        <is>
          <t>No</t>
        </is>
      </c>
      <c r="AQ372" t="inlineStr">
        <is>
          <t>No</t>
        </is>
      </c>
      <c r="AS372">
        <f>HYPERLINK("https://creighton-primo.hosted.exlibrisgroup.com/primo-explore/search?tab=default_tab&amp;search_scope=EVERYTHING&amp;vid=01CRU&amp;lang=en_US&amp;offset=0&amp;query=any,contains,991001776129702656","Catalog Record")</f>
        <v/>
      </c>
      <c r="AT372">
        <f>HYPERLINK("http://www.worldcat.org/oclc/22421617","WorldCat Record")</f>
        <v/>
      </c>
      <c r="AU372" t="inlineStr">
        <is>
          <t>891011311:eng</t>
        </is>
      </c>
      <c r="AV372" t="inlineStr">
        <is>
          <t>22421617</t>
        </is>
      </c>
      <c r="AW372" t="inlineStr">
        <is>
          <t>991001776129702656</t>
        </is>
      </c>
      <c r="AX372" t="inlineStr">
        <is>
          <t>991001776129702656</t>
        </is>
      </c>
      <c r="AY372" t="inlineStr">
        <is>
          <t>2268971280002656</t>
        </is>
      </c>
      <c r="AZ372" t="inlineStr">
        <is>
          <t>BOOK</t>
        </is>
      </c>
      <c r="BB372" t="inlineStr">
        <is>
          <t>9781557784162</t>
        </is>
      </c>
      <c r="BC372" t="inlineStr">
        <is>
          <t>32285000860030</t>
        </is>
      </c>
      <c r="BD372" t="inlineStr">
        <is>
          <t>893602886</t>
        </is>
      </c>
    </row>
    <row r="373">
      <c r="A373" t="inlineStr">
        <is>
          <t>No</t>
        </is>
      </c>
      <c r="B373" t="inlineStr">
        <is>
          <t>HN59 .S668 2003</t>
        </is>
      </c>
      <c r="C373" t="inlineStr">
        <is>
          <t>0                      HN 0059000S  668         2003</t>
        </is>
      </c>
      <c r="D373" t="inlineStr">
        <is>
          <t>Democracy's children : the young rebels of the 1960s and the power of ideals / Edward K. Spann.</t>
        </is>
      </c>
      <c r="F373" t="inlineStr">
        <is>
          <t>No</t>
        </is>
      </c>
      <c r="G373" t="inlineStr">
        <is>
          <t>1</t>
        </is>
      </c>
      <c r="H373" t="inlineStr">
        <is>
          <t>No</t>
        </is>
      </c>
      <c r="I373" t="inlineStr">
        <is>
          <t>No</t>
        </is>
      </c>
      <c r="J373" t="inlineStr">
        <is>
          <t>0</t>
        </is>
      </c>
      <c r="K373" t="inlineStr">
        <is>
          <t>Spann, Edward K., 1931-2004.</t>
        </is>
      </c>
      <c r="L373" t="inlineStr">
        <is>
          <t>Wilmington, Del. : SR Books, 2003.</t>
        </is>
      </c>
      <c r="M373" t="inlineStr">
        <is>
          <t>2003</t>
        </is>
      </c>
      <c r="O373" t="inlineStr">
        <is>
          <t>eng</t>
        </is>
      </c>
      <c r="P373" t="inlineStr">
        <is>
          <t>deu</t>
        </is>
      </c>
      <c r="Q373" t="inlineStr">
        <is>
          <t>Vietnam--America in the war years ; v. 2</t>
        </is>
      </c>
      <c r="R373" t="inlineStr">
        <is>
          <t xml:space="preserve">HN </t>
        </is>
      </c>
      <c r="S373" t="n">
        <v>2</v>
      </c>
      <c r="T373" t="n">
        <v>2</v>
      </c>
      <c r="U373" t="inlineStr">
        <is>
          <t>2005-05-03</t>
        </is>
      </c>
      <c r="V373" t="inlineStr">
        <is>
          <t>2005-05-03</t>
        </is>
      </c>
      <c r="W373" t="inlineStr">
        <is>
          <t>2004-02-04</t>
        </is>
      </c>
      <c r="X373" t="inlineStr">
        <is>
          <t>2004-02-04</t>
        </is>
      </c>
      <c r="Y373" t="n">
        <v>344</v>
      </c>
      <c r="Z373" t="n">
        <v>312</v>
      </c>
      <c r="AA373" t="n">
        <v>339</v>
      </c>
      <c r="AB373" t="n">
        <v>2</v>
      </c>
      <c r="AC373" t="n">
        <v>2</v>
      </c>
      <c r="AD373" t="n">
        <v>14</v>
      </c>
      <c r="AE373" t="n">
        <v>16</v>
      </c>
      <c r="AF373" t="n">
        <v>7</v>
      </c>
      <c r="AG373" t="n">
        <v>7</v>
      </c>
      <c r="AH373" t="n">
        <v>3</v>
      </c>
      <c r="AI373" t="n">
        <v>4</v>
      </c>
      <c r="AJ373" t="n">
        <v>7</v>
      </c>
      <c r="AK373" t="n">
        <v>9</v>
      </c>
      <c r="AL373" t="n">
        <v>1</v>
      </c>
      <c r="AM373" t="n">
        <v>1</v>
      </c>
      <c r="AN373" t="n">
        <v>0</v>
      </c>
      <c r="AO373" t="n">
        <v>0</v>
      </c>
      <c r="AP373" t="inlineStr">
        <is>
          <t>No</t>
        </is>
      </c>
      <c r="AQ373" t="inlineStr">
        <is>
          <t>Yes</t>
        </is>
      </c>
      <c r="AR373">
        <f>HYPERLINK("http://catalog.hathitrust.org/Record/004352460","HathiTrust Record")</f>
        <v/>
      </c>
      <c r="AS373">
        <f>HYPERLINK("https://creighton-primo.hosted.exlibrisgroup.com/primo-explore/search?tab=default_tab&amp;search_scope=EVERYTHING&amp;vid=01CRU&amp;lang=en_US&amp;offset=0&amp;query=any,contains,991004218959702656","Catalog Record")</f>
        <v/>
      </c>
      <c r="AT373">
        <f>HYPERLINK("http://www.worldcat.org/oclc/52215019","WorldCat Record")</f>
        <v/>
      </c>
      <c r="AU373" t="inlineStr">
        <is>
          <t>724144:eng</t>
        </is>
      </c>
      <c r="AV373" t="inlineStr">
        <is>
          <t>52215019</t>
        </is>
      </c>
      <c r="AW373" t="inlineStr">
        <is>
          <t>991004218959702656</t>
        </is>
      </c>
      <c r="AX373" t="inlineStr">
        <is>
          <t>991004218959702656</t>
        </is>
      </c>
      <c r="AY373" t="inlineStr">
        <is>
          <t>2270727900002656</t>
        </is>
      </c>
      <c r="AZ373" t="inlineStr">
        <is>
          <t>BOOK</t>
        </is>
      </c>
      <c r="BB373" t="inlineStr">
        <is>
          <t>9780842051408</t>
        </is>
      </c>
      <c r="BC373" t="inlineStr">
        <is>
          <t>32285004636709</t>
        </is>
      </c>
      <c r="BD373" t="inlineStr">
        <is>
          <t>893618400</t>
        </is>
      </c>
    </row>
    <row r="374">
      <c r="A374" t="inlineStr">
        <is>
          <t>No</t>
        </is>
      </c>
      <c r="B374" t="inlineStr">
        <is>
          <t>HN59 .W34 1999</t>
        </is>
      </c>
      <c r="C374" t="inlineStr">
        <is>
          <t>0                      HN 0059000W  34          1999</t>
        </is>
      </c>
      <c r="D374" t="inlineStr">
        <is>
          <t>Waves of protest : social movements since the sixties / edited by Jo Freeman and Victoria Johnson.</t>
        </is>
      </c>
      <c r="F374" t="inlineStr">
        <is>
          <t>No</t>
        </is>
      </c>
      <c r="G374" t="inlineStr">
        <is>
          <t>1</t>
        </is>
      </c>
      <c r="H374" t="inlineStr">
        <is>
          <t>No</t>
        </is>
      </c>
      <c r="I374" t="inlineStr">
        <is>
          <t>No</t>
        </is>
      </c>
      <c r="J374" t="inlineStr">
        <is>
          <t>0</t>
        </is>
      </c>
      <c r="L374" t="inlineStr">
        <is>
          <t>Lanham, MD : Rowman &amp; Littlefield Publishers, c1999.</t>
        </is>
      </c>
      <c r="M374" t="inlineStr">
        <is>
          <t>1999</t>
        </is>
      </c>
      <c r="O374" t="inlineStr">
        <is>
          <t>eng</t>
        </is>
      </c>
      <c r="P374" t="inlineStr">
        <is>
          <t>mdu</t>
        </is>
      </c>
      <c r="Q374" t="inlineStr">
        <is>
          <t>People, passions, and power</t>
        </is>
      </c>
      <c r="R374" t="inlineStr">
        <is>
          <t xml:space="preserve">HN </t>
        </is>
      </c>
      <c r="S374" t="n">
        <v>3</v>
      </c>
      <c r="T374" t="n">
        <v>3</v>
      </c>
      <c r="U374" t="inlineStr">
        <is>
          <t>2005-09-30</t>
        </is>
      </c>
      <c r="V374" t="inlineStr">
        <is>
          <t>2005-09-30</t>
        </is>
      </c>
      <c r="W374" t="inlineStr">
        <is>
          <t>2001-02-22</t>
        </is>
      </c>
      <c r="X374" t="inlineStr">
        <is>
          <t>2001-02-22</t>
        </is>
      </c>
      <c r="Y374" t="n">
        <v>455</v>
      </c>
      <c r="Z374" t="n">
        <v>364</v>
      </c>
      <c r="AA374" t="n">
        <v>384</v>
      </c>
      <c r="AB374" t="n">
        <v>2</v>
      </c>
      <c r="AC374" t="n">
        <v>2</v>
      </c>
      <c r="AD374" t="n">
        <v>21</v>
      </c>
      <c r="AE374" t="n">
        <v>21</v>
      </c>
      <c r="AF374" t="n">
        <v>6</v>
      </c>
      <c r="AG374" t="n">
        <v>6</v>
      </c>
      <c r="AH374" t="n">
        <v>7</v>
      </c>
      <c r="AI374" t="n">
        <v>7</v>
      </c>
      <c r="AJ374" t="n">
        <v>12</v>
      </c>
      <c r="AK374" t="n">
        <v>12</v>
      </c>
      <c r="AL374" t="n">
        <v>1</v>
      </c>
      <c r="AM374" t="n">
        <v>1</v>
      </c>
      <c r="AN374" t="n">
        <v>0</v>
      </c>
      <c r="AO374" t="n">
        <v>0</v>
      </c>
      <c r="AP374" t="inlineStr">
        <is>
          <t>No</t>
        </is>
      </c>
      <c r="AQ374" t="inlineStr">
        <is>
          <t>Yes</t>
        </is>
      </c>
      <c r="AR374">
        <f>HYPERLINK("http://catalog.hathitrust.org/Record/004032656","HathiTrust Record")</f>
        <v/>
      </c>
      <c r="AS374">
        <f>HYPERLINK("https://creighton-primo.hosted.exlibrisgroup.com/primo-explore/search?tab=default_tab&amp;search_scope=EVERYTHING&amp;vid=01CRU&amp;lang=en_US&amp;offset=0&amp;query=any,contains,991003362029702656","Catalog Record")</f>
        <v/>
      </c>
      <c r="AT374">
        <f>HYPERLINK("http://www.worldcat.org/oclc/40395836","WorldCat Record")</f>
        <v/>
      </c>
      <c r="AU374" t="inlineStr">
        <is>
          <t>837020259:eng</t>
        </is>
      </c>
      <c r="AV374" t="inlineStr">
        <is>
          <t>40395836</t>
        </is>
      </c>
      <c r="AW374" t="inlineStr">
        <is>
          <t>991003362029702656</t>
        </is>
      </c>
      <c r="AX374" t="inlineStr">
        <is>
          <t>991003362029702656</t>
        </is>
      </c>
      <c r="AY374" t="inlineStr">
        <is>
          <t>2257046630002656</t>
        </is>
      </c>
      <c r="AZ374" t="inlineStr">
        <is>
          <t>BOOK</t>
        </is>
      </c>
      <c r="BB374" t="inlineStr">
        <is>
          <t>9780847687473</t>
        </is>
      </c>
      <c r="BC374" t="inlineStr">
        <is>
          <t>32285004296405</t>
        </is>
      </c>
      <c r="BD374" t="inlineStr">
        <is>
          <t>893610969</t>
        </is>
      </c>
    </row>
    <row r="375">
      <c r="A375" t="inlineStr">
        <is>
          <t>No</t>
        </is>
      </c>
      <c r="B375" t="inlineStr">
        <is>
          <t>HN59 .Y33 1981</t>
        </is>
      </c>
      <c r="C375" t="inlineStr">
        <is>
          <t>0                      HN 0059000Y  33          1981</t>
        </is>
      </c>
      <c r="D375" t="inlineStr">
        <is>
          <t>New rules, searching for self-fulfillment in a world turned upside down / Daniel Yankelovich.</t>
        </is>
      </c>
      <c r="F375" t="inlineStr">
        <is>
          <t>No</t>
        </is>
      </c>
      <c r="G375" t="inlineStr">
        <is>
          <t>1</t>
        </is>
      </c>
      <c r="H375" t="inlineStr">
        <is>
          <t>No</t>
        </is>
      </c>
      <c r="I375" t="inlineStr">
        <is>
          <t>No</t>
        </is>
      </c>
      <c r="J375" t="inlineStr">
        <is>
          <t>0</t>
        </is>
      </c>
      <c r="K375" t="inlineStr">
        <is>
          <t>Yankelovich, Daniel.</t>
        </is>
      </c>
      <c r="L375" t="inlineStr">
        <is>
          <t>New York : Random House, c1981.</t>
        </is>
      </c>
      <c r="M375" t="inlineStr">
        <is>
          <t>1981</t>
        </is>
      </c>
      <c r="N375" t="inlineStr">
        <is>
          <t>1st ed.</t>
        </is>
      </c>
      <c r="O375" t="inlineStr">
        <is>
          <t>eng</t>
        </is>
      </c>
      <c r="P375" t="inlineStr">
        <is>
          <t>nyu</t>
        </is>
      </c>
      <c r="R375" t="inlineStr">
        <is>
          <t xml:space="preserve">HN </t>
        </is>
      </c>
      <c r="S375" t="n">
        <v>7</v>
      </c>
      <c r="T375" t="n">
        <v>7</v>
      </c>
      <c r="U375" t="inlineStr">
        <is>
          <t>1996-08-01</t>
        </is>
      </c>
      <c r="V375" t="inlineStr">
        <is>
          <t>1996-08-01</t>
        </is>
      </c>
      <c r="W375" t="inlineStr">
        <is>
          <t>1990-07-02</t>
        </is>
      </c>
      <c r="X375" t="inlineStr">
        <is>
          <t>1990-07-02</t>
        </is>
      </c>
      <c r="Y375" t="n">
        <v>1195</v>
      </c>
      <c r="Z375" t="n">
        <v>1081</v>
      </c>
      <c r="AA375" t="n">
        <v>1139</v>
      </c>
      <c r="AB375" t="n">
        <v>6</v>
      </c>
      <c r="AC375" t="n">
        <v>6</v>
      </c>
      <c r="AD375" t="n">
        <v>33</v>
      </c>
      <c r="AE375" t="n">
        <v>35</v>
      </c>
      <c r="AF375" t="n">
        <v>12</v>
      </c>
      <c r="AG375" t="n">
        <v>13</v>
      </c>
      <c r="AH375" t="n">
        <v>7</v>
      </c>
      <c r="AI375" t="n">
        <v>7</v>
      </c>
      <c r="AJ375" t="n">
        <v>17</v>
      </c>
      <c r="AK375" t="n">
        <v>19</v>
      </c>
      <c r="AL375" t="n">
        <v>4</v>
      </c>
      <c r="AM375" t="n">
        <v>4</v>
      </c>
      <c r="AN375" t="n">
        <v>1</v>
      </c>
      <c r="AO375" t="n">
        <v>1</v>
      </c>
      <c r="AP375" t="inlineStr">
        <is>
          <t>No</t>
        </is>
      </c>
      <c r="AQ375" t="inlineStr">
        <is>
          <t>No</t>
        </is>
      </c>
      <c r="AS375">
        <f>HYPERLINK("https://creighton-primo.hosted.exlibrisgroup.com/primo-explore/search?tab=default_tab&amp;search_scope=EVERYTHING&amp;vid=01CRU&amp;lang=en_US&amp;offset=0&amp;query=any,contains,991005083119702656","Catalog Record")</f>
        <v/>
      </c>
      <c r="AT375">
        <f>HYPERLINK("http://www.worldcat.org/oclc/7175831","WorldCat Record")</f>
        <v/>
      </c>
      <c r="AU375" t="inlineStr">
        <is>
          <t>462729:eng</t>
        </is>
      </c>
      <c r="AV375" t="inlineStr">
        <is>
          <t>7175831</t>
        </is>
      </c>
      <c r="AW375" t="inlineStr">
        <is>
          <t>991005083119702656</t>
        </is>
      </c>
      <c r="AX375" t="inlineStr">
        <is>
          <t>991005083119702656</t>
        </is>
      </c>
      <c r="AY375" t="inlineStr">
        <is>
          <t>2272324990002656</t>
        </is>
      </c>
      <c r="AZ375" t="inlineStr">
        <is>
          <t>BOOK</t>
        </is>
      </c>
      <c r="BB375" t="inlineStr">
        <is>
          <t>9780394502038</t>
        </is>
      </c>
      <c r="BC375" t="inlineStr">
        <is>
          <t>32285000219260</t>
        </is>
      </c>
      <c r="BD375" t="inlineStr">
        <is>
          <t>893895833</t>
        </is>
      </c>
    </row>
    <row r="376">
      <c r="A376" t="inlineStr">
        <is>
          <t>No</t>
        </is>
      </c>
      <c r="B376" t="inlineStr">
        <is>
          <t>HN59.2 .A32 2005</t>
        </is>
      </c>
      <c r="C376" t="inlineStr">
        <is>
          <t>0                      HN 0059200A  32          2005</t>
        </is>
      </c>
      <c r="D376" t="inlineStr">
        <is>
          <t>American backlash : the untold story of social change in the United States / Michael Adams with Amy Langstaff and David Jamieson.</t>
        </is>
      </c>
      <c r="F376" t="inlineStr">
        <is>
          <t>No</t>
        </is>
      </c>
      <c r="G376" t="inlineStr">
        <is>
          <t>1</t>
        </is>
      </c>
      <c r="H376" t="inlineStr">
        <is>
          <t>No</t>
        </is>
      </c>
      <c r="I376" t="inlineStr">
        <is>
          <t>No</t>
        </is>
      </c>
      <c r="J376" t="inlineStr">
        <is>
          <t>0</t>
        </is>
      </c>
      <c r="K376" t="inlineStr">
        <is>
          <t>Adams, Michael, 1946 September 29-</t>
        </is>
      </c>
      <c r="L376" t="inlineStr">
        <is>
          <t>Toronto : Viking, 2005.</t>
        </is>
      </c>
      <c r="M376" t="inlineStr">
        <is>
          <t>2005</t>
        </is>
      </c>
      <c r="O376" t="inlineStr">
        <is>
          <t>eng</t>
        </is>
      </c>
      <c r="P376" t="inlineStr">
        <is>
          <t>onc</t>
        </is>
      </c>
      <c r="R376" t="inlineStr">
        <is>
          <t xml:space="preserve">HN </t>
        </is>
      </c>
      <c r="S376" t="n">
        <v>2</v>
      </c>
      <c r="T376" t="n">
        <v>2</v>
      </c>
      <c r="U376" t="inlineStr">
        <is>
          <t>2007-06-21</t>
        </is>
      </c>
      <c r="V376" t="inlineStr">
        <is>
          <t>2007-06-21</t>
        </is>
      </c>
      <c r="W376" t="inlineStr">
        <is>
          <t>2006-07-12</t>
        </is>
      </c>
      <c r="X376" t="inlineStr">
        <is>
          <t>2006-07-12</t>
        </is>
      </c>
      <c r="Y376" t="n">
        <v>155</v>
      </c>
      <c r="Z376" t="n">
        <v>96</v>
      </c>
      <c r="AA376" t="n">
        <v>114</v>
      </c>
      <c r="AB376" t="n">
        <v>1</v>
      </c>
      <c r="AC376" t="n">
        <v>1</v>
      </c>
      <c r="AD376" t="n">
        <v>4</v>
      </c>
      <c r="AE376" t="n">
        <v>4</v>
      </c>
      <c r="AF376" t="n">
        <v>2</v>
      </c>
      <c r="AG376" t="n">
        <v>2</v>
      </c>
      <c r="AH376" t="n">
        <v>0</v>
      </c>
      <c r="AI376" t="n">
        <v>0</v>
      </c>
      <c r="AJ376" t="n">
        <v>3</v>
      </c>
      <c r="AK376" t="n">
        <v>3</v>
      </c>
      <c r="AL376" t="n">
        <v>0</v>
      </c>
      <c r="AM376" t="n">
        <v>0</v>
      </c>
      <c r="AN376" t="n">
        <v>0</v>
      </c>
      <c r="AO376" t="n">
        <v>0</v>
      </c>
      <c r="AP376" t="inlineStr">
        <is>
          <t>No</t>
        </is>
      </c>
      <c r="AQ376" t="inlineStr">
        <is>
          <t>No</t>
        </is>
      </c>
      <c r="AS376">
        <f>HYPERLINK("https://creighton-primo.hosted.exlibrisgroup.com/primo-explore/search?tab=default_tab&amp;search_scope=EVERYTHING&amp;vid=01CRU&amp;lang=en_US&amp;offset=0&amp;query=any,contains,991004799899702656","Catalog Record")</f>
        <v/>
      </c>
      <c r="AT376">
        <f>HYPERLINK("http://www.worldcat.org/oclc/60369687","WorldCat Record")</f>
        <v/>
      </c>
      <c r="AU376" t="inlineStr">
        <is>
          <t>1028282842:eng</t>
        </is>
      </c>
      <c r="AV376" t="inlineStr">
        <is>
          <t>60369687</t>
        </is>
      </c>
      <c r="AW376" t="inlineStr">
        <is>
          <t>991004799899702656</t>
        </is>
      </c>
      <c r="AX376" t="inlineStr">
        <is>
          <t>991004799899702656</t>
        </is>
      </c>
      <c r="AY376" t="inlineStr">
        <is>
          <t>2255623150002656</t>
        </is>
      </c>
      <c r="AZ376" t="inlineStr">
        <is>
          <t>BOOK</t>
        </is>
      </c>
      <c r="BB376" t="inlineStr">
        <is>
          <t>9780670063703</t>
        </is>
      </c>
      <c r="BC376" t="inlineStr">
        <is>
          <t>32285005192850</t>
        </is>
      </c>
      <c r="BD376" t="inlineStr">
        <is>
          <t>893418035</t>
        </is>
      </c>
    </row>
    <row r="377">
      <c r="A377" t="inlineStr">
        <is>
          <t>No</t>
        </is>
      </c>
      <c r="B377" t="inlineStr">
        <is>
          <t>HN59.2 .B68 1996</t>
        </is>
      </c>
      <c r="C377" t="inlineStr">
        <is>
          <t>0                      HN 0059200B  68          1996</t>
        </is>
      </c>
      <c r="D377" t="inlineStr">
        <is>
          <t>Slouching towards Gomorrah : modern liberalism and American decline / Robert H. Bork.</t>
        </is>
      </c>
      <c r="F377" t="inlineStr">
        <is>
          <t>No</t>
        </is>
      </c>
      <c r="G377" t="inlineStr">
        <is>
          <t>1</t>
        </is>
      </c>
      <c r="H377" t="inlineStr">
        <is>
          <t>No</t>
        </is>
      </c>
      <c r="I377" t="inlineStr">
        <is>
          <t>No</t>
        </is>
      </c>
      <c r="J377" t="inlineStr">
        <is>
          <t>0</t>
        </is>
      </c>
      <c r="K377" t="inlineStr">
        <is>
          <t>Bork, Robert H.</t>
        </is>
      </c>
      <c r="L377" t="inlineStr">
        <is>
          <t>New York : ReganBooks, c1996.</t>
        </is>
      </c>
      <c r="M377" t="inlineStr">
        <is>
          <t>1996</t>
        </is>
      </c>
      <c r="N377" t="inlineStr">
        <is>
          <t>1st ed.</t>
        </is>
      </c>
      <c r="O377" t="inlineStr">
        <is>
          <t>eng</t>
        </is>
      </c>
      <c r="P377" t="inlineStr">
        <is>
          <t>nyu</t>
        </is>
      </c>
      <c r="R377" t="inlineStr">
        <is>
          <t xml:space="preserve">HN </t>
        </is>
      </c>
      <c r="S377" t="n">
        <v>14</v>
      </c>
      <c r="T377" t="n">
        <v>14</v>
      </c>
      <c r="U377" t="inlineStr">
        <is>
          <t>2004-09-01</t>
        </is>
      </c>
      <c r="V377" t="inlineStr">
        <is>
          <t>2004-09-01</t>
        </is>
      </c>
      <c r="W377" t="inlineStr">
        <is>
          <t>1997-01-27</t>
        </is>
      </c>
      <c r="X377" t="inlineStr">
        <is>
          <t>1997-01-27</t>
        </is>
      </c>
      <c r="Y377" t="n">
        <v>2123</v>
      </c>
      <c r="Z377" t="n">
        <v>2015</v>
      </c>
      <c r="AA377" t="n">
        <v>2184</v>
      </c>
      <c r="AB377" t="n">
        <v>13</v>
      </c>
      <c r="AC377" t="n">
        <v>14</v>
      </c>
      <c r="AD377" t="n">
        <v>60</v>
      </c>
      <c r="AE377" t="n">
        <v>64</v>
      </c>
      <c r="AF377" t="n">
        <v>23</v>
      </c>
      <c r="AG377" t="n">
        <v>24</v>
      </c>
      <c r="AH377" t="n">
        <v>9</v>
      </c>
      <c r="AI377" t="n">
        <v>10</v>
      </c>
      <c r="AJ377" t="n">
        <v>20</v>
      </c>
      <c r="AK377" t="n">
        <v>22</v>
      </c>
      <c r="AL377" t="n">
        <v>4</v>
      </c>
      <c r="AM377" t="n">
        <v>5</v>
      </c>
      <c r="AN377" t="n">
        <v>15</v>
      </c>
      <c r="AO377" t="n">
        <v>15</v>
      </c>
      <c r="AP377" t="inlineStr">
        <is>
          <t>No</t>
        </is>
      </c>
      <c r="AQ377" t="inlineStr">
        <is>
          <t>No</t>
        </is>
      </c>
      <c r="AS377">
        <f>HYPERLINK("https://creighton-primo.hosted.exlibrisgroup.com/primo-explore/search?tab=default_tab&amp;search_scope=EVERYTHING&amp;vid=01CRU&amp;lang=en_US&amp;offset=0&amp;query=any,contains,991002680559702656","Catalog Record")</f>
        <v/>
      </c>
      <c r="AT377">
        <f>HYPERLINK("http://www.worldcat.org/oclc/35029722","WorldCat Record")</f>
        <v/>
      </c>
      <c r="AU377" t="inlineStr">
        <is>
          <t>650382:eng</t>
        </is>
      </c>
      <c r="AV377" t="inlineStr">
        <is>
          <t>35029722</t>
        </is>
      </c>
      <c r="AW377" t="inlineStr">
        <is>
          <t>991002680559702656</t>
        </is>
      </c>
      <c r="AX377" t="inlineStr">
        <is>
          <t>991002680559702656</t>
        </is>
      </c>
      <c r="AY377" t="inlineStr">
        <is>
          <t>2267946070002656</t>
        </is>
      </c>
      <c r="AZ377" t="inlineStr">
        <is>
          <t>BOOK</t>
        </is>
      </c>
      <c r="BB377" t="inlineStr">
        <is>
          <t>9780060391638</t>
        </is>
      </c>
      <c r="BC377" t="inlineStr">
        <is>
          <t>32285002411600</t>
        </is>
      </c>
      <c r="BD377" t="inlineStr">
        <is>
          <t>893603869</t>
        </is>
      </c>
    </row>
    <row r="378">
      <c r="A378" t="inlineStr">
        <is>
          <t>No</t>
        </is>
      </c>
      <c r="B378" t="inlineStr">
        <is>
          <t>HN59.2 .B76 2001</t>
        </is>
      </c>
      <c r="C378" t="inlineStr">
        <is>
          <t>0                      HN 0059200B  76          2001</t>
        </is>
      </c>
      <c r="D378" t="inlineStr">
        <is>
          <t>Capitalism and social progress : the future of society in a global economy / Phillip Brown and Hugh Lauder ; foreword by A.H. Halsey.</t>
        </is>
      </c>
      <c r="F378" t="inlineStr">
        <is>
          <t>No</t>
        </is>
      </c>
      <c r="G378" t="inlineStr">
        <is>
          <t>1</t>
        </is>
      </c>
      <c r="H378" t="inlineStr">
        <is>
          <t>No</t>
        </is>
      </c>
      <c r="I378" t="inlineStr">
        <is>
          <t>No</t>
        </is>
      </c>
      <c r="J378" t="inlineStr">
        <is>
          <t>0</t>
        </is>
      </c>
      <c r="K378" t="inlineStr">
        <is>
          <t>Brown, Phillip, 1957-</t>
        </is>
      </c>
      <c r="L378" t="inlineStr">
        <is>
          <t>Basingstoke, Hampshire ; New York : Palgrave, 2001.</t>
        </is>
      </c>
      <c r="M378" t="inlineStr">
        <is>
          <t>2001</t>
        </is>
      </c>
      <c r="O378" t="inlineStr">
        <is>
          <t>eng</t>
        </is>
      </c>
      <c r="P378" t="inlineStr">
        <is>
          <t>enk</t>
        </is>
      </c>
      <c r="R378" t="inlineStr">
        <is>
          <t xml:space="preserve">HN </t>
        </is>
      </c>
      <c r="S378" t="n">
        <v>9</v>
      </c>
      <c r="T378" t="n">
        <v>9</v>
      </c>
      <c r="U378" t="inlineStr">
        <is>
          <t>2009-10-05</t>
        </is>
      </c>
      <c r="V378" t="inlineStr">
        <is>
          <t>2009-10-05</t>
        </is>
      </c>
      <c r="W378" t="inlineStr">
        <is>
          <t>2002-11-07</t>
        </is>
      </c>
      <c r="X378" t="inlineStr">
        <is>
          <t>2002-11-07</t>
        </is>
      </c>
      <c r="Y378" t="n">
        <v>389</v>
      </c>
      <c r="Z378" t="n">
        <v>249</v>
      </c>
      <c r="AA378" t="n">
        <v>313</v>
      </c>
      <c r="AB378" t="n">
        <v>3</v>
      </c>
      <c r="AC378" t="n">
        <v>3</v>
      </c>
      <c r="AD378" t="n">
        <v>15</v>
      </c>
      <c r="AE378" t="n">
        <v>15</v>
      </c>
      <c r="AF378" t="n">
        <v>3</v>
      </c>
      <c r="AG378" t="n">
        <v>3</v>
      </c>
      <c r="AH378" t="n">
        <v>4</v>
      </c>
      <c r="AI378" t="n">
        <v>4</v>
      </c>
      <c r="AJ378" t="n">
        <v>9</v>
      </c>
      <c r="AK378" t="n">
        <v>9</v>
      </c>
      <c r="AL378" t="n">
        <v>2</v>
      </c>
      <c r="AM378" t="n">
        <v>2</v>
      </c>
      <c r="AN378" t="n">
        <v>0</v>
      </c>
      <c r="AO378" t="n">
        <v>0</v>
      </c>
      <c r="AP378" t="inlineStr">
        <is>
          <t>No</t>
        </is>
      </c>
      <c r="AQ378" t="inlineStr">
        <is>
          <t>No</t>
        </is>
      </c>
      <c r="AS378">
        <f>HYPERLINK("https://creighton-primo.hosted.exlibrisgroup.com/primo-explore/search?tab=default_tab&amp;search_scope=EVERYTHING&amp;vid=01CRU&amp;lang=en_US&amp;offset=0&amp;query=any,contains,991003891949702656","Catalog Record")</f>
        <v/>
      </c>
      <c r="AT378">
        <f>HYPERLINK("http://www.worldcat.org/oclc/45064710","WorldCat Record")</f>
        <v/>
      </c>
      <c r="AU378" t="inlineStr">
        <is>
          <t>795316031:eng</t>
        </is>
      </c>
      <c r="AV378" t="inlineStr">
        <is>
          <t>45064710</t>
        </is>
      </c>
      <c r="AW378" t="inlineStr">
        <is>
          <t>991003891949702656</t>
        </is>
      </c>
      <c r="AX378" t="inlineStr">
        <is>
          <t>991003891949702656</t>
        </is>
      </c>
      <c r="AY378" t="inlineStr">
        <is>
          <t>2272728000002656</t>
        </is>
      </c>
      <c r="AZ378" t="inlineStr">
        <is>
          <t>BOOK</t>
        </is>
      </c>
      <c r="BB378" t="inlineStr">
        <is>
          <t>9780333922910</t>
        </is>
      </c>
      <c r="BC378" t="inlineStr">
        <is>
          <t>32285004661905</t>
        </is>
      </c>
      <c r="BD378" t="inlineStr">
        <is>
          <t>893806406</t>
        </is>
      </c>
    </row>
    <row r="379">
      <c r="A379" t="inlineStr">
        <is>
          <t>No</t>
        </is>
      </c>
      <c r="B379" t="inlineStr">
        <is>
          <t>HN59.2 .C66 2003</t>
        </is>
      </c>
      <c r="C379" t="inlineStr">
        <is>
          <t>0                      HN 0059200C  66          2003</t>
        </is>
      </c>
      <c r="D379" t="inlineStr">
        <is>
          <t>Controversial issues in social policy / Howard Jacob Karger, James Midgley, C. Brené Brown, editors.</t>
        </is>
      </c>
      <c r="F379" t="inlineStr">
        <is>
          <t>No</t>
        </is>
      </c>
      <c r="G379" t="inlineStr">
        <is>
          <t>1</t>
        </is>
      </c>
      <c r="H379" t="inlineStr">
        <is>
          <t>No</t>
        </is>
      </c>
      <c r="I379" t="inlineStr">
        <is>
          <t>Yes</t>
        </is>
      </c>
      <c r="J379" t="inlineStr">
        <is>
          <t>0</t>
        </is>
      </c>
      <c r="L379" t="inlineStr">
        <is>
          <t>Boston : Allyn and Bacon, c2003.</t>
        </is>
      </c>
      <c r="M379" t="inlineStr">
        <is>
          <t>2003</t>
        </is>
      </c>
      <c r="N379" t="inlineStr">
        <is>
          <t>2nd ed.</t>
        </is>
      </c>
      <c r="O379" t="inlineStr">
        <is>
          <t>eng</t>
        </is>
      </c>
      <c r="P379" t="inlineStr">
        <is>
          <t>mau</t>
        </is>
      </c>
      <c r="R379" t="inlineStr">
        <is>
          <t xml:space="preserve">HN </t>
        </is>
      </c>
      <c r="S379" t="n">
        <v>4</v>
      </c>
      <c r="T379" t="n">
        <v>4</v>
      </c>
      <c r="U379" t="inlineStr">
        <is>
          <t>2006-04-04</t>
        </is>
      </c>
      <c r="V379" t="inlineStr">
        <is>
          <t>2006-04-04</t>
        </is>
      </c>
      <c r="W379" t="inlineStr">
        <is>
          <t>2004-02-23</t>
        </is>
      </c>
      <c r="X379" t="inlineStr">
        <is>
          <t>2004-02-23</t>
        </is>
      </c>
      <c r="Y379" t="n">
        <v>279</v>
      </c>
      <c r="Z379" t="n">
        <v>234</v>
      </c>
      <c r="AA379" t="n">
        <v>452</v>
      </c>
      <c r="AB379" t="n">
        <v>4</v>
      </c>
      <c r="AC379" t="n">
        <v>5</v>
      </c>
      <c r="AD379" t="n">
        <v>10</v>
      </c>
      <c r="AE379" t="n">
        <v>19</v>
      </c>
      <c r="AF379" t="n">
        <v>2</v>
      </c>
      <c r="AG379" t="n">
        <v>5</v>
      </c>
      <c r="AH379" t="n">
        <v>2</v>
      </c>
      <c r="AI379" t="n">
        <v>5</v>
      </c>
      <c r="AJ379" t="n">
        <v>4</v>
      </c>
      <c r="AK379" t="n">
        <v>9</v>
      </c>
      <c r="AL379" t="n">
        <v>3</v>
      </c>
      <c r="AM379" t="n">
        <v>4</v>
      </c>
      <c r="AN379" t="n">
        <v>0</v>
      </c>
      <c r="AO379" t="n">
        <v>0</v>
      </c>
      <c r="AP379" t="inlineStr">
        <is>
          <t>No</t>
        </is>
      </c>
      <c r="AQ379" t="inlineStr">
        <is>
          <t>No</t>
        </is>
      </c>
      <c r="AS379">
        <f>HYPERLINK("https://creighton-primo.hosted.exlibrisgroup.com/primo-explore/search?tab=default_tab&amp;search_scope=EVERYTHING&amp;vid=01CRU&amp;lang=en_US&amp;offset=0&amp;query=any,contains,991004232399702656","Catalog Record")</f>
        <v/>
      </c>
      <c r="AT379">
        <f>HYPERLINK("http://www.worldcat.org/oclc/48767678","WorldCat Record")</f>
        <v/>
      </c>
      <c r="AU379" t="inlineStr">
        <is>
          <t>353582429:eng</t>
        </is>
      </c>
      <c r="AV379" t="inlineStr">
        <is>
          <t>48767678</t>
        </is>
      </c>
      <c r="AW379" t="inlineStr">
        <is>
          <t>991004232399702656</t>
        </is>
      </c>
      <c r="AX379" t="inlineStr">
        <is>
          <t>991004232399702656</t>
        </is>
      </c>
      <c r="AY379" t="inlineStr">
        <is>
          <t>2256758020002656</t>
        </is>
      </c>
      <c r="AZ379" t="inlineStr">
        <is>
          <t>BOOK</t>
        </is>
      </c>
      <c r="BB379" t="inlineStr">
        <is>
          <t>9780205337453</t>
        </is>
      </c>
      <c r="BC379" t="inlineStr">
        <is>
          <t>32285004639943</t>
        </is>
      </c>
      <c r="BD379" t="inlineStr">
        <is>
          <t>893593441</t>
        </is>
      </c>
    </row>
    <row r="380">
      <c r="A380" t="inlineStr">
        <is>
          <t>No</t>
        </is>
      </c>
      <c r="B380" t="inlineStr">
        <is>
          <t>HN59.2 .E28 2006</t>
        </is>
      </c>
      <c r="C380" t="inlineStr">
        <is>
          <t>0                      HN 0059200E  28          2006</t>
        </is>
      </c>
      <c r="D380" t="inlineStr">
        <is>
          <t>Troubled pasts : news and the collective memory of social unrest / Jill A. Edy.</t>
        </is>
      </c>
      <c r="F380" t="inlineStr">
        <is>
          <t>No</t>
        </is>
      </c>
      <c r="G380" t="inlineStr">
        <is>
          <t>1</t>
        </is>
      </c>
      <c r="H380" t="inlineStr">
        <is>
          <t>No</t>
        </is>
      </c>
      <c r="I380" t="inlineStr">
        <is>
          <t>No</t>
        </is>
      </c>
      <c r="J380" t="inlineStr">
        <is>
          <t>0</t>
        </is>
      </c>
      <c r="K380" t="inlineStr">
        <is>
          <t>Edy, Jill A., 1966-</t>
        </is>
      </c>
      <c r="L380" t="inlineStr">
        <is>
          <t>Philadelphia : Temple University Press, 2006.</t>
        </is>
      </c>
      <c r="M380" t="inlineStr">
        <is>
          <t>2006</t>
        </is>
      </c>
      <c r="O380" t="inlineStr">
        <is>
          <t>eng</t>
        </is>
      </c>
      <c r="P380" t="inlineStr">
        <is>
          <t>pau</t>
        </is>
      </c>
      <c r="R380" t="inlineStr">
        <is>
          <t xml:space="preserve">HN </t>
        </is>
      </c>
      <c r="S380" t="n">
        <v>2</v>
      </c>
      <c r="T380" t="n">
        <v>2</v>
      </c>
      <c r="U380" t="inlineStr">
        <is>
          <t>2009-11-08</t>
        </is>
      </c>
      <c r="V380" t="inlineStr">
        <is>
          <t>2009-11-08</t>
        </is>
      </c>
      <c r="W380" t="inlineStr">
        <is>
          <t>2007-05-24</t>
        </is>
      </c>
      <c r="X380" t="inlineStr">
        <is>
          <t>2007-05-24</t>
        </is>
      </c>
      <c r="Y380" t="n">
        <v>401</v>
      </c>
      <c r="Z380" t="n">
        <v>350</v>
      </c>
      <c r="AA380" t="n">
        <v>836</v>
      </c>
      <c r="AB380" t="n">
        <v>2</v>
      </c>
      <c r="AC380" t="n">
        <v>5</v>
      </c>
      <c r="AD380" t="n">
        <v>24</v>
      </c>
      <c r="AE380" t="n">
        <v>43</v>
      </c>
      <c r="AF380" t="n">
        <v>13</v>
      </c>
      <c r="AG380" t="n">
        <v>20</v>
      </c>
      <c r="AH380" t="n">
        <v>6</v>
      </c>
      <c r="AI380" t="n">
        <v>10</v>
      </c>
      <c r="AJ380" t="n">
        <v>11</v>
      </c>
      <c r="AK380" t="n">
        <v>19</v>
      </c>
      <c r="AL380" t="n">
        <v>1</v>
      </c>
      <c r="AM380" t="n">
        <v>4</v>
      </c>
      <c r="AN380" t="n">
        <v>0</v>
      </c>
      <c r="AO380" t="n">
        <v>1</v>
      </c>
      <c r="AP380" t="inlineStr">
        <is>
          <t>No</t>
        </is>
      </c>
      <c r="AQ380" t="inlineStr">
        <is>
          <t>No</t>
        </is>
      </c>
      <c r="AS380">
        <f>HYPERLINK("https://creighton-primo.hosted.exlibrisgroup.com/primo-explore/search?tab=default_tab&amp;search_scope=EVERYTHING&amp;vid=01CRU&amp;lang=en_US&amp;offset=0&amp;query=any,contains,991005075729702656","Catalog Record")</f>
        <v/>
      </c>
      <c r="AT380">
        <f>HYPERLINK("http://www.worldcat.org/oclc/62282671","WorldCat Record")</f>
        <v/>
      </c>
      <c r="AU380" t="inlineStr">
        <is>
          <t>794195305:eng</t>
        </is>
      </c>
      <c r="AV380" t="inlineStr">
        <is>
          <t>62282671</t>
        </is>
      </c>
      <c r="AW380" t="inlineStr">
        <is>
          <t>991005075729702656</t>
        </is>
      </c>
      <c r="AX380" t="inlineStr">
        <is>
          <t>991005075729702656</t>
        </is>
      </c>
      <c r="AY380" t="inlineStr">
        <is>
          <t>2262209380002656</t>
        </is>
      </c>
      <c r="AZ380" t="inlineStr">
        <is>
          <t>BOOK</t>
        </is>
      </c>
      <c r="BB380" t="inlineStr">
        <is>
          <t>9781592134960</t>
        </is>
      </c>
      <c r="BC380" t="inlineStr">
        <is>
          <t>32285005314447</t>
        </is>
      </c>
      <c r="BD380" t="inlineStr">
        <is>
          <t>893230167</t>
        </is>
      </c>
    </row>
    <row r="381">
      <c r="A381" t="inlineStr">
        <is>
          <t>No</t>
        </is>
      </c>
      <c r="B381" t="inlineStr">
        <is>
          <t>HN59.2 .E96 1997</t>
        </is>
      </c>
      <c r="C381" t="inlineStr">
        <is>
          <t>0                      HN 0059200E  96          1997</t>
        </is>
      </c>
      <c r="D381" t="inlineStr">
        <is>
          <t>Experiencing race, class, and gender in the United States / [edited by] Virginia Cyrus.</t>
        </is>
      </c>
      <c r="F381" t="inlineStr">
        <is>
          <t>No</t>
        </is>
      </c>
      <c r="G381" t="inlineStr">
        <is>
          <t>1</t>
        </is>
      </c>
      <c r="H381" t="inlineStr">
        <is>
          <t>No</t>
        </is>
      </c>
      <c r="I381" t="inlineStr">
        <is>
          <t>No</t>
        </is>
      </c>
      <c r="J381" t="inlineStr">
        <is>
          <t>0</t>
        </is>
      </c>
      <c r="L381" t="inlineStr">
        <is>
          <t>Mountain View, Calif. : Mayfield Publishing, c1997.</t>
        </is>
      </c>
      <c r="M381" t="inlineStr">
        <is>
          <t>1997</t>
        </is>
      </c>
      <c r="N381" t="inlineStr">
        <is>
          <t>2nd ed.</t>
        </is>
      </c>
      <c r="O381" t="inlineStr">
        <is>
          <t>eng</t>
        </is>
      </c>
      <c r="P381" t="inlineStr">
        <is>
          <t>cau</t>
        </is>
      </c>
      <c r="R381" t="inlineStr">
        <is>
          <t xml:space="preserve">HN </t>
        </is>
      </c>
      <c r="S381" t="n">
        <v>23</v>
      </c>
      <c r="T381" t="n">
        <v>23</v>
      </c>
      <c r="U381" t="inlineStr">
        <is>
          <t>2010-05-11</t>
        </is>
      </c>
      <c r="V381" t="inlineStr">
        <is>
          <t>2010-05-11</t>
        </is>
      </c>
      <c r="W381" t="inlineStr">
        <is>
          <t>1999-02-09</t>
        </is>
      </c>
      <c r="X381" t="inlineStr">
        <is>
          <t>1999-02-09</t>
        </is>
      </c>
      <c r="Y381" t="n">
        <v>102</v>
      </c>
      <c r="Z381" t="n">
        <v>96</v>
      </c>
      <c r="AA381" t="n">
        <v>419</v>
      </c>
      <c r="AB381" t="n">
        <v>1</v>
      </c>
      <c r="AC381" t="n">
        <v>2</v>
      </c>
      <c r="AD381" t="n">
        <v>3</v>
      </c>
      <c r="AE381" t="n">
        <v>15</v>
      </c>
      <c r="AF381" t="n">
        <v>0</v>
      </c>
      <c r="AG381" t="n">
        <v>5</v>
      </c>
      <c r="AH381" t="n">
        <v>1</v>
      </c>
      <c r="AI381" t="n">
        <v>4</v>
      </c>
      <c r="AJ381" t="n">
        <v>2</v>
      </c>
      <c r="AK381" t="n">
        <v>7</v>
      </c>
      <c r="AL381" t="n">
        <v>0</v>
      </c>
      <c r="AM381" t="n">
        <v>1</v>
      </c>
      <c r="AN381" t="n">
        <v>0</v>
      </c>
      <c r="AO381" t="n">
        <v>0</v>
      </c>
      <c r="AP381" t="inlineStr">
        <is>
          <t>No</t>
        </is>
      </c>
      <c r="AQ381" t="inlineStr">
        <is>
          <t>No</t>
        </is>
      </c>
      <c r="AS381">
        <f>HYPERLINK("https://creighton-primo.hosted.exlibrisgroup.com/primo-explore/search?tab=default_tab&amp;search_scope=EVERYTHING&amp;vid=01CRU&amp;lang=en_US&amp;offset=0&amp;query=any,contains,991002632299702656","Catalog Record")</f>
        <v/>
      </c>
      <c r="AT381">
        <f>HYPERLINK("http://www.worldcat.org/oclc/34513392","WorldCat Record")</f>
        <v/>
      </c>
      <c r="AU381" t="inlineStr">
        <is>
          <t>154680661:eng</t>
        </is>
      </c>
      <c r="AV381" t="inlineStr">
        <is>
          <t>34513392</t>
        </is>
      </c>
      <c r="AW381" t="inlineStr">
        <is>
          <t>991002632299702656</t>
        </is>
      </c>
      <c r="AX381" t="inlineStr">
        <is>
          <t>991002632299702656</t>
        </is>
      </c>
      <c r="AY381" t="inlineStr">
        <is>
          <t>2255587860002656</t>
        </is>
      </c>
      <c r="AZ381" t="inlineStr">
        <is>
          <t>BOOK</t>
        </is>
      </c>
      <c r="BB381" t="inlineStr">
        <is>
          <t>9781559344845</t>
        </is>
      </c>
      <c r="BC381" t="inlineStr">
        <is>
          <t>32285003518262</t>
        </is>
      </c>
      <c r="BD381" t="inlineStr">
        <is>
          <t>893245421</t>
        </is>
      </c>
    </row>
    <row r="382">
      <c r="A382" t="inlineStr">
        <is>
          <t>No</t>
        </is>
      </c>
      <c r="B382" t="inlineStr">
        <is>
          <t>HN59.2 .G74 2004</t>
        </is>
      </c>
      <c r="C382" t="inlineStr">
        <is>
          <t>0                      HN 0059200G  74          2004</t>
        </is>
      </c>
      <c r="D382" t="inlineStr">
        <is>
          <t>The digest of social experiments / David Greenberg and Mark Shroder.</t>
        </is>
      </c>
      <c r="F382" t="inlineStr">
        <is>
          <t>No</t>
        </is>
      </c>
      <c r="G382" t="inlineStr">
        <is>
          <t>1</t>
        </is>
      </c>
      <c r="H382" t="inlineStr">
        <is>
          <t>No</t>
        </is>
      </c>
      <c r="I382" t="inlineStr">
        <is>
          <t>No</t>
        </is>
      </c>
      <c r="J382" t="inlineStr">
        <is>
          <t>0</t>
        </is>
      </c>
      <c r="K382" t="inlineStr">
        <is>
          <t>Greenberg, David H.</t>
        </is>
      </c>
      <c r="L382" t="inlineStr">
        <is>
          <t>Washington, D.C. : Urban Institute Press, c2004.</t>
        </is>
      </c>
      <c r="M382" t="inlineStr">
        <is>
          <t>2004</t>
        </is>
      </c>
      <c r="N382" t="inlineStr">
        <is>
          <t>3rd ed.</t>
        </is>
      </c>
      <c r="O382" t="inlineStr">
        <is>
          <t>eng</t>
        </is>
      </c>
      <c r="P382" t="inlineStr">
        <is>
          <t>dcu</t>
        </is>
      </c>
      <c r="R382" t="inlineStr">
        <is>
          <t xml:space="preserve">HN </t>
        </is>
      </c>
      <c r="S382" t="n">
        <v>1</v>
      </c>
      <c r="T382" t="n">
        <v>1</v>
      </c>
      <c r="U382" t="inlineStr">
        <is>
          <t>2005-04-12</t>
        </is>
      </c>
      <c r="V382" t="inlineStr">
        <is>
          <t>2005-04-12</t>
        </is>
      </c>
      <c r="W382" t="inlineStr">
        <is>
          <t>2005-04-12</t>
        </is>
      </c>
      <c r="X382" t="inlineStr">
        <is>
          <t>2005-04-12</t>
        </is>
      </c>
      <c r="Y382" t="n">
        <v>325</v>
      </c>
      <c r="Z382" t="n">
        <v>284</v>
      </c>
      <c r="AA382" t="n">
        <v>353</v>
      </c>
      <c r="AB382" t="n">
        <v>4</v>
      </c>
      <c r="AC382" t="n">
        <v>5</v>
      </c>
      <c r="AD382" t="n">
        <v>12</v>
      </c>
      <c r="AE382" t="n">
        <v>17</v>
      </c>
      <c r="AF382" t="n">
        <v>2</v>
      </c>
      <c r="AG382" t="n">
        <v>3</v>
      </c>
      <c r="AH382" t="n">
        <v>5</v>
      </c>
      <c r="AI382" t="n">
        <v>5</v>
      </c>
      <c r="AJ382" t="n">
        <v>5</v>
      </c>
      <c r="AK382" t="n">
        <v>8</v>
      </c>
      <c r="AL382" t="n">
        <v>3</v>
      </c>
      <c r="AM382" t="n">
        <v>4</v>
      </c>
      <c r="AN382" t="n">
        <v>0</v>
      </c>
      <c r="AO382" t="n">
        <v>0</v>
      </c>
      <c r="AP382" t="inlineStr">
        <is>
          <t>No</t>
        </is>
      </c>
      <c r="AQ382" t="inlineStr">
        <is>
          <t>Yes</t>
        </is>
      </c>
      <c r="AR382">
        <f>HYPERLINK("http://catalog.hathitrust.org/Record/004926553","HathiTrust Record")</f>
        <v/>
      </c>
      <c r="AS382">
        <f>HYPERLINK("https://creighton-primo.hosted.exlibrisgroup.com/primo-explore/search?tab=default_tab&amp;search_scope=EVERYTHING&amp;vid=01CRU&amp;lang=en_US&amp;offset=0&amp;query=any,contains,991004481269702656","Catalog Record")</f>
        <v/>
      </c>
      <c r="AT382">
        <f>HYPERLINK("http://www.worldcat.org/oclc/54372487","WorldCat Record")</f>
        <v/>
      </c>
      <c r="AU382" t="inlineStr">
        <is>
          <t>366891:eng</t>
        </is>
      </c>
      <c r="AV382" t="inlineStr">
        <is>
          <t>54372487</t>
        </is>
      </c>
      <c r="AW382" t="inlineStr">
        <is>
          <t>991004481269702656</t>
        </is>
      </c>
      <c r="AX382" t="inlineStr">
        <is>
          <t>991004481269702656</t>
        </is>
      </c>
      <c r="AY382" t="inlineStr">
        <is>
          <t>2255762680002656</t>
        </is>
      </c>
      <c r="AZ382" t="inlineStr">
        <is>
          <t>BOOK</t>
        </is>
      </c>
      <c r="BB382" t="inlineStr">
        <is>
          <t>9780877667223</t>
        </is>
      </c>
      <c r="BC382" t="inlineStr">
        <is>
          <t>32285005049233</t>
        </is>
      </c>
      <c r="BD382" t="inlineStr">
        <is>
          <t>893263295</t>
        </is>
      </c>
    </row>
    <row r="383">
      <c r="A383" t="inlineStr">
        <is>
          <t>No</t>
        </is>
      </c>
      <c r="B383" t="inlineStr">
        <is>
          <t>HN59.2 .G78 2006</t>
        </is>
      </c>
      <c r="C383" t="inlineStr">
        <is>
          <t>0                      HN 0059200G  78          2006</t>
        </is>
      </c>
      <c r="D383" t="inlineStr">
        <is>
          <t>American vulgar : the politics of manipulation versus the culture of awareness / Robert Grudin.</t>
        </is>
      </c>
      <c r="F383" t="inlineStr">
        <is>
          <t>No</t>
        </is>
      </c>
      <c r="G383" t="inlineStr">
        <is>
          <t>1</t>
        </is>
      </c>
      <c r="H383" t="inlineStr">
        <is>
          <t>No</t>
        </is>
      </c>
      <c r="I383" t="inlineStr">
        <is>
          <t>No</t>
        </is>
      </c>
      <c r="J383" t="inlineStr">
        <is>
          <t>0</t>
        </is>
      </c>
      <c r="K383" t="inlineStr">
        <is>
          <t>Grudin, Robert.</t>
        </is>
      </c>
      <c r="L383" t="inlineStr">
        <is>
          <t>Emeryville, CA : Shoemaker and Hoard : Distributed by Publishers Group West, c2006.</t>
        </is>
      </c>
      <c r="M383" t="inlineStr">
        <is>
          <t>2006</t>
        </is>
      </c>
      <c r="O383" t="inlineStr">
        <is>
          <t>eng</t>
        </is>
      </c>
      <c r="P383" t="inlineStr">
        <is>
          <t>cau</t>
        </is>
      </c>
      <c r="R383" t="inlineStr">
        <is>
          <t xml:space="preserve">HN </t>
        </is>
      </c>
      <c r="S383" t="n">
        <v>2</v>
      </c>
      <c r="T383" t="n">
        <v>2</v>
      </c>
      <c r="U383" t="inlineStr">
        <is>
          <t>2007-01-04</t>
        </is>
      </c>
      <c r="V383" t="inlineStr">
        <is>
          <t>2007-01-04</t>
        </is>
      </c>
      <c r="W383" t="inlineStr">
        <is>
          <t>2007-01-04</t>
        </is>
      </c>
      <c r="X383" t="inlineStr">
        <is>
          <t>2007-01-04</t>
        </is>
      </c>
      <c r="Y383" t="n">
        <v>230</v>
      </c>
      <c r="Z383" t="n">
        <v>202</v>
      </c>
      <c r="AA383" t="n">
        <v>204</v>
      </c>
      <c r="AB383" t="n">
        <v>1</v>
      </c>
      <c r="AC383" t="n">
        <v>1</v>
      </c>
      <c r="AD383" t="n">
        <v>8</v>
      </c>
      <c r="AE383" t="n">
        <v>8</v>
      </c>
      <c r="AF383" t="n">
        <v>1</v>
      </c>
      <c r="AG383" t="n">
        <v>1</v>
      </c>
      <c r="AH383" t="n">
        <v>3</v>
      </c>
      <c r="AI383" t="n">
        <v>3</v>
      </c>
      <c r="AJ383" t="n">
        <v>7</v>
      </c>
      <c r="AK383" t="n">
        <v>7</v>
      </c>
      <c r="AL383" t="n">
        <v>0</v>
      </c>
      <c r="AM383" t="n">
        <v>0</v>
      </c>
      <c r="AN383" t="n">
        <v>0</v>
      </c>
      <c r="AO383" t="n">
        <v>0</v>
      </c>
      <c r="AP383" t="inlineStr">
        <is>
          <t>No</t>
        </is>
      </c>
      <c r="AQ383" t="inlineStr">
        <is>
          <t>No</t>
        </is>
      </c>
      <c r="AS383">
        <f>HYPERLINK("https://creighton-primo.hosted.exlibrisgroup.com/primo-explore/search?tab=default_tab&amp;search_scope=EVERYTHING&amp;vid=01CRU&amp;lang=en_US&amp;offset=0&amp;query=any,contains,991004993389702656","Catalog Record")</f>
        <v/>
      </c>
      <c r="AT383">
        <f>HYPERLINK("http://www.worldcat.org/oclc/65064279","WorldCat Record")</f>
        <v/>
      </c>
      <c r="AU383" t="inlineStr">
        <is>
          <t>3454935784:eng</t>
        </is>
      </c>
      <c r="AV383" t="inlineStr">
        <is>
          <t>65064279</t>
        </is>
      </c>
      <c r="AW383" t="inlineStr">
        <is>
          <t>991004993389702656</t>
        </is>
      </c>
      <c r="AX383" t="inlineStr">
        <is>
          <t>991004993389702656</t>
        </is>
      </c>
      <c r="AY383" t="inlineStr">
        <is>
          <t>2257582810002656</t>
        </is>
      </c>
      <c r="AZ383" t="inlineStr">
        <is>
          <t>BOOK</t>
        </is>
      </c>
      <c r="BB383" t="inlineStr">
        <is>
          <t>9781593761028</t>
        </is>
      </c>
      <c r="BC383" t="inlineStr">
        <is>
          <t>32285005268445</t>
        </is>
      </c>
      <c r="BD383" t="inlineStr">
        <is>
          <t>893628449</t>
        </is>
      </c>
    </row>
    <row r="384">
      <c r="A384" t="inlineStr">
        <is>
          <t>No</t>
        </is>
      </c>
      <c r="B384" t="inlineStr">
        <is>
          <t>HN59.2 .H33 2002</t>
        </is>
      </c>
      <c r="C384" t="inlineStr">
        <is>
          <t>0                      HN 0059200H  33          2002</t>
        </is>
      </c>
      <c r="D384" t="inlineStr">
        <is>
          <t>The divided welfare state : the battle over public and private social benefits in the United States / Jacob S. Hacker.</t>
        </is>
      </c>
      <c r="F384" t="inlineStr">
        <is>
          <t>No</t>
        </is>
      </c>
      <c r="G384" t="inlineStr">
        <is>
          <t>1</t>
        </is>
      </c>
      <c r="H384" t="inlineStr">
        <is>
          <t>No</t>
        </is>
      </c>
      <c r="I384" t="inlineStr">
        <is>
          <t>No</t>
        </is>
      </c>
      <c r="J384" t="inlineStr">
        <is>
          <t>0</t>
        </is>
      </c>
      <c r="K384" t="inlineStr">
        <is>
          <t>Hacker, Jacob S.</t>
        </is>
      </c>
      <c r="L384" t="inlineStr">
        <is>
          <t>New York : Cambridge University Press, c2002.</t>
        </is>
      </c>
      <c r="M384" t="inlineStr">
        <is>
          <t>2002</t>
        </is>
      </c>
      <c r="O384" t="inlineStr">
        <is>
          <t>eng</t>
        </is>
      </c>
      <c r="P384" t="inlineStr">
        <is>
          <t>nyu</t>
        </is>
      </c>
      <c r="R384" t="inlineStr">
        <is>
          <t xml:space="preserve">HN </t>
        </is>
      </c>
      <c r="S384" t="n">
        <v>3</v>
      </c>
      <c r="T384" t="n">
        <v>3</v>
      </c>
      <c r="U384" t="inlineStr">
        <is>
          <t>2008-09-25</t>
        </is>
      </c>
      <c r="V384" t="inlineStr">
        <is>
          <t>2008-09-25</t>
        </is>
      </c>
      <c r="W384" t="inlineStr">
        <is>
          <t>2002-12-03</t>
        </is>
      </c>
      <c r="X384" t="inlineStr">
        <is>
          <t>2002-12-03</t>
        </is>
      </c>
      <c r="Y384" t="n">
        <v>693</v>
      </c>
      <c r="Z384" t="n">
        <v>605</v>
      </c>
      <c r="AA384" t="n">
        <v>644</v>
      </c>
      <c r="AB384" t="n">
        <v>7</v>
      </c>
      <c r="AC384" t="n">
        <v>7</v>
      </c>
      <c r="AD384" t="n">
        <v>34</v>
      </c>
      <c r="AE384" t="n">
        <v>37</v>
      </c>
      <c r="AF384" t="n">
        <v>14</v>
      </c>
      <c r="AG384" t="n">
        <v>14</v>
      </c>
      <c r="AH384" t="n">
        <v>7</v>
      </c>
      <c r="AI384" t="n">
        <v>7</v>
      </c>
      <c r="AJ384" t="n">
        <v>15</v>
      </c>
      <c r="AK384" t="n">
        <v>18</v>
      </c>
      <c r="AL384" t="n">
        <v>6</v>
      </c>
      <c r="AM384" t="n">
        <v>6</v>
      </c>
      <c r="AN384" t="n">
        <v>1</v>
      </c>
      <c r="AO384" t="n">
        <v>1</v>
      </c>
      <c r="AP384" t="inlineStr">
        <is>
          <t>No</t>
        </is>
      </c>
      <c r="AQ384" t="inlineStr">
        <is>
          <t>No</t>
        </is>
      </c>
      <c r="AS384">
        <f>HYPERLINK("https://creighton-primo.hosted.exlibrisgroup.com/primo-explore/search?tab=default_tab&amp;search_scope=EVERYTHING&amp;vid=01CRU&amp;lang=en_US&amp;offset=0&amp;query=any,contains,991003927849702656","Catalog Record")</f>
        <v/>
      </c>
      <c r="AT384">
        <f>HYPERLINK("http://www.worldcat.org/oclc/49775413","WorldCat Record")</f>
        <v/>
      </c>
      <c r="AU384" t="inlineStr">
        <is>
          <t>838845792:eng</t>
        </is>
      </c>
      <c r="AV384" t="inlineStr">
        <is>
          <t>49775413</t>
        </is>
      </c>
      <c r="AW384" t="inlineStr">
        <is>
          <t>991003927849702656</t>
        </is>
      </c>
      <c r="AX384" t="inlineStr">
        <is>
          <t>991003927849702656</t>
        </is>
      </c>
      <c r="AY384" t="inlineStr">
        <is>
          <t>2258104150002656</t>
        </is>
      </c>
      <c r="AZ384" t="inlineStr">
        <is>
          <t>BOOK</t>
        </is>
      </c>
      <c r="BB384" t="inlineStr">
        <is>
          <t>9780521013284</t>
        </is>
      </c>
      <c r="BC384" t="inlineStr">
        <is>
          <t>32285004667217</t>
        </is>
      </c>
      <c r="BD384" t="inlineStr">
        <is>
          <t>893699600</t>
        </is>
      </c>
    </row>
    <row r="385">
      <c r="A385" t="inlineStr">
        <is>
          <t>No</t>
        </is>
      </c>
      <c r="B385" t="inlineStr">
        <is>
          <t>HN59.2 .H34 1999</t>
        </is>
      </c>
      <c r="C385" t="inlineStr">
        <is>
          <t>0                      HN 0059200H  34          1999</t>
        </is>
      </c>
      <c r="D385" t="inlineStr">
        <is>
          <t>Is America breaking apart? / John A. Hall and Charles Lindholm.</t>
        </is>
      </c>
      <c r="F385" t="inlineStr">
        <is>
          <t>No</t>
        </is>
      </c>
      <c r="G385" t="inlineStr">
        <is>
          <t>1</t>
        </is>
      </c>
      <c r="H385" t="inlineStr">
        <is>
          <t>No</t>
        </is>
      </c>
      <c r="I385" t="inlineStr">
        <is>
          <t>No</t>
        </is>
      </c>
      <c r="J385" t="inlineStr">
        <is>
          <t>0</t>
        </is>
      </c>
      <c r="K385" t="inlineStr">
        <is>
          <t>Hall, John A., 1949-</t>
        </is>
      </c>
      <c r="L385" t="inlineStr">
        <is>
          <t>Princeton, N.J. : Princeton University Press, c1999.</t>
        </is>
      </c>
      <c r="M385" t="inlineStr">
        <is>
          <t>1999</t>
        </is>
      </c>
      <c r="O385" t="inlineStr">
        <is>
          <t>eng</t>
        </is>
      </c>
      <c r="P385" t="inlineStr">
        <is>
          <t>nju</t>
        </is>
      </c>
      <c r="R385" t="inlineStr">
        <is>
          <t xml:space="preserve">HN </t>
        </is>
      </c>
      <c r="S385" t="n">
        <v>2</v>
      </c>
      <c r="T385" t="n">
        <v>2</v>
      </c>
      <c r="U385" t="inlineStr">
        <is>
          <t>1999-08-19</t>
        </is>
      </c>
      <c r="V385" t="inlineStr">
        <is>
          <t>1999-08-19</t>
        </is>
      </c>
      <c r="W385" t="inlineStr">
        <is>
          <t>1999-08-03</t>
        </is>
      </c>
      <c r="X385" t="inlineStr">
        <is>
          <t>1999-08-03</t>
        </is>
      </c>
      <c r="Y385" t="n">
        <v>746</v>
      </c>
      <c r="Z385" t="n">
        <v>667</v>
      </c>
      <c r="AA385" t="n">
        <v>752</v>
      </c>
      <c r="AB385" t="n">
        <v>3</v>
      </c>
      <c r="AC385" t="n">
        <v>5</v>
      </c>
      <c r="AD385" t="n">
        <v>28</v>
      </c>
      <c r="AE385" t="n">
        <v>31</v>
      </c>
      <c r="AF385" t="n">
        <v>12</v>
      </c>
      <c r="AG385" t="n">
        <v>12</v>
      </c>
      <c r="AH385" t="n">
        <v>7</v>
      </c>
      <c r="AI385" t="n">
        <v>8</v>
      </c>
      <c r="AJ385" t="n">
        <v>14</v>
      </c>
      <c r="AK385" t="n">
        <v>15</v>
      </c>
      <c r="AL385" t="n">
        <v>2</v>
      </c>
      <c r="AM385" t="n">
        <v>4</v>
      </c>
      <c r="AN385" t="n">
        <v>0</v>
      </c>
      <c r="AO385" t="n">
        <v>0</v>
      </c>
      <c r="AP385" t="inlineStr">
        <is>
          <t>No</t>
        </is>
      </c>
      <c r="AQ385" t="inlineStr">
        <is>
          <t>No</t>
        </is>
      </c>
      <c r="AS385">
        <f>HYPERLINK("https://creighton-primo.hosted.exlibrisgroup.com/primo-explore/search?tab=default_tab&amp;search_scope=EVERYTHING&amp;vid=01CRU&amp;lang=en_US&amp;offset=0&amp;query=any,contains,991002961769702656","Catalog Record")</f>
        <v/>
      </c>
      <c r="AT385">
        <f>HYPERLINK("http://www.worldcat.org/oclc/39624844","WorldCat Record")</f>
        <v/>
      </c>
      <c r="AU385" t="inlineStr">
        <is>
          <t>7767011:eng</t>
        </is>
      </c>
      <c r="AV385" t="inlineStr">
        <is>
          <t>39624844</t>
        </is>
      </c>
      <c r="AW385" t="inlineStr">
        <is>
          <t>991002961769702656</t>
        </is>
      </c>
      <c r="AX385" t="inlineStr">
        <is>
          <t>991002961769702656</t>
        </is>
      </c>
      <c r="AY385" t="inlineStr">
        <is>
          <t>2263928260002656</t>
        </is>
      </c>
      <c r="AZ385" t="inlineStr">
        <is>
          <t>BOOK</t>
        </is>
      </c>
      <c r="BB385" t="inlineStr">
        <is>
          <t>9780691004105</t>
        </is>
      </c>
      <c r="BC385" t="inlineStr">
        <is>
          <t>32285003579819</t>
        </is>
      </c>
      <c r="BD385" t="inlineStr">
        <is>
          <t>893505032</t>
        </is>
      </c>
    </row>
    <row r="386">
      <c r="A386" t="inlineStr">
        <is>
          <t>No</t>
        </is>
      </c>
      <c r="B386" t="inlineStr">
        <is>
          <t>HN59.2 .I79 2006</t>
        </is>
      </c>
      <c r="C386" t="inlineStr">
        <is>
          <t>0                      HN 0059200I  79          2006</t>
        </is>
      </c>
      <c r="D386" t="inlineStr">
        <is>
          <t>Is the American dream a myth? / Kate Burns, book editor.</t>
        </is>
      </c>
      <c r="F386" t="inlineStr">
        <is>
          <t>No</t>
        </is>
      </c>
      <c r="G386" t="inlineStr">
        <is>
          <t>1</t>
        </is>
      </c>
      <c r="H386" t="inlineStr">
        <is>
          <t>No</t>
        </is>
      </c>
      <c r="I386" t="inlineStr">
        <is>
          <t>No</t>
        </is>
      </c>
      <c r="J386" t="inlineStr">
        <is>
          <t>0</t>
        </is>
      </c>
      <c r="L386" t="inlineStr">
        <is>
          <t>Detroit : Greenhaven Press, c2006.</t>
        </is>
      </c>
      <c r="M386" t="inlineStr">
        <is>
          <t>2006</t>
        </is>
      </c>
      <c r="O386" t="inlineStr">
        <is>
          <t>eng</t>
        </is>
      </c>
      <c r="P386" t="inlineStr">
        <is>
          <t>miu</t>
        </is>
      </c>
      <c r="Q386" t="inlineStr">
        <is>
          <t>At issue series</t>
        </is>
      </c>
      <c r="R386" t="inlineStr">
        <is>
          <t xml:space="preserve">HN </t>
        </is>
      </c>
      <c r="S386" t="n">
        <v>1</v>
      </c>
      <c r="T386" t="n">
        <v>1</v>
      </c>
      <c r="U386" t="inlineStr">
        <is>
          <t>2008-02-05</t>
        </is>
      </c>
      <c r="V386" t="inlineStr">
        <is>
          <t>2008-02-05</t>
        </is>
      </c>
      <c r="W386" t="inlineStr">
        <is>
          <t>2008-02-05</t>
        </is>
      </c>
      <c r="X386" t="inlineStr">
        <is>
          <t>2008-02-05</t>
        </is>
      </c>
      <c r="Y386" t="n">
        <v>273</v>
      </c>
      <c r="Z386" t="n">
        <v>268</v>
      </c>
      <c r="AA386" t="n">
        <v>529</v>
      </c>
      <c r="AB386" t="n">
        <v>3</v>
      </c>
      <c r="AC386" t="n">
        <v>5</v>
      </c>
      <c r="AD386" t="n">
        <v>4</v>
      </c>
      <c r="AE386" t="n">
        <v>14</v>
      </c>
      <c r="AF386" t="n">
        <v>0</v>
      </c>
      <c r="AG386" t="n">
        <v>5</v>
      </c>
      <c r="AH386" t="n">
        <v>0</v>
      </c>
      <c r="AI386" t="n">
        <v>2</v>
      </c>
      <c r="AJ386" t="n">
        <v>2</v>
      </c>
      <c r="AK386" t="n">
        <v>4</v>
      </c>
      <c r="AL386" t="n">
        <v>2</v>
      </c>
      <c r="AM386" t="n">
        <v>4</v>
      </c>
      <c r="AN386" t="n">
        <v>0</v>
      </c>
      <c r="AO386" t="n">
        <v>0</v>
      </c>
      <c r="AP386" t="inlineStr">
        <is>
          <t>No</t>
        </is>
      </c>
      <c r="AQ386" t="inlineStr">
        <is>
          <t>Yes</t>
        </is>
      </c>
      <c r="AR386">
        <f>HYPERLINK("http://catalog.hathitrust.org/Record/007574325","HathiTrust Record")</f>
        <v/>
      </c>
      <c r="AS386">
        <f>HYPERLINK("https://creighton-primo.hosted.exlibrisgroup.com/primo-explore/search?tab=default_tab&amp;search_scope=EVERYTHING&amp;vid=01CRU&amp;lang=en_US&amp;offset=0&amp;query=any,contains,991005174049702656","Catalog Record")</f>
        <v/>
      </c>
      <c r="AT386">
        <f>HYPERLINK("http://www.worldcat.org/oclc/69241490","WorldCat Record")</f>
        <v/>
      </c>
      <c r="AU386" t="inlineStr">
        <is>
          <t>52593786:eng</t>
        </is>
      </c>
      <c r="AV386" t="inlineStr">
        <is>
          <t>69241490</t>
        </is>
      </c>
      <c r="AW386" t="inlineStr">
        <is>
          <t>991005174049702656</t>
        </is>
      </c>
      <c r="AX386" t="inlineStr">
        <is>
          <t>991005174049702656</t>
        </is>
      </c>
      <c r="AY386" t="inlineStr">
        <is>
          <t>2271390530002656</t>
        </is>
      </c>
      <c r="AZ386" t="inlineStr">
        <is>
          <t>BOOK</t>
        </is>
      </c>
      <c r="BB386" t="inlineStr">
        <is>
          <t>9780737734935</t>
        </is>
      </c>
      <c r="BC386" t="inlineStr">
        <is>
          <t>32285005392575</t>
        </is>
      </c>
      <c r="BD386" t="inlineStr">
        <is>
          <t>893520575</t>
        </is>
      </c>
    </row>
    <row r="387">
      <c r="A387" t="inlineStr">
        <is>
          <t>No</t>
        </is>
      </c>
      <c r="B387" t="inlineStr">
        <is>
          <t>HN59.2 .I798 2010</t>
        </is>
      </c>
      <c r="C387" t="inlineStr">
        <is>
          <t>0                      HN 0059200I  798         2010</t>
        </is>
      </c>
      <c r="D387" t="inlineStr">
        <is>
          <t>Issues for debate in social policy : selections from CQ researcher.</t>
        </is>
      </c>
      <c r="F387" t="inlineStr">
        <is>
          <t>No</t>
        </is>
      </c>
      <c r="G387" t="inlineStr">
        <is>
          <t>1</t>
        </is>
      </c>
      <c r="H387" t="inlineStr">
        <is>
          <t>No</t>
        </is>
      </c>
      <c r="I387" t="inlineStr">
        <is>
          <t>No</t>
        </is>
      </c>
      <c r="J387" t="inlineStr">
        <is>
          <t>0</t>
        </is>
      </c>
      <c r="L387" t="inlineStr">
        <is>
          <t>Thousand Oaks, Calif. : SAGE Publications, c2010.</t>
        </is>
      </c>
      <c r="M387" t="inlineStr">
        <is>
          <t>2010</t>
        </is>
      </c>
      <c r="O387" t="inlineStr">
        <is>
          <t>eng</t>
        </is>
      </c>
      <c r="P387" t="inlineStr">
        <is>
          <t>cau</t>
        </is>
      </c>
      <c r="R387" t="inlineStr">
        <is>
          <t xml:space="preserve">HN </t>
        </is>
      </c>
      <c r="S387" t="n">
        <v>1</v>
      </c>
      <c r="T387" t="n">
        <v>1</v>
      </c>
      <c r="U387" t="inlineStr">
        <is>
          <t>2010-10-11</t>
        </is>
      </c>
      <c r="V387" t="inlineStr">
        <is>
          <t>2010-10-11</t>
        </is>
      </c>
      <c r="W387" t="inlineStr">
        <is>
          <t>2010-10-11</t>
        </is>
      </c>
      <c r="X387" t="inlineStr">
        <is>
          <t>2010-10-11</t>
        </is>
      </c>
      <c r="Y387" t="n">
        <v>81</v>
      </c>
      <c r="Z387" t="n">
        <v>58</v>
      </c>
      <c r="AA387" t="n">
        <v>58</v>
      </c>
      <c r="AB387" t="n">
        <v>1</v>
      </c>
      <c r="AC387" t="n">
        <v>1</v>
      </c>
      <c r="AD387" t="n">
        <v>1</v>
      </c>
      <c r="AE387" t="n">
        <v>1</v>
      </c>
      <c r="AF387" t="n">
        <v>0</v>
      </c>
      <c r="AG387" t="n">
        <v>0</v>
      </c>
      <c r="AH387" t="n">
        <v>1</v>
      </c>
      <c r="AI387" t="n">
        <v>1</v>
      </c>
      <c r="AJ387" t="n">
        <v>1</v>
      </c>
      <c r="AK387" t="n">
        <v>1</v>
      </c>
      <c r="AL387" t="n">
        <v>0</v>
      </c>
      <c r="AM387" t="n">
        <v>0</v>
      </c>
      <c r="AN387" t="n">
        <v>0</v>
      </c>
      <c r="AO387" t="n">
        <v>0</v>
      </c>
      <c r="AP387" t="inlineStr">
        <is>
          <t>No</t>
        </is>
      </c>
      <c r="AQ387" t="inlineStr">
        <is>
          <t>No</t>
        </is>
      </c>
      <c r="AS387">
        <f>HYPERLINK("https://creighton-primo.hosted.exlibrisgroup.com/primo-explore/search?tab=default_tab&amp;search_scope=EVERYTHING&amp;vid=01CRU&amp;lang=en_US&amp;offset=0&amp;query=any,contains,991000172299702656","Catalog Record")</f>
        <v/>
      </c>
      <c r="AT387">
        <f>HYPERLINK("http://www.worldcat.org/oclc/377841969","WorldCat Record")</f>
        <v/>
      </c>
      <c r="AU387" t="inlineStr">
        <is>
          <t>10033141871:eng</t>
        </is>
      </c>
      <c r="AV387" t="inlineStr">
        <is>
          <t>377841969</t>
        </is>
      </c>
      <c r="AW387" t="inlineStr">
        <is>
          <t>991000172299702656</t>
        </is>
      </c>
      <c r="AX387" t="inlineStr">
        <is>
          <t>991000172299702656</t>
        </is>
      </c>
      <c r="AY387" t="inlineStr">
        <is>
          <t>2270258440002656</t>
        </is>
      </c>
      <c r="AZ387" t="inlineStr">
        <is>
          <t>BOOK</t>
        </is>
      </c>
      <c r="BB387" t="inlineStr">
        <is>
          <t>9781412979412</t>
        </is>
      </c>
      <c r="BC387" t="inlineStr">
        <is>
          <t>32285005599450</t>
        </is>
      </c>
      <c r="BD387" t="inlineStr">
        <is>
          <t>893865158</t>
        </is>
      </c>
    </row>
    <row r="388">
      <c r="A388" t="inlineStr">
        <is>
          <t>No</t>
        </is>
      </c>
      <c r="B388" t="inlineStr">
        <is>
          <t>HN59.2 .J46 1992</t>
        </is>
      </c>
      <c r="C388" t="inlineStr">
        <is>
          <t>0                      HN 0059200J  46          1992</t>
        </is>
      </c>
      <c r="D388" t="inlineStr">
        <is>
          <t>Rethinking social policy : race, poverty, and the underclass / Christopher Jencks.</t>
        </is>
      </c>
      <c r="F388" t="inlineStr">
        <is>
          <t>No</t>
        </is>
      </c>
      <c r="G388" t="inlineStr">
        <is>
          <t>1</t>
        </is>
      </c>
      <c r="H388" t="inlineStr">
        <is>
          <t>No</t>
        </is>
      </c>
      <c r="I388" t="inlineStr">
        <is>
          <t>Yes</t>
        </is>
      </c>
      <c r="J388" t="inlineStr">
        <is>
          <t>0</t>
        </is>
      </c>
      <c r="K388" t="inlineStr">
        <is>
          <t>Jencks, Christopher.</t>
        </is>
      </c>
      <c r="L388" t="inlineStr">
        <is>
          <t>Cambridge, Mass. : Harvard University Press, 1992.</t>
        </is>
      </c>
      <c r="M388" t="inlineStr">
        <is>
          <t>1992</t>
        </is>
      </c>
      <c r="O388" t="inlineStr">
        <is>
          <t>eng</t>
        </is>
      </c>
      <c r="P388" t="inlineStr">
        <is>
          <t>mau</t>
        </is>
      </c>
      <c r="R388" t="inlineStr">
        <is>
          <t xml:space="preserve">HN </t>
        </is>
      </c>
      <c r="S388" t="n">
        <v>11</v>
      </c>
      <c r="T388" t="n">
        <v>11</v>
      </c>
      <c r="U388" t="inlineStr">
        <is>
          <t>1998-10-27</t>
        </is>
      </c>
      <c r="V388" t="inlineStr">
        <is>
          <t>1998-10-27</t>
        </is>
      </c>
      <c r="W388" t="inlineStr">
        <is>
          <t>1992-05-22</t>
        </is>
      </c>
      <c r="X388" t="inlineStr">
        <is>
          <t>1992-05-22</t>
        </is>
      </c>
      <c r="Y388" t="n">
        <v>1003</v>
      </c>
      <c r="Z388" t="n">
        <v>843</v>
      </c>
      <c r="AA388" t="n">
        <v>1088</v>
      </c>
      <c r="AB388" t="n">
        <v>7</v>
      </c>
      <c r="AC388" t="n">
        <v>7</v>
      </c>
      <c r="AD388" t="n">
        <v>34</v>
      </c>
      <c r="AE388" t="n">
        <v>50</v>
      </c>
      <c r="AF388" t="n">
        <v>13</v>
      </c>
      <c r="AG388" t="n">
        <v>22</v>
      </c>
      <c r="AH388" t="n">
        <v>6</v>
      </c>
      <c r="AI388" t="n">
        <v>6</v>
      </c>
      <c r="AJ388" t="n">
        <v>15</v>
      </c>
      <c r="AK388" t="n">
        <v>20</v>
      </c>
      <c r="AL388" t="n">
        <v>5</v>
      </c>
      <c r="AM388" t="n">
        <v>5</v>
      </c>
      <c r="AN388" t="n">
        <v>2</v>
      </c>
      <c r="AO388" t="n">
        <v>6</v>
      </c>
      <c r="AP388" t="inlineStr">
        <is>
          <t>No</t>
        </is>
      </c>
      <c r="AQ388" t="inlineStr">
        <is>
          <t>Yes</t>
        </is>
      </c>
      <c r="AR388">
        <f>HYPERLINK("http://catalog.hathitrust.org/Record/002516323","HathiTrust Record")</f>
        <v/>
      </c>
      <c r="AS388">
        <f>HYPERLINK("https://creighton-primo.hosted.exlibrisgroup.com/primo-explore/search?tab=default_tab&amp;search_scope=EVERYTHING&amp;vid=01CRU&amp;lang=en_US&amp;offset=0&amp;query=any,contains,991001898469702656","Catalog Record")</f>
        <v/>
      </c>
      <c r="AT388">
        <f>HYPERLINK("http://www.worldcat.org/oclc/23975524","WorldCat Record")</f>
        <v/>
      </c>
      <c r="AU388" t="inlineStr">
        <is>
          <t>325613:eng</t>
        </is>
      </c>
      <c r="AV388" t="inlineStr">
        <is>
          <t>23975524</t>
        </is>
      </c>
      <c r="AW388" t="inlineStr">
        <is>
          <t>991001898469702656</t>
        </is>
      </c>
      <c r="AX388" t="inlineStr">
        <is>
          <t>991001898469702656</t>
        </is>
      </c>
      <c r="AY388" t="inlineStr">
        <is>
          <t>2270434500002656</t>
        </is>
      </c>
      <c r="AZ388" t="inlineStr">
        <is>
          <t>BOOK</t>
        </is>
      </c>
      <c r="BB388" t="inlineStr">
        <is>
          <t>9780674766785</t>
        </is>
      </c>
      <c r="BC388" t="inlineStr">
        <is>
          <t>32285001118768</t>
        </is>
      </c>
      <c r="BD388" t="inlineStr">
        <is>
          <t>893803976</t>
        </is>
      </c>
    </row>
    <row r="389">
      <c r="A389" t="inlineStr">
        <is>
          <t>No</t>
        </is>
      </c>
      <c r="B389" t="inlineStr">
        <is>
          <t>HN59.2 .J46 1993</t>
        </is>
      </c>
      <c r="C389" t="inlineStr">
        <is>
          <t>0                      HN 0059200J  46          1993</t>
        </is>
      </c>
      <c r="D389" t="inlineStr">
        <is>
          <t>Rethinking social policy : race, poverty, and the underclass / Christopher Jencks.</t>
        </is>
      </c>
      <c r="F389" t="inlineStr">
        <is>
          <t>No</t>
        </is>
      </c>
      <c r="G389" t="inlineStr">
        <is>
          <t>1</t>
        </is>
      </c>
      <c r="H389" t="inlineStr">
        <is>
          <t>No</t>
        </is>
      </c>
      <c r="I389" t="inlineStr">
        <is>
          <t>Yes</t>
        </is>
      </c>
      <c r="J389" t="inlineStr">
        <is>
          <t>0</t>
        </is>
      </c>
      <c r="K389" t="inlineStr">
        <is>
          <t>Jencks, Christopher.</t>
        </is>
      </c>
      <c r="L389" t="inlineStr">
        <is>
          <t>New York : HarperPerennial, 1993.</t>
        </is>
      </c>
      <c r="M389" t="inlineStr">
        <is>
          <t>1993</t>
        </is>
      </c>
      <c r="N389" t="inlineStr">
        <is>
          <t>1st HarperPerennial ed.</t>
        </is>
      </c>
      <c r="O389" t="inlineStr">
        <is>
          <t>eng</t>
        </is>
      </c>
      <c r="P389" t="inlineStr">
        <is>
          <t>nyu</t>
        </is>
      </c>
      <c r="R389" t="inlineStr">
        <is>
          <t xml:space="preserve">HN </t>
        </is>
      </c>
      <c r="S389" t="n">
        <v>6</v>
      </c>
      <c r="T389" t="n">
        <v>6</v>
      </c>
      <c r="U389" t="inlineStr">
        <is>
          <t>2009-04-07</t>
        </is>
      </c>
      <c r="V389" t="inlineStr">
        <is>
          <t>2009-04-07</t>
        </is>
      </c>
      <c r="W389" t="inlineStr">
        <is>
          <t>1995-12-27</t>
        </is>
      </c>
      <c r="X389" t="inlineStr">
        <is>
          <t>1995-12-27</t>
        </is>
      </c>
      <c r="Y389" t="n">
        <v>335</v>
      </c>
      <c r="Z389" t="n">
        <v>292</v>
      </c>
      <c r="AA389" t="n">
        <v>1088</v>
      </c>
      <c r="AB389" t="n">
        <v>1</v>
      </c>
      <c r="AC389" t="n">
        <v>7</v>
      </c>
      <c r="AD389" t="n">
        <v>18</v>
      </c>
      <c r="AE389" t="n">
        <v>50</v>
      </c>
      <c r="AF389" t="n">
        <v>9</v>
      </c>
      <c r="AG389" t="n">
        <v>22</v>
      </c>
      <c r="AH389" t="n">
        <v>1</v>
      </c>
      <c r="AI389" t="n">
        <v>6</v>
      </c>
      <c r="AJ389" t="n">
        <v>5</v>
      </c>
      <c r="AK389" t="n">
        <v>20</v>
      </c>
      <c r="AL389" t="n">
        <v>0</v>
      </c>
      <c r="AM389" t="n">
        <v>5</v>
      </c>
      <c r="AN389" t="n">
        <v>5</v>
      </c>
      <c r="AO389" t="n">
        <v>6</v>
      </c>
      <c r="AP389" t="inlineStr">
        <is>
          <t>No</t>
        </is>
      </c>
      <c r="AQ389" t="inlineStr">
        <is>
          <t>No</t>
        </is>
      </c>
      <c r="AS389">
        <f>HYPERLINK("https://creighton-primo.hosted.exlibrisgroup.com/primo-explore/search?tab=default_tab&amp;search_scope=EVERYTHING&amp;vid=01CRU&amp;lang=en_US&amp;offset=0&amp;query=any,contains,991002115679702656","Catalog Record")</f>
        <v/>
      </c>
      <c r="AT389">
        <f>HYPERLINK("http://www.worldcat.org/oclc/27108656","WorldCat Record")</f>
        <v/>
      </c>
      <c r="AU389" t="inlineStr">
        <is>
          <t>325613:eng</t>
        </is>
      </c>
      <c r="AV389" t="inlineStr">
        <is>
          <t>27108656</t>
        </is>
      </c>
      <c r="AW389" t="inlineStr">
        <is>
          <t>991002115679702656</t>
        </is>
      </c>
      <c r="AX389" t="inlineStr">
        <is>
          <t>991002115679702656</t>
        </is>
      </c>
      <c r="AY389" t="inlineStr">
        <is>
          <t>2261319700002656</t>
        </is>
      </c>
      <c r="AZ389" t="inlineStr">
        <is>
          <t>BOOK</t>
        </is>
      </c>
      <c r="BB389" t="inlineStr">
        <is>
          <t>9780060975340</t>
        </is>
      </c>
      <c r="BC389" t="inlineStr">
        <is>
          <t>32285002114329</t>
        </is>
      </c>
      <c r="BD389" t="inlineStr">
        <is>
          <t>893898402</t>
        </is>
      </c>
    </row>
    <row r="390">
      <c r="A390" t="inlineStr">
        <is>
          <t>No</t>
        </is>
      </c>
      <c r="B390" t="inlineStr">
        <is>
          <t>HN59.2 .K56 2001</t>
        </is>
      </c>
      <c r="C390" t="inlineStr">
        <is>
          <t>0                      HN 0059200K  56          2001</t>
        </is>
      </c>
      <c r="D390" t="inlineStr">
        <is>
          <t>Pros and cons : social policy debates of our times / S. Clara Kim.</t>
        </is>
      </c>
      <c r="F390" t="inlineStr">
        <is>
          <t>No</t>
        </is>
      </c>
      <c r="G390" t="inlineStr">
        <is>
          <t>1</t>
        </is>
      </c>
      <c r="H390" t="inlineStr">
        <is>
          <t>No</t>
        </is>
      </c>
      <c r="I390" t="inlineStr">
        <is>
          <t>No</t>
        </is>
      </c>
      <c r="J390" t="inlineStr">
        <is>
          <t>0</t>
        </is>
      </c>
      <c r="K390" t="inlineStr">
        <is>
          <t>Kim, S. Clara.</t>
        </is>
      </c>
      <c r="L390" t="inlineStr">
        <is>
          <t>Boston : Allyn and Bacon, 2001.</t>
        </is>
      </c>
      <c r="M390" t="inlineStr">
        <is>
          <t>2001</t>
        </is>
      </c>
      <c r="O390" t="inlineStr">
        <is>
          <t>eng</t>
        </is>
      </c>
      <c r="P390" t="inlineStr">
        <is>
          <t>mau</t>
        </is>
      </c>
      <c r="R390" t="inlineStr">
        <is>
          <t xml:space="preserve">HN </t>
        </is>
      </c>
      <c r="S390" t="n">
        <v>1</v>
      </c>
      <c r="T390" t="n">
        <v>1</v>
      </c>
      <c r="U390" t="inlineStr">
        <is>
          <t>2000-12-05</t>
        </is>
      </c>
      <c r="V390" t="inlineStr">
        <is>
          <t>2000-12-05</t>
        </is>
      </c>
      <c r="W390" t="inlineStr">
        <is>
          <t>2000-12-05</t>
        </is>
      </c>
      <c r="X390" t="inlineStr">
        <is>
          <t>2000-12-05</t>
        </is>
      </c>
      <c r="Y390" t="n">
        <v>177</v>
      </c>
      <c r="Z390" t="n">
        <v>167</v>
      </c>
      <c r="AA390" t="n">
        <v>172</v>
      </c>
      <c r="AB390" t="n">
        <v>2</v>
      </c>
      <c r="AC390" t="n">
        <v>2</v>
      </c>
      <c r="AD390" t="n">
        <v>6</v>
      </c>
      <c r="AE390" t="n">
        <v>6</v>
      </c>
      <c r="AF390" t="n">
        <v>2</v>
      </c>
      <c r="AG390" t="n">
        <v>2</v>
      </c>
      <c r="AH390" t="n">
        <v>1</v>
      </c>
      <c r="AI390" t="n">
        <v>1</v>
      </c>
      <c r="AJ390" t="n">
        <v>3</v>
      </c>
      <c r="AK390" t="n">
        <v>3</v>
      </c>
      <c r="AL390" t="n">
        <v>1</v>
      </c>
      <c r="AM390" t="n">
        <v>1</v>
      </c>
      <c r="AN390" t="n">
        <v>0</v>
      </c>
      <c r="AO390" t="n">
        <v>0</v>
      </c>
      <c r="AP390" t="inlineStr">
        <is>
          <t>No</t>
        </is>
      </c>
      <c r="AQ390" t="inlineStr">
        <is>
          <t>No</t>
        </is>
      </c>
      <c r="AS390">
        <f>HYPERLINK("https://creighton-primo.hosted.exlibrisgroup.com/primo-explore/search?tab=default_tab&amp;search_scope=EVERYTHING&amp;vid=01CRU&amp;lang=en_US&amp;offset=0&amp;query=any,contains,991003315609702656","Catalog Record")</f>
        <v/>
      </c>
      <c r="AT390">
        <f>HYPERLINK("http://www.worldcat.org/oclc/43063158","WorldCat Record")</f>
        <v/>
      </c>
      <c r="AU390" t="inlineStr">
        <is>
          <t>27782450:eng</t>
        </is>
      </c>
      <c r="AV390" t="inlineStr">
        <is>
          <t>43063158</t>
        </is>
      </c>
      <c r="AW390" t="inlineStr">
        <is>
          <t>991003315609702656</t>
        </is>
      </c>
      <c r="AX390" t="inlineStr">
        <is>
          <t>991003315609702656</t>
        </is>
      </c>
      <c r="AY390" t="inlineStr">
        <is>
          <t>2261071740002656</t>
        </is>
      </c>
      <c r="AZ390" t="inlineStr">
        <is>
          <t>BOOK</t>
        </is>
      </c>
      <c r="BB390" t="inlineStr">
        <is>
          <t>9780205298402</t>
        </is>
      </c>
      <c r="BC390" t="inlineStr">
        <is>
          <t>32285004269790</t>
        </is>
      </c>
      <c r="BD390" t="inlineStr">
        <is>
          <t>893887350</t>
        </is>
      </c>
    </row>
    <row r="391">
      <c r="A391" t="inlineStr">
        <is>
          <t>No</t>
        </is>
      </c>
      <c r="B391" t="inlineStr">
        <is>
          <t>HN59.2 .L38 2002</t>
        </is>
      </c>
      <c r="C391" t="inlineStr">
        <is>
          <t>0                      HN 0059200L  38          2002</t>
        </is>
      </c>
      <c r="D391" t="inlineStr">
        <is>
          <t>Aliens in America : the strange truth about our souls / Peter Augustine Lawler.</t>
        </is>
      </c>
      <c r="F391" t="inlineStr">
        <is>
          <t>No</t>
        </is>
      </c>
      <c r="G391" t="inlineStr">
        <is>
          <t>1</t>
        </is>
      </c>
      <c r="H391" t="inlineStr">
        <is>
          <t>No</t>
        </is>
      </c>
      <c r="I391" t="inlineStr">
        <is>
          <t>No</t>
        </is>
      </c>
      <c r="J391" t="inlineStr">
        <is>
          <t>0</t>
        </is>
      </c>
      <c r="K391" t="inlineStr">
        <is>
          <t>Lawler, Peter Augustine.</t>
        </is>
      </c>
      <c r="L391" t="inlineStr">
        <is>
          <t>Wilmington, Del. : ISI Books, 2002.</t>
        </is>
      </c>
      <c r="M391" t="inlineStr">
        <is>
          <t>2002</t>
        </is>
      </c>
      <c r="O391" t="inlineStr">
        <is>
          <t>eng</t>
        </is>
      </c>
      <c r="P391" t="inlineStr">
        <is>
          <t>deu</t>
        </is>
      </c>
      <c r="R391" t="inlineStr">
        <is>
          <t xml:space="preserve">HN </t>
        </is>
      </c>
      <c r="S391" t="n">
        <v>1</v>
      </c>
      <c r="T391" t="n">
        <v>1</v>
      </c>
      <c r="U391" t="inlineStr">
        <is>
          <t>2004-08-23</t>
        </is>
      </c>
      <c r="V391" t="inlineStr">
        <is>
          <t>2004-08-23</t>
        </is>
      </c>
      <c r="W391" t="inlineStr">
        <is>
          <t>2004-08-23</t>
        </is>
      </c>
      <c r="X391" t="inlineStr">
        <is>
          <t>2004-08-23</t>
        </is>
      </c>
      <c r="Y391" t="n">
        <v>391</v>
      </c>
      <c r="Z391" t="n">
        <v>364</v>
      </c>
      <c r="AA391" t="n">
        <v>368</v>
      </c>
      <c r="AB391" t="n">
        <v>3</v>
      </c>
      <c r="AC391" t="n">
        <v>3</v>
      </c>
      <c r="AD391" t="n">
        <v>21</v>
      </c>
      <c r="AE391" t="n">
        <v>22</v>
      </c>
      <c r="AF391" t="n">
        <v>7</v>
      </c>
      <c r="AG391" t="n">
        <v>7</v>
      </c>
      <c r="AH391" t="n">
        <v>6</v>
      </c>
      <c r="AI391" t="n">
        <v>6</v>
      </c>
      <c r="AJ391" t="n">
        <v>11</v>
      </c>
      <c r="AK391" t="n">
        <v>12</v>
      </c>
      <c r="AL391" t="n">
        <v>2</v>
      </c>
      <c r="AM391" t="n">
        <v>2</v>
      </c>
      <c r="AN391" t="n">
        <v>0</v>
      </c>
      <c r="AO391" t="n">
        <v>0</v>
      </c>
      <c r="AP391" t="inlineStr">
        <is>
          <t>No</t>
        </is>
      </c>
      <c r="AQ391" t="inlineStr">
        <is>
          <t>Yes</t>
        </is>
      </c>
      <c r="AR391">
        <f>HYPERLINK("http://catalog.hathitrust.org/Record/004263195","HathiTrust Record")</f>
        <v/>
      </c>
      <c r="AS391">
        <f>HYPERLINK("https://creighton-primo.hosted.exlibrisgroup.com/primo-explore/search?tab=default_tab&amp;search_scope=EVERYTHING&amp;vid=01CRU&amp;lang=en_US&amp;offset=0&amp;query=any,contains,991004354169702656","Catalog Record")</f>
        <v/>
      </c>
      <c r="AT391">
        <f>HYPERLINK("http://www.worldcat.org/oclc/50238412","WorldCat Record")</f>
        <v/>
      </c>
      <c r="AU391" t="inlineStr">
        <is>
          <t>476058637:eng</t>
        </is>
      </c>
      <c r="AV391" t="inlineStr">
        <is>
          <t>50238412</t>
        </is>
      </c>
      <c r="AW391" t="inlineStr">
        <is>
          <t>991004354169702656</t>
        </is>
      </c>
      <c r="AX391" t="inlineStr">
        <is>
          <t>991004354169702656</t>
        </is>
      </c>
      <c r="AY391" t="inlineStr">
        <is>
          <t>2263237320002656</t>
        </is>
      </c>
      <c r="AZ391" t="inlineStr">
        <is>
          <t>BOOK</t>
        </is>
      </c>
      <c r="BB391" t="inlineStr">
        <is>
          <t>9781882926718</t>
        </is>
      </c>
      <c r="BC391" t="inlineStr">
        <is>
          <t>32285004982954</t>
        </is>
      </c>
      <c r="BD391" t="inlineStr">
        <is>
          <t>893259622</t>
        </is>
      </c>
    </row>
    <row r="392">
      <c r="A392" t="inlineStr">
        <is>
          <t>No</t>
        </is>
      </c>
      <c r="B392" t="inlineStr">
        <is>
          <t>HN59.2 .L54 1988</t>
        </is>
      </c>
      <c r="C392" t="inlineStr">
        <is>
          <t>0                      HN 0059200L  54          1988</t>
        </is>
      </c>
      <c r="D392" t="inlineStr">
        <is>
          <t>Baby boomers / Paul C. Light.</t>
        </is>
      </c>
      <c r="F392" t="inlineStr">
        <is>
          <t>No</t>
        </is>
      </c>
      <c r="G392" t="inlineStr">
        <is>
          <t>1</t>
        </is>
      </c>
      <c r="H392" t="inlineStr">
        <is>
          <t>No</t>
        </is>
      </c>
      <c r="I392" t="inlineStr">
        <is>
          <t>No</t>
        </is>
      </c>
      <c r="J392" t="inlineStr">
        <is>
          <t>0</t>
        </is>
      </c>
      <c r="K392" t="inlineStr">
        <is>
          <t>Light, Paul Charles.</t>
        </is>
      </c>
      <c r="L392" t="inlineStr">
        <is>
          <t>New York : Norton, 1988.</t>
        </is>
      </c>
      <c r="M392" t="inlineStr">
        <is>
          <t>1988</t>
        </is>
      </c>
      <c r="N392" t="inlineStr">
        <is>
          <t>1st ed.</t>
        </is>
      </c>
      <c r="O392" t="inlineStr">
        <is>
          <t>eng</t>
        </is>
      </c>
      <c r="P392" t="inlineStr">
        <is>
          <t>nyu</t>
        </is>
      </c>
      <c r="R392" t="inlineStr">
        <is>
          <t xml:space="preserve">HN </t>
        </is>
      </c>
      <c r="S392" t="n">
        <v>9</v>
      </c>
      <c r="T392" t="n">
        <v>9</v>
      </c>
      <c r="U392" t="inlineStr">
        <is>
          <t>1999-04-14</t>
        </is>
      </c>
      <c r="V392" t="inlineStr">
        <is>
          <t>1999-04-14</t>
        </is>
      </c>
      <c r="W392" t="inlineStr">
        <is>
          <t>1990-03-20</t>
        </is>
      </c>
      <c r="X392" t="inlineStr">
        <is>
          <t>1990-03-20</t>
        </is>
      </c>
      <c r="Y392" t="n">
        <v>711</v>
      </c>
      <c r="Z392" t="n">
        <v>656</v>
      </c>
      <c r="AA392" t="n">
        <v>682</v>
      </c>
      <c r="AB392" t="n">
        <v>3</v>
      </c>
      <c r="AC392" t="n">
        <v>3</v>
      </c>
      <c r="AD392" t="n">
        <v>18</v>
      </c>
      <c r="AE392" t="n">
        <v>19</v>
      </c>
      <c r="AF392" t="n">
        <v>5</v>
      </c>
      <c r="AG392" t="n">
        <v>6</v>
      </c>
      <c r="AH392" t="n">
        <v>5</v>
      </c>
      <c r="AI392" t="n">
        <v>5</v>
      </c>
      <c r="AJ392" t="n">
        <v>11</v>
      </c>
      <c r="AK392" t="n">
        <v>11</v>
      </c>
      <c r="AL392" t="n">
        <v>2</v>
      </c>
      <c r="AM392" t="n">
        <v>2</v>
      </c>
      <c r="AN392" t="n">
        <v>0</v>
      </c>
      <c r="AO392" t="n">
        <v>0</v>
      </c>
      <c r="AP392" t="inlineStr">
        <is>
          <t>No</t>
        </is>
      </c>
      <c r="AQ392" t="inlineStr">
        <is>
          <t>No</t>
        </is>
      </c>
      <c r="AS392">
        <f>HYPERLINK("https://creighton-primo.hosted.exlibrisgroup.com/primo-explore/search?tab=default_tab&amp;search_scope=EVERYTHING&amp;vid=01CRU&amp;lang=en_US&amp;offset=0&amp;query=any,contains,991001145499702656","Catalog Record")</f>
        <v/>
      </c>
      <c r="AT392">
        <f>HYPERLINK("http://www.worldcat.org/oclc/16759164","WorldCat Record")</f>
        <v/>
      </c>
      <c r="AU392" t="inlineStr">
        <is>
          <t>13263422:eng</t>
        </is>
      </c>
      <c r="AV392" t="inlineStr">
        <is>
          <t>16759164</t>
        </is>
      </c>
      <c r="AW392" t="inlineStr">
        <is>
          <t>991001145499702656</t>
        </is>
      </c>
      <c r="AX392" t="inlineStr">
        <is>
          <t>991001145499702656</t>
        </is>
      </c>
      <c r="AY392" t="inlineStr">
        <is>
          <t>2261525350002656</t>
        </is>
      </c>
      <c r="AZ392" t="inlineStr">
        <is>
          <t>BOOK</t>
        </is>
      </c>
      <c r="BB392" t="inlineStr">
        <is>
          <t>9780393025248</t>
        </is>
      </c>
      <c r="BC392" t="inlineStr">
        <is>
          <t>32285000087162</t>
        </is>
      </c>
      <c r="BD392" t="inlineStr">
        <is>
          <t>893420114</t>
        </is>
      </c>
    </row>
    <row r="393">
      <c r="A393" t="inlineStr">
        <is>
          <t>No</t>
        </is>
      </c>
      <c r="B393" t="inlineStr">
        <is>
          <t>HN59.2 .M34 2005</t>
        </is>
      </c>
      <c r="C393" t="inlineStr">
        <is>
          <t>0                      HN 0059200M  34          2005</t>
        </is>
      </c>
      <c r="D393" t="inlineStr">
        <is>
          <t>Homeland / Dale Maharidge ; photographs by Michael Williams.</t>
        </is>
      </c>
      <c r="F393" t="inlineStr">
        <is>
          <t>No</t>
        </is>
      </c>
      <c r="G393" t="inlineStr">
        <is>
          <t>1</t>
        </is>
      </c>
      <c r="H393" t="inlineStr">
        <is>
          <t>No</t>
        </is>
      </c>
      <c r="I393" t="inlineStr">
        <is>
          <t>No</t>
        </is>
      </c>
      <c r="J393" t="inlineStr">
        <is>
          <t>0</t>
        </is>
      </c>
      <c r="K393" t="inlineStr">
        <is>
          <t>Maharidge, Dale.</t>
        </is>
      </c>
      <c r="L393" t="inlineStr">
        <is>
          <t>New York : Seven Stories Press ; London : Turnaround [distributor], 2005.</t>
        </is>
      </c>
      <c r="M393" t="inlineStr">
        <is>
          <t>2005</t>
        </is>
      </c>
      <c r="N393" t="inlineStr">
        <is>
          <t>1st Trade pbk. ed.</t>
        </is>
      </c>
      <c r="O393" t="inlineStr">
        <is>
          <t>eng</t>
        </is>
      </c>
      <c r="P393" t="inlineStr">
        <is>
          <t>nyu</t>
        </is>
      </c>
      <c r="R393" t="inlineStr">
        <is>
          <t xml:space="preserve">HN </t>
        </is>
      </c>
      <c r="S393" t="n">
        <v>1</v>
      </c>
      <c r="T393" t="n">
        <v>1</v>
      </c>
      <c r="U393" t="inlineStr">
        <is>
          <t>2006-02-03</t>
        </is>
      </c>
      <c r="V393" t="inlineStr">
        <is>
          <t>2006-02-03</t>
        </is>
      </c>
      <c r="W393" t="inlineStr">
        <is>
          <t>2006-02-03</t>
        </is>
      </c>
      <c r="X393" t="inlineStr">
        <is>
          <t>2006-02-03</t>
        </is>
      </c>
      <c r="Y393" t="n">
        <v>19</v>
      </c>
      <c r="Z393" t="n">
        <v>14</v>
      </c>
      <c r="AA393" t="n">
        <v>323</v>
      </c>
      <c r="AB393" t="n">
        <v>1</v>
      </c>
      <c r="AC393" t="n">
        <v>3</v>
      </c>
      <c r="AD393" t="n">
        <v>0</v>
      </c>
      <c r="AE393" t="n">
        <v>9</v>
      </c>
      <c r="AF393" t="n">
        <v>0</v>
      </c>
      <c r="AG393" t="n">
        <v>3</v>
      </c>
      <c r="AH393" t="n">
        <v>0</v>
      </c>
      <c r="AI393" t="n">
        <v>3</v>
      </c>
      <c r="AJ393" t="n">
        <v>0</v>
      </c>
      <c r="AK393" t="n">
        <v>4</v>
      </c>
      <c r="AL393" t="n">
        <v>0</v>
      </c>
      <c r="AM393" t="n">
        <v>2</v>
      </c>
      <c r="AN393" t="n">
        <v>0</v>
      </c>
      <c r="AO393" t="n">
        <v>0</v>
      </c>
      <c r="AP393" t="inlineStr">
        <is>
          <t>No</t>
        </is>
      </c>
      <c r="AQ393" t="inlineStr">
        <is>
          <t>No</t>
        </is>
      </c>
      <c r="AS393">
        <f>HYPERLINK("https://creighton-primo.hosted.exlibrisgroup.com/primo-explore/search?tab=default_tab&amp;search_scope=EVERYTHING&amp;vid=01CRU&amp;lang=en_US&amp;offset=0&amp;query=any,contains,991004714999702656","Catalog Record")</f>
        <v/>
      </c>
      <c r="AT393">
        <f>HYPERLINK("http://www.worldcat.org/oclc/60371404","WorldCat Record")</f>
        <v/>
      </c>
      <c r="AU393" t="inlineStr">
        <is>
          <t>12484550:eng</t>
        </is>
      </c>
      <c r="AV393" t="inlineStr">
        <is>
          <t>60371404</t>
        </is>
      </c>
      <c r="AW393" t="inlineStr">
        <is>
          <t>991004714999702656</t>
        </is>
      </c>
      <c r="AX393" t="inlineStr">
        <is>
          <t>991004714999702656</t>
        </is>
      </c>
      <c r="AY393" t="inlineStr">
        <is>
          <t>2268648570002656</t>
        </is>
      </c>
      <c r="AZ393" t="inlineStr">
        <is>
          <t>BOOK</t>
        </is>
      </c>
      <c r="BB393" t="inlineStr">
        <is>
          <t>9781583226810</t>
        </is>
      </c>
      <c r="BC393" t="inlineStr">
        <is>
          <t>32285005156764</t>
        </is>
      </c>
      <c r="BD393" t="inlineStr">
        <is>
          <t>893810658</t>
        </is>
      </c>
    </row>
    <row r="394">
      <c r="A394" t="inlineStr">
        <is>
          <t>No</t>
        </is>
      </c>
      <c r="B394" t="inlineStr">
        <is>
          <t>HN59.2 .M423 2002</t>
        </is>
      </c>
      <c r="C394" t="inlineStr">
        <is>
          <t>0                      HN 0059200M  423         2002</t>
        </is>
      </c>
      <c r="D394" t="inlineStr">
        <is>
          <t>Mcdonaldization : the reader / edited by George Ritzer.</t>
        </is>
      </c>
      <c r="F394" t="inlineStr">
        <is>
          <t>No</t>
        </is>
      </c>
      <c r="G394" t="inlineStr">
        <is>
          <t>1</t>
        </is>
      </c>
      <c r="H394" t="inlineStr">
        <is>
          <t>No</t>
        </is>
      </c>
      <c r="I394" t="inlineStr">
        <is>
          <t>No</t>
        </is>
      </c>
      <c r="J394" t="inlineStr">
        <is>
          <t>0</t>
        </is>
      </c>
      <c r="L394" t="inlineStr">
        <is>
          <t>Thousand Oaks, Calif. : Pine Forge Press, c2002.</t>
        </is>
      </c>
      <c r="M394" t="inlineStr">
        <is>
          <t>2002</t>
        </is>
      </c>
      <c r="O394" t="inlineStr">
        <is>
          <t>eng</t>
        </is>
      </c>
      <c r="P394" t="inlineStr">
        <is>
          <t>cau</t>
        </is>
      </c>
      <c r="R394" t="inlineStr">
        <is>
          <t xml:space="preserve">HN </t>
        </is>
      </c>
      <c r="S394" t="n">
        <v>5</v>
      </c>
      <c r="T394" t="n">
        <v>5</v>
      </c>
      <c r="U394" t="inlineStr">
        <is>
          <t>2008-03-16</t>
        </is>
      </c>
      <c r="V394" t="inlineStr">
        <is>
          <t>2008-03-16</t>
        </is>
      </c>
      <c r="W394" t="inlineStr">
        <is>
          <t>2005-01-04</t>
        </is>
      </c>
      <c r="X394" t="inlineStr">
        <is>
          <t>2005-01-04</t>
        </is>
      </c>
      <c r="Y394" t="n">
        <v>514</v>
      </c>
      <c r="Z394" t="n">
        <v>369</v>
      </c>
      <c r="AA394" t="n">
        <v>604</v>
      </c>
      <c r="AB394" t="n">
        <v>3</v>
      </c>
      <c r="AC394" t="n">
        <v>5</v>
      </c>
      <c r="AD394" t="n">
        <v>18</v>
      </c>
      <c r="AE394" t="n">
        <v>25</v>
      </c>
      <c r="AF394" t="n">
        <v>8</v>
      </c>
      <c r="AG394" t="n">
        <v>12</v>
      </c>
      <c r="AH394" t="n">
        <v>4</v>
      </c>
      <c r="AI394" t="n">
        <v>5</v>
      </c>
      <c r="AJ394" t="n">
        <v>9</v>
      </c>
      <c r="AK394" t="n">
        <v>12</v>
      </c>
      <c r="AL394" t="n">
        <v>2</v>
      </c>
      <c r="AM394" t="n">
        <v>4</v>
      </c>
      <c r="AN394" t="n">
        <v>0</v>
      </c>
      <c r="AO394" t="n">
        <v>0</v>
      </c>
      <c r="AP394" t="inlineStr">
        <is>
          <t>No</t>
        </is>
      </c>
      <c r="AQ394" t="inlineStr">
        <is>
          <t>No</t>
        </is>
      </c>
      <c r="AS394">
        <f>HYPERLINK("https://creighton-primo.hosted.exlibrisgroup.com/primo-explore/search?tab=default_tab&amp;search_scope=EVERYTHING&amp;vid=01CRU&amp;lang=en_US&amp;offset=0&amp;query=any,contains,991004440649702656","Catalog Record")</f>
        <v/>
      </c>
      <c r="AT394">
        <f>HYPERLINK("http://www.worldcat.org/oclc/48767608","WorldCat Record")</f>
        <v/>
      </c>
      <c r="AU394" t="inlineStr">
        <is>
          <t>3856873947:eng</t>
        </is>
      </c>
      <c r="AV394" t="inlineStr">
        <is>
          <t>48767608</t>
        </is>
      </c>
      <c r="AW394" t="inlineStr">
        <is>
          <t>991004440649702656</t>
        </is>
      </c>
      <c r="AX394" t="inlineStr">
        <is>
          <t>991004440649702656</t>
        </is>
      </c>
      <c r="AY394" t="inlineStr">
        <is>
          <t>2256682590002656</t>
        </is>
      </c>
      <c r="AZ394" t="inlineStr">
        <is>
          <t>BOOK</t>
        </is>
      </c>
      <c r="BB394" t="inlineStr">
        <is>
          <t>9780761987673</t>
        </is>
      </c>
      <c r="BC394" t="inlineStr">
        <is>
          <t>32285005018980</t>
        </is>
      </c>
      <c r="BD394" t="inlineStr">
        <is>
          <t>893253695</t>
        </is>
      </c>
    </row>
    <row r="395">
      <c r="A395" t="inlineStr">
        <is>
          <t>No</t>
        </is>
      </c>
      <c r="B395" t="inlineStr">
        <is>
          <t>HN59.2 .N37 1997</t>
        </is>
      </c>
      <c r="C395" t="inlineStr">
        <is>
          <t>0                      HN 0059200N  37          1997</t>
        </is>
      </c>
      <c r="D395" t="inlineStr">
        <is>
          <t>The national government and social welfare : what should be the federal role? / edited by John E. Hansan and Robert Morris.</t>
        </is>
      </c>
      <c r="F395" t="inlineStr">
        <is>
          <t>No</t>
        </is>
      </c>
      <c r="G395" t="inlineStr">
        <is>
          <t>1</t>
        </is>
      </c>
      <c r="H395" t="inlineStr">
        <is>
          <t>No</t>
        </is>
      </c>
      <c r="I395" t="inlineStr">
        <is>
          <t>No</t>
        </is>
      </c>
      <c r="J395" t="inlineStr">
        <is>
          <t>0</t>
        </is>
      </c>
      <c r="L395" t="inlineStr">
        <is>
          <t>Westport, Conn. : Auburn Books, 1997.</t>
        </is>
      </c>
      <c r="M395" t="inlineStr">
        <is>
          <t>1997</t>
        </is>
      </c>
      <c r="O395" t="inlineStr">
        <is>
          <t>eng</t>
        </is>
      </c>
      <c r="P395" t="inlineStr">
        <is>
          <t>ctu</t>
        </is>
      </c>
      <c r="R395" t="inlineStr">
        <is>
          <t xml:space="preserve">HN </t>
        </is>
      </c>
      <c r="S395" t="n">
        <v>7</v>
      </c>
      <c r="T395" t="n">
        <v>7</v>
      </c>
      <c r="U395" t="inlineStr">
        <is>
          <t>2004-02-24</t>
        </is>
      </c>
      <c r="V395" t="inlineStr">
        <is>
          <t>2004-02-24</t>
        </is>
      </c>
      <c r="W395" t="inlineStr">
        <is>
          <t>1998-11-09</t>
        </is>
      </c>
      <c r="X395" t="inlineStr">
        <is>
          <t>1998-11-09</t>
        </is>
      </c>
      <c r="Y395" t="n">
        <v>240</v>
      </c>
      <c r="Z395" t="n">
        <v>198</v>
      </c>
      <c r="AA395" t="n">
        <v>200</v>
      </c>
      <c r="AB395" t="n">
        <v>2</v>
      </c>
      <c r="AC395" t="n">
        <v>2</v>
      </c>
      <c r="AD395" t="n">
        <v>11</v>
      </c>
      <c r="AE395" t="n">
        <v>11</v>
      </c>
      <c r="AF395" t="n">
        <v>4</v>
      </c>
      <c r="AG395" t="n">
        <v>4</v>
      </c>
      <c r="AH395" t="n">
        <v>2</v>
      </c>
      <c r="AI395" t="n">
        <v>2</v>
      </c>
      <c r="AJ395" t="n">
        <v>7</v>
      </c>
      <c r="AK395" t="n">
        <v>7</v>
      </c>
      <c r="AL395" t="n">
        <v>1</v>
      </c>
      <c r="AM395" t="n">
        <v>1</v>
      </c>
      <c r="AN395" t="n">
        <v>0</v>
      </c>
      <c r="AO395" t="n">
        <v>0</v>
      </c>
      <c r="AP395" t="inlineStr">
        <is>
          <t>No</t>
        </is>
      </c>
      <c r="AQ395" t="inlineStr">
        <is>
          <t>Yes</t>
        </is>
      </c>
      <c r="AR395">
        <f>HYPERLINK("http://catalog.hathitrust.org/Record/003947179","HathiTrust Record")</f>
        <v/>
      </c>
      <c r="AS395">
        <f>HYPERLINK("https://creighton-primo.hosted.exlibrisgroup.com/primo-explore/search?tab=default_tab&amp;search_scope=EVERYTHING&amp;vid=01CRU&amp;lang=en_US&amp;offset=0&amp;query=any,contains,991002758539702656","Catalog Record")</f>
        <v/>
      </c>
      <c r="AT395">
        <f>HYPERLINK("http://www.worldcat.org/oclc/36178992","WorldCat Record")</f>
        <v/>
      </c>
      <c r="AU395" t="inlineStr">
        <is>
          <t>837059108:eng</t>
        </is>
      </c>
      <c r="AV395" t="inlineStr">
        <is>
          <t>36178992</t>
        </is>
      </c>
      <c r="AW395" t="inlineStr">
        <is>
          <t>991002758539702656</t>
        </is>
      </c>
      <c r="AX395" t="inlineStr">
        <is>
          <t>991002758539702656</t>
        </is>
      </c>
      <c r="AY395" t="inlineStr">
        <is>
          <t>2263010400002656</t>
        </is>
      </c>
      <c r="AZ395" t="inlineStr">
        <is>
          <t>BOOK</t>
        </is>
      </c>
      <c r="BB395" t="inlineStr">
        <is>
          <t>9780865692664</t>
        </is>
      </c>
      <c r="BC395" t="inlineStr">
        <is>
          <t>32285003486791</t>
        </is>
      </c>
      <c r="BD395" t="inlineStr">
        <is>
          <t>893685747</t>
        </is>
      </c>
    </row>
    <row r="396">
      <c r="A396" t="inlineStr">
        <is>
          <t>No</t>
        </is>
      </c>
      <c r="B396" t="inlineStr">
        <is>
          <t>HN59.2 .N68 2006</t>
        </is>
      </c>
      <c r="C396" t="inlineStr">
        <is>
          <t>0                      HN 0059200N  68          2006</t>
        </is>
      </c>
      <c r="D396" t="inlineStr">
        <is>
          <t>50+ : igniting a revolution to reinvent America / Bill Novelli with Boe Workman ; foreword by Steve Case.</t>
        </is>
      </c>
      <c r="F396" t="inlineStr">
        <is>
          <t>No</t>
        </is>
      </c>
      <c r="G396" t="inlineStr">
        <is>
          <t>1</t>
        </is>
      </c>
      <c r="H396" t="inlineStr">
        <is>
          <t>No</t>
        </is>
      </c>
      <c r="I396" t="inlineStr">
        <is>
          <t>No</t>
        </is>
      </c>
      <c r="J396" t="inlineStr">
        <is>
          <t>0</t>
        </is>
      </c>
      <c r="K396" t="inlineStr">
        <is>
          <t>Novelli, William D.</t>
        </is>
      </c>
      <c r="L396" t="inlineStr">
        <is>
          <t>New York : St. Martin's Press, 2006.</t>
        </is>
      </c>
      <c r="M396" t="inlineStr">
        <is>
          <t>2006</t>
        </is>
      </c>
      <c r="N396" t="inlineStr">
        <is>
          <t>1st ed.</t>
        </is>
      </c>
      <c r="O396" t="inlineStr">
        <is>
          <t>eng</t>
        </is>
      </c>
      <c r="P396" t="inlineStr">
        <is>
          <t>nyu</t>
        </is>
      </c>
      <c r="R396" t="inlineStr">
        <is>
          <t xml:space="preserve">HN </t>
        </is>
      </c>
      <c r="S396" t="n">
        <v>2</v>
      </c>
      <c r="T396" t="n">
        <v>2</v>
      </c>
      <c r="U396" t="inlineStr">
        <is>
          <t>2007-02-22</t>
        </is>
      </c>
      <c r="V396" t="inlineStr">
        <is>
          <t>2007-02-22</t>
        </is>
      </c>
      <c r="W396" t="inlineStr">
        <is>
          <t>2006-12-14</t>
        </is>
      </c>
      <c r="X396" t="inlineStr">
        <is>
          <t>2006-12-14</t>
        </is>
      </c>
      <c r="Y396" t="n">
        <v>689</v>
      </c>
      <c r="Z396" t="n">
        <v>651</v>
      </c>
      <c r="AA396" t="n">
        <v>727</v>
      </c>
      <c r="AB396" t="n">
        <v>7</v>
      </c>
      <c r="AC396" t="n">
        <v>7</v>
      </c>
      <c r="AD396" t="n">
        <v>13</v>
      </c>
      <c r="AE396" t="n">
        <v>13</v>
      </c>
      <c r="AF396" t="n">
        <v>3</v>
      </c>
      <c r="AG396" t="n">
        <v>3</v>
      </c>
      <c r="AH396" t="n">
        <v>3</v>
      </c>
      <c r="AI396" t="n">
        <v>3</v>
      </c>
      <c r="AJ396" t="n">
        <v>7</v>
      </c>
      <c r="AK396" t="n">
        <v>7</v>
      </c>
      <c r="AL396" t="n">
        <v>3</v>
      </c>
      <c r="AM396" t="n">
        <v>3</v>
      </c>
      <c r="AN396" t="n">
        <v>0</v>
      </c>
      <c r="AO396" t="n">
        <v>0</v>
      </c>
      <c r="AP396" t="inlineStr">
        <is>
          <t>No</t>
        </is>
      </c>
      <c r="AQ396" t="inlineStr">
        <is>
          <t>No</t>
        </is>
      </c>
      <c r="AS396">
        <f>HYPERLINK("https://creighton-primo.hosted.exlibrisgroup.com/primo-explore/search?tab=default_tab&amp;search_scope=EVERYTHING&amp;vid=01CRU&amp;lang=en_US&amp;offset=0&amp;query=any,contains,991004985699702656","Catalog Record")</f>
        <v/>
      </c>
      <c r="AT396">
        <f>HYPERLINK("http://www.worldcat.org/oclc/69028652","WorldCat Record")</f>
        <v/>
      </c>
      <c r="AU396" t="inlineStr">
        <is>
          <t>907462316:eng</t>
        </is>
      </c>
      <c r="AV396" t="inlineStr">
        <is>
          <t>69028652</t>
        </is>
      </c>
      <c r="AW396" t="inlineStr">
        <is>
          <t>991004985699702656</t>
        </is>
      </c>
      <c r="AX396" t="inlineStr">
        <is>
          <t>991004985699702656</t>
        </is>
      </c>
      <c r="AY396" t="inlineStr">
        <is>
          <t>2266693380002656</t>
        </is>
      </c>
      <c r="AZ396" t="inlineStr">
        <is>
          <t>BOOK</t>
        </is>
      </c>
      <c r="BB396" t="inlineStr">
        <is>
          <t>9780312355241</t>
        </is>
      </c>
      <c r="BC396" t="inlineStr">
        <is>
          <t>32285005266811</t>
        </is>
      </c>
      <c r="BD396" t="inlineStr">
        <is>
          <t>893507455</t>
        </is>
      </c>
    </row>
    <row r="397">
      <c r="A397" t="inlineStr">
        <is>
          <t>No</t>
        </is>
      </c>
      <c r="B397" t="inlineStr">
        <is>
          <t>HN59.2 .O97 2006</t>
        </is>
      </c>
      <c r="C397" t="inlineStr">
        <is>
          <t>0                      HN 0059200O  97          2006</t>
        </is>
      </c>
      <c r="D397" t="inlineStr">
        <is>
          <t>Our diverse society : race and ethnicity--implications for 21st century American society / David W. Engstrom, Lissette M. Piedra, editors.</t>
        </is>
      </c>
      <c r="F397" t="inlineStr">
        <is>
          <t>No</t>
        </is>
      </c>
      <c r="G397" t="inlineStr">
        <is>
          <t>1</t>
        </is>
      </c>
      <c r="H397" t="inlineStr">
        <is>
          <t>No</t>
        </is>
      </c>
      <c r="I397" t="inlineStr">
        <is>
          <t>No</t>
        </is>
      </c>
      <c r="J397" t="inlineStr">
        <is>
          <t>0</t>
        </is>
      </c>
      <c r="L397" t="inlineStr">
        <is>
          <t>Washington, DC : NASW Press, 2006.</t>
        </is>
      </c>
      <c r="M397" t="inlineStr">
        <is>
          <t>2006</t>
        </is>
      </c>
      <c r="N397" t="inlineStr">
        <is>
          <t>2nd ed.</t>
        </is>
      </c>
      <c r="O397" t="inlineStr">
        <is>
          <t>eng</t>
        </is>
      </c>
      <c r="P397" t="inlineStr">
        <is>
          <t>dcu</t>
        </is>
      </c>
      <c r="R397" t="inlineStr">
        <is>
          <t xml:space="preserve">HN </t>
        </is>
      </c>
      <c r="S397" t="n">
        <v>1</v>
      </c>
      <c r="T397" t="n">
        <v>1</v>
      </c>
      <c r="U397" t="inlineStr">
        <is>
          <t>2007-03-08</t>
        </is>
      </c>
      <c r="V397" t="inlineStr">
        <is>
          <t>2007-03-08</t>
        </is>
      </c>
      <c r="W397" t="inlineStr">
        <is>
          <t>2007-03-08</t>
        </is>
      </c>
      <c r="X397" t="inlineStr">
        <is>
          <t>2007-03-08</t>
        </is>
      </c>
      <c r="Y397" t="n">
        <v>266</v>
      </c>
      <c r="Z397" t="n">
        <v>245</v>
      </c>
      <c r="AA397" t="n">
        <v>250</v>
      </c>
      <c r="AB397" t="n">
        <v>3</v>
      </c>
      <c r="AC397" t="n">
        <v>3</v>
      </c>
      <c r="AD397" t="n">
        <v>17</v>
      </c>
      <c r="AE397" t="n">
        <v>17</v>
      </c>
      <c r="AF397" t="n">
        <v>7</v>
      </c>
      <c r="AG397" t="n">
        <v>7</v>
      </c>
      <c r="AH397" t="n">
        <v>3</v>
      </c>
      <c r="AI397" t="n">
        <v>3</v>
      </c>
      <c r="AJ397" t="n">
        <v>6</v>
      </c>
      <c r="AK397" t="n">
        <v>6</v>
      </c>
      <c r="AL397" t="n">
        <v>2</v>
      </c>
      <c r="AM397" t="n">
        <v>2</v>
      </c>
      <c r="AN397" t="n">
        <v>0</v>
      </c>
      <c r="AO397" t="n">
        <v>0</v>
      </c>
      <c r="AP397" t="inlineStr">
        <is>
          <t>No</t>
        </is>
      </c>
      <c r="AQ397" t="inlineStr">
        <is>
          <t>No</t>
        </is>
      </c>
      <c r="AS397">
        <f>HYPERLINK("https://creighton-primo.hosted.exlibrisgroup.com/primo-explore/search?tab=default_tab&amp;search_scope=EVERYTHING&amp;vid=01CRU&amp;lang=en_US&amp;offset=0&amp;query=any,contains,991005035719702656","Catalog Record")</f>
        <v/>
      </c>
      <c r="AT397">
        <f>HYPERLINK("http://www.worldcat.org/oclc/70107095","WorldCat Record")</f>
        <v/>
      </c>
      <c r="AU397" t="inlineStr">
        <is>
          <t>481199951:eng</t>
        </is>
      </c>
      <c r="AV397" t="inlineStr">
        <is>
          <t>70107095</t>
        </is>
      </c>
      <c r="AW397" t="inlineStr">
        <is>
          <t>991005035719702656</t>
        </is>
      </c>
      <c r="AX397" t="inlineStr">
        <is>
          <t>991005035719702656</t>
        </is>
      </c>
      <c r="AY397" t="inlineStr">
        <is>
          <t>2271780950002656</t>
        </is>
      </c>
      <c r="AZ397" t="inlineStr">
        <is>
          <t>BOOK</t>
        </is>
      </c>
      <c r="BB397" t="inlineStr">
        <is>
          <t>9780871013729</t>
        </is>
      </c>
      <c r="BC397" t="inlineStr">
        <is>
          <t>32285005280945</t>
        </is>
      </c>
      <c r="BD397" t="inlineStr">
        <is>
          <t>893430742</t>
        </is>
      </c>
    </row>
    <row r="398">
      <c r="A398" t="inlineStr">
        <is>
          <t>No</t>
        </is>
      </c>
      <c r="B398" t="inlineStr">
        <is>
          <t>HN59.2 .P52 1994</t>
        </is>
      </c>
      <c r="C398" t="inlineStr">
        <is>
          <t>0                      HN 0059200P  52          1994</t>
        </is>
      </c>
      <c r="D398" t="inlineStr">
        <is>
          <t>Dismantling the welfare state? : Reagan, Thatcher, and the politics of retrenchment / Paul Pierson.</t>
        </is>
      </c>
      <c r="F398" t="inlineStr">
        <is>
          <t>No</t>
        </is>
      </c>
      <c r="G398" t="inlineStr">
        <is>
          <t>1</t>
        </is>
      </c>
      <c r="H398" t="inlineStr">
        <is>
          <t>No</t>
        </is>
      </c>
      <c r="I398" t="inlineStr">
        <is>
          <t>No</t>
        </is>
      </c>
      <c r="J398" t="inlineStr">
        <is>
          <t>0</t>
        </is>
      </c>
      <c r="K398" t="inlineStr">
        <is>
          <t>Pierson, Paul.</t>
        </is>
      </c>
      <c r="L398" t="inlineStr">
        <is>
          <t>Cambridge, England ; New York : Cambridge University Press, 1994.</t>
        </is>
      </c>
      <c r="M398" t="inlineStr">
        <is>
          <t>1994</t>
        </is>
      </c>
      <c r="O398" t="inlineStr">
        <is>
          <t>eng</t>
        </is>
      </c>
      <c r="P398" t="inlineStr">
        <is>
          <t>enk</t>
        </is>
      </c>
      <c r="Q398" t="inlineStr">
        <is>
          <t>Cambridge studies in comparative politics</t>
        </is>
      </c>
      <c r="R398" t="inlineStr">
        <is>
          <t xml:space="preserve">HN </t>
        </is>
      </c>
      <c r="S398" t="n">
        <v>11</v>
      </c>
      <c r="T398" t="n">
        <v>11</v>
      </c>
      <c r="U398" t="inlineStr">
        <is>
          <t>1999-10-08</t>
        </is>
      </c>
      <c r="V398" t="inlineStr">
        <is>
          <t>1999-10-08</t>
        </is>
      </c>
      <c r="W398" t="inlineStr">
        <is>
          <t>1995-07-14</t>
        </is>
      </c>
      <c r="X398" t="inlineStr">
        <is>
          <t>1995-07-14</t>
        </is>
      </c>
      <c r="Y398" t="n">
        <v>585</v>
      </c>
      <c r="Z398" t="n">
        <v>410</v>
      </c>
      <c r="AA398" t="n">
        <v>482</v>
      </c>
      <c r="AB398" t="n">
        <v>2</v>
      </c>
      <c r="AC398" t="n">
        <v>2</v>
      </c>
      <c r="AD398" t="n">
        <v>23</v>
      </c>
      <c r="AE398" t="n">
        <v>28</v>
      </c>
      <c r="AF398" t="n">
        <v>7</v>
      </c>
      <c r="AG398" t="n">
        <v>10</v>
      </c>
      <c r="AH398" t="n">
        <v>5</v>
      </c>
      <c r="AI398" t="n">
        <v>7</v>
      </c>
      <c r="AJ398" t="n">
        <v>13</v>
      </c>
      <c r="AK398" t="n">
        <v>15</v>
      </c>
      <c r="AL398" t="n">
        <v>1</v>
      </c>
      <c r="AM398" t="n">
        <v>1</v>
      </c>
      <c r="AN398" t="n">
        <v>2</v>
      </c>
      <c r="AO398" t="n">
        <v>2</v>
      </c>
      <c r="AP398" t="inlineStr">
        <is>
          <t>No</t>
        </is>
      </c>
      <c r="AQ398" t="inlineStr">
        <is>
          <t>No</t>
        </is>
      </c>
      <c r="AS398">
        <f>HYPERLINK("https://creighton-primo.hosted.exlibrisgroup.com/primo-explore/search?tab=default_tab&amp;search_scope=EVERYTHING&amp;vid=01CRU&amp;lang=en_US&amp;offset=0&amp;query=any,contains,991002268049702656","Catalog Record")</f>
        <v/>
      </c>
      <c r="AT398">
        <f>HYPERLINK("http://www.worldcat.org/oclc/29428733","WorldCat Record")</f>
        <v/>
      </c>
      <c r="AU398" t="inlineStr">
        <is>
          <t>8017257:eng</t>
        </is>
      </c>
      <c r="AV398" t="inlineStr">
        <is>
          <t>29428733</t>
        </is>
      </c>
      <c r="AW398" t="inlineStr">
        <is>
          <t>991002268049702656</t>
        </is>
      </c>
      <c r="AX398" t="inlineStr">
        <is>
          <t>991002268049702656</t>
        </is>
      </c>
      <c r="AY398" t="inlineStr">
        <is>
          <t>2269852990002656</t>
        </is>
      </c>
      <c r="AZ398" t="inlineStr">
        <is>
          <t>BOOK</t>
        </is>
      </c>
      <c r="BB398" t="inlineStr">
        <is>
          <t>9780521403825</t>
        </is>
      </c>
      <c r="BC398" t="inlineStr">
        <is>
          <t>32285002054483</t>
        </is>
      </c>
      <c r="BD398" t="inlineStr">
        <is>
          <t>893867001</t>
        </is>
      </c>
    </row>
    <row r="399">
      <c r="A399" t="inlineStr">
        <is>
          <t>No</t>
        </is>
      </c>
      <c r="B399" t="inlineStr">
        <is>
          <t>HN59.2 .R433 2004</t>
        </is>
      </c>
      <c r="C399" t="inlineStr">
        <is>
          <t>0                      HN 0059200R  433         2004</t>
        </is>
      </c>
      <c r="D399" t="inlineStr">
        <is>
          <t>The real state of the Union : from the best minds in America, bold solutions to the problems politicians dare not address / [edited by] Ted Halstead.</t>
        </is>
      </c>
      <c r="F399" t="inlineStr">
        <is>
          <t>No</t>
        </is>
      </c>
      <c r="G399" t="inlineStr">
        <is>
          <t>1</t>
        </is>
      </c>
      <c r="H399" t="inlineStr">
        <is>
          <t>No</t>
        </is>
      </c>
      <c r="I399" t="inlineStr">
        <is>
          <t>No</t>
        </is>
      </c>
      <c r="J399" t="inlineStr">
        <is>
          <t>0</t>
        </is>
      </c>
      <c r="L399" t="inlineStr">
        <is>
          <t>New York : Basic Books, c2004.</t>
        </is>
      </c>
      <c r="M399" t="inlineStr">
        <is>
          <t>2004</t>
        </is>
      </c>
      <c r="O399" t="inlineStr">
        <is>
          <t>eng</t>
        </is>
      </c>
      <c r="P399" t="inlineStr">
        <is>
          <t>nyu</t>
        </is>
      </c>
      <c r="Q399" t="inlineStr">
        <is>
          <t>New America books</t>
        </is>
      </c>
      <c r="R399" t="inlineStr">
        <is>
          <t xml:space="preserve">HN </t>
        </is>
      </c>
      <c r="S399" t="n">
        <v>2</v>
      </c>
      <c r="T399" t="n">
        <v>2</v>
      </c>
      <c r="U399" t="inlineStr">
        <is>
          <t>2004-06-07</t>
        </is>
      </c>
      <c r="V399" t="inlineStr">
        <is>
          <t>2004-06-07</t>
        </is>
      </c>
      <c r="W399" t="inlineStr">
        <is>
          <t>2004-06-07</t>
        </is>
      </c>
      <c r="X399" t="inlineStr">
        <is>
          <t>2004-06-07</t>
        </is>
      </c>
      <c r="Y399" t="n">
        <v>248</v>
      </c>
      <c r="Z399" t="n">
        <v>229</v>
      </c>
      <c r="AA399" t="n">
        <v>251</v>
      </c>
      <c r="AB399" t="n">
        <v>1</v>
      </c>
      <c r="AC399" t="n">
        <v>1</v>
      </c>
      <c r="AD399" t="n">
        <v>7</v>
      </c>
      <c r="AE399" t="n">
        <v>7</v>
      </c>
      <c r="AF399" t="n">
        <v>3</v>
      </c>
      <c r="AG399" t="n">
        <v>3</v>
      </c>
      <c r="AH399" t="n">
        <v>3</v>
      </c>
      <c r="AI399" t="n">
        <v>3</v>
      </c>
      <c r="AJ399" t="n">
        <v>4</v>
      </c>
      <c r="AK399" t="n">
        <v>4</v>
      </c>
      <c r="AL399" t="n">
        <v>0</v>
      </c>
      <c r="AM399" t="n">
        <v>0</v>
      </c>
      <c r="AN399" t="n">
        <v>0</v>
      </c>
      <c r="AO399" t="n">
        <v>0</v>
      </c>
      <c r="AP399" t="inlineStr">
        <is>
          <t>No</t>
        </is>
      </c>
      <c r="AQ399" t="inlineStr">
        <is>
          <t>No</t>
        </is>
      </c>
      <c r="AS399">
        <f>HYPERLINK("https://creighton-primo.hosted.exlibrisgroup.com/primo-explore/search?tab=default_tab&amp;search_scope=EVERYTHING&amp;vid=01CRU&amp;lang=en_US&amp;offset=0&amp;query=any,contains,991004293139702656","Catalog Record")</f>
        <v/>
      </c>
      <c r="AT399">
        <f>HYPERLINK("http://www.worldcat.org/oclc/54022452","WorldCat Record")</f>
        <v/>
      </c>
      <c r="AU399" t="inlineStr">
        <is>
          <t>917574790:eng</t>
        </is>
      </c>
      <c r="AV399" t="inlineStr">
        <is>
          <t>54022452</t>
        </is>
      </c>
      <c r="AW399" t="inlineStr">
        <is>
          <t>991004293139702656</t>
        </is>
      </c>
      <c r="AX399" t="inlineStr">
        <is>
          <t>991004293139702656</t>
        </is>
      </c>
      <c r="AY399" t="inlineStr">
        <is>
          <t>2257535010002656</t>
        </is>
      </c>
      <c r="AZ399" t="inlineStr">
        <is>
          <t>BOOK</t>
        </is>
      </c>
      <c r="BB399" t="inlineStr">
        <is>
          <t>9780465050529</t>
        </is>
      </c>
      <c r="BC399" t="inlineStr">
        <is>
          <t>32285004907639</t>
        </is>
      </c>
      <c r="BD399" t="inlineStr">
        <is>
          <t>893700065</t>
        </is>
      </c>
    </row>
    <row r="400">
      <c r="A400" t="inlineStr">
        <is>
          <t>No</t>
        </is>
      </c>
      <c r="B400" t="inlineStr">
        <is>
          <t>HN59.2 .R67 1998</t>
        </is>
      </c>
      <c r="C400" t="inlineStr">
        <is>
          <t>0                      HN 0059200R  67          1998</t>
        </is>
      </c>
      <c r="D400" t="inlineStr">
        <is>
          <t>Membership and morals : the personal uses of pluralism in America / Nancy L. Rosenblum.</t>
        </is>
      </c>
      <c r="F400" t="inlineStr">
        <is>
          <t>No</t>
        </is>
      </c>
      <c r="G400" t="inlineStr">
        <is>
          <t>1</t>
        </is>
      </c>
      <c r="H400" t="inlineStr">
        <is>
          <t>No</t>
        </is>
      </c>
      <c r="I400" t="inlineStr">
        <is>
          <t>No</t>
        </is>
      </c>
      <c r="J400" t="inlineStr">
        <is>
          <t>0</t>
        </is>
      </c>
      <c r="K400" t="inlineStr">
        <is>
          <t>Rosenblum, Nancy L. (Nancy Lipton), 1947-</t>
        </is>
      </c>
      <c r="L400" t="inlineStr">
        <is>
          <t>Princeton, N.J. : Princeton University Press, c1998.</t>
        </is>
      </c>
      <c r="M400" t="inlineStr">
        <is>
          <t>1998</t>
        </is>
      </c>
      <c r="O400" t="inlineStr">
        <is>
          <t>eng</t>
        </is>
      </c>
      <c r="P400" t="inlineStr">
        <is>
          <t>nju</t>
        </is>
      </c>
      <c r="R400" t="inlineStr">
        <is>
          <t xml:space="preserve">HN </t>
        </is>
      </c>
      <c r="S400" t="n">
        <v>2</v>
      </c>
      <c r="T400" t="n">
        <v>2</v>
      </c>
      <c r="U400" t="inlineStr">
        <is>
          <t>2005-04-11</t>
        </is>
      </c>
      <c r="V400" t="inlineStr">
        <is>
          <t>2005-04-11</t>
        </is>
      </c>
      <c r="W400" t="inlineStr">
        <is>
          <t>1998-12-09</t>
        </is>
      </c>
      <c r="X400" t="inlineStr">
        <is>
          <t>1998-12-09</t>
        </is>
      </c>
      <c r="Y400" t="n">
        <v>431</v>
      </c>
      <c r="Z400" t="n">
        <v>358</v>
      </c>
      <c r="AA400" t="n">
        <v>575</v>
      </c>
      <c r="AB400" t="n">
        <v>2</v>
      </c>
      <c r="AC400" t="n">
        <v>3</v>
      </c>
      <c r="AD400" t="n">
        <v>21</v>
      </c>
      <c r="AE400" t="n">
        <v>32</v>
      </c>
      <c r="AF400" t="n">
        <v>8</v>
      </c>
      <c r="AG400" t="n">
        <v>14</v>
      </c>
      <c r="AH400" t="n">
        <v>5</v>
      </c>
      <c r="AI400" t="n">
        <v>8</v>
      </c>
      <c r="AJ400" t="n">
        <v>12</v>
      </c>
      <c r="AK400" t="n">
        <v>16</v>
      </c>
      <c r="AL400" t="n">
        <v>1</v>
      </c>
      <c r="AM400" t="n">
        <v>2</v>
      </c>
      <c r="AN400" t="n">
        <v>2</v>
      </c>
      <c r="AO400" t="n">
        <v>2</v>
      </c>
      <c r="AP400" t="inlineStr">
        <is>
          <t>No</t>
        </is>
      </c>
      <c r="AQ400" t="inlineStr">
        <is>
          <t>No</t>
        </is>
      </c>
      <c r="AS400">
        <f>HYPERLINK("https://creighton-primo.hosted.exlibrisgroup.com/primo-explore/search?tab=default_tab&amp;search_scope=EVERYTHING&amp;vid=01CRU&amp;lang=en_US&amp;offset=0&amp;query=any,contains,991002838009702656","Catalog Record")</f>
        <v/>
      </c>
      <c r="AT400">
        <f>HYPERLINK("http://www.worldcat.org/oclc/37373558","WorldCat Record")</f>
        <v/>
      </c>
      <c r="AU400" t="inlineStr">
        <is>
          <t>798011033:eng</t>
        </is>
      </c>
      <c r="AV400" t="inlineStr">
        <is>
          <t>37373558</t>
        </is>
      </c>
      <c r="AW400" t="inlineStr">
        <is>
          <t>991002838009702656</t>
        </is>
      </c>
      <c r="AX400" t="inlineStr">
        <is>
          <t>991002838009702656</t>
        </is>
      </c>
      <c r="AY400" t="inlineStr">
        <is>
          <t>2268661580002656</t>
        </is>
      </c>
      <c r="AZ400" t="inlineStr">
        <is>
          <t>BOOK</t>
        </is>
      </c>
      <c r="BB400" t="inlineStr">
        <is>
          <t>9780691016894</t>
        </is>
      </c>
      <c r="BC400" t="inlineStr">
        <is>
          <t>32285003505202</t>
        </is>
      </c>
      <c r="BD400" t="inlineStr">
        <is>
          <t>893428118</t>
        </is>
      </c>
    </row>
    <row r="401">
      <c r="A401" t="inlineStr">
        <is>
          <t>No</t>
        </is>
      </c>
      <c r="B401" t="inlineStr">
        <is>
          <t>HN59.2 .S48 1992</t>
        </is>
      </c>
      <c r="C401" t="inlineStr">
        <is>
          <t>0                      HN 0059200S  48          1992</t>
        </is>
      </c>
      <c r="D401" t="inlineStr">
        <is>
          <t>Setting domestic priorities : what can government do? / Henry J. Aaron and Charles L. Schultze, editors.</t>
        </is>
      </c>
      <c r="F401" t="inlineStr">
        <is>
          <t>No</t>
        </is>
      </c>
      <c r="G401" t="inlineStr">
        <is>
          <t>1</t>
        </is>
      </c>
      <c r="H401" t="inlineStr">
        <is>
          <t>No</t>
        </is>
      </c>
      <c r="I401" t="inlineStr">
        <is>
          <t>No</t>
        </is>
      </c>
      <c r="J401" t="inlineStr">
        <is>
          <t>0</t>
        </is>
      </c>
      <c r="L401" t="inlineStr">
        <is>
          <t>Washington, D.C. : The Brookings Institution, 1992.</t>
        </is>
      </c>
      <c r="M401" t="inlineStr">
        <is>
          <t>1992</t>
        </is>
      </c>
      <c r="O401" t="inlineStr">
        <is>
          <t>eng</t>
        </is>
      </c>
      <c r="P401" t="inlineStr">
        <is>
          <t>dcu</t>
        </is>
      </c>
      <c r="R401" t="inlineStr">
        <is>
          <t xml:space="preserve">HN </t>
        </is>
      </c>
      <c r="S401" t="n">
        <v>21</v>
      </c>
      <c r="T401" t="n">
        <v>21</v>
      </c>
      <c r="U401" t="inlineStr">
        <is>
          <t>2005-04-05</t>
        </is>
      </c>
      <c r="V401" t="inlineStr">
        <is>
          <t>2005-04-05</t>
        </is>
      </c>
      <c r="W401" t="inlineStr">
        <is>
          <t>1992-10-22</t>
        </is>
      </c>
      <c r="X401" t="inlineStr">
        <is>
          <t>1992-10-22</t>
        </is>
      </c>
      <c r="Y401" t="n">
        <v>751</v>
      </c>
      <c r="Z401" t="n">
        <v>686</v>
      </c>
      <c r="AA401" t="n">
        <v>693</v>
      </c>
      <c r="AB401" t="n">
        <v>5</v>
      </c>
      <c r="AC401" t="n">
        <v>5</v>
      </c>
      <c r="AD401" t="n">
        <v>31</v>
      </c>
      <c r="AE401" t="n">
        <v>31</v>
      </c>
      <c r="AF401" t="n">
        <v>11</v>
      </c>
      <c r="AG401" t="n">
        <v>11</v>
      </c>
      <c r="AH401" t="n">
        <v>6</v>
      </c>
      <c r="AI401" t="n">
        <v>6</v>
      </c>
      <c r="AJ401" t="n">
        <v>13</v>
      </c>
      <c r="AK401" t="n">
        <v>13</v>
      </c>
      <c r="AL401" t="n">
        <v>4</v>
      </c>
      <c r="AM401" t="n">
        <v>4</v>
      </c>
      <c r="AN401" t="n">
        <v>4</v>
      </c>
      <c r="AO401" t="n">
        <v>4</v>
      </c>
      <c r="AP401" t="inlineStr">
        <is>
          <t>No</t>
        </is>
      </c>
      <c r="AQ401" t="inlineStr">
        <is>
          <t>Yes</t>
        </is>
      </c>
      <c r="AR401">
        <f>HYPERLINK("http://catalog.hathitrust.org/Record/004520840","HathiTrust Record")</f>
        <v/>
      </c>
      <c r="AS401">
        <f>HYPERLINK("https://creighton-primo.hosted.exlibrisgroup.com/primo-explore/search?tab=default_tab&amp;search_scope=EVERYTHING&amp;vid=01CRU&amp;lang=en_US&amp;offset=0&amp;query=any,contains,991002058739702656","Catalog Record")</f>
        <v/>
      </c>
      <c r="AT401">
        <f>HYPERLINK("http://www.worldcat.org/oclc/26353013","WorldCat Record")</f>
        <v/>
      </c>
      <c r="AU401" t="inlineStr">
        <is>
          <t>358119150:eng</t>
        </is>
      </c>
      <c r="AV401" t="inlineStr">
        <is>
          <t>26353013</t>
        </is>
      </c>
      <c r="AW401" t="inlineStr">
        <is>
          <t>991002058739702656</t>
        </is>
      </c>
      <c r="AX401" t="inlineStr">
        <is>
          <t>991002058739702656</t>
        </is>
      </c>
      <c r="AY401" t="inlineStr">
        <is>
          <t>2265800320002656</t>
        </is>
      </c>
      <c r="AZ401" t="inlineStr">
        <is>
          <t>BOOK</t>
        </is>
      </c>
      <c r="BB401" t="inlineStr">
        <is>
          <t>9780815700531</t>
        </is>
      </c>
      <c r="BC401" t="inlineStr">
        <is>
          <t>32285001369999</t>
        </is>
      </c>
      <c r="BD401" t="inlineStr">
        <is>
          <t>893414767</t>
        </is>
      </c>
    </row>
    <row r="402">
      <c r="A402" t="inlineStr">
        <is>
          <t>No</t>
        </is>
      </c>
      <c r="B402" t="inlineStr">
        <is>
          <t>HN59.2 .S57 1989</t>
        </is>
      </c>
      <c r="C402" t="inlineStr">
        <is>
          <t>0                      HN 0059200S  57          1989</t>
        </is>
      </c>
      <c r="D402" t="inlineStr">
        <is>
          <t>Straight shooting : what's wrong with America and how to fix it / John Silber.</t>
        </is>
      </c>
      <c r="F402" t="inlineStr">
        <is>
          <t>No</t>
        </is>
      </c>
      <c r="G402" t="inlineStr">
        <is>
          <t>1</t>
        </is>
      </c>
      <c r="H402" t="inlineStr">
        <is>
          <t>No</t>
        </is>
      </c>
      <c r="I402" t="inlineStr">
        <is>
          <t>No</t>
        </is>
      </c>
      <c r="J402" t="inlineStr">
        <is>
          <t>0</t>
        </is>
      </c>
      <c r="K402" t="inlineStr">
        <is>
          <t>Silber, John, 1926-2012.</t>
        </is>
      </c>
      <c r="L402" t="inlineStr">
        <is>
          <t>New York : Harper &amp; Row, c1989.</t>
        </is>
      </c>
      <c r="M402" t="inlineStr">
        <is>
          <t>1989</t>
        </is>
      </c>
      <c r="N402" t="inlineStr">
        <is>
          <t>1st ed.</t>
        </is>
      </c>
      <c r="O402" t="inlineStr">
        <is>
          <t>eng</t>
        </is>
      </c>
      <c r="P402" t="inlineStr">
        <is>
          <t>nyu</t>
        </is>
      </c>
      <c r="R402" t="inlineStr">
        <is>
          <t xml:space="preserve">HN </t>
        </is>
      </c>
      <c r="S402" t="n">
        <v>1</v>
      </c>
      <c r="T402" t="n">
        <v>1</v>
      </c>
      <c r="U402" t="inlineStr">
        <is>
          <t>2003-11-09</t>
        </is>
      </c>
      <c r="V402" t="inlineStr">
        <is>
          <t>2003-11-09</t>
        </is>
      </c>
      <c r="W402" t="inlineStr">
        <is>
          <t>1989-12-05</t>
        </is>
      </c>
      <c r="X402" t="inlineStr">
        <is>
          <t>1989-12-05</t>
        </is>
      </c>
      <c r="Y402" t="n">
        <v>830</v>
      </c>
      <c r="Z402" t="n">
        <v>799</v>
      </c>
      <c r="AA402" t="n">
        <v>846</v>
      </c>
      <c r="AB402" t="n">
        <v>6</v>
      </c>
      <c r="AC402" t="n">
        <v>6</v>
      </c>
      <c r="AD402" t="n">
        <v>31</v>
      </c>
      <c r="AE402" t="n">
        <v>32</v>
      </c>
      <c r="AF402" t="n">
        <v>14</v>
      </c>
      <c r="AG402" t="n">
        <v>14</v>
      </c>
      <c r="AH402" t="n">
        <v>4</v>
      </c>
      <c r="AI402" t="n">
        <v>4</v>
      </c>
      <c r="AJ402" t="n">
        <v>17</v>
      </c>
      <c r="AK402" t="n">
        <v>18</v>
      </c>
      <c r="AL402" t="n">
        <v>3</v>
      </c>
      <c r="AM402" t="n">
        <v>3</v>
      </c>
      <c r="AN402" t="n">
        <v>1</v>
      </c>
      <c r="AO402" t="n">
        <v>1</v>
      </c>
      <c r="AP402" t="inlineStr">
        <is>
          <t>No</t>
        </is>
      </c>
      <c r="AQ402" t="inlineStr">
        <is>
          <t>Yes</t>
        </is>
      </c>
      <c r="AR402">
        <f>HYPERLINK("http://catalog.hathitrust.org/Record/001543261","HathiTrust Record")</f>
        <v/>
      </c>
      <c r="AS402">
        <f>HYPERLINK("https://creighton-primo.hosted.exlibrisgroup.com/primo-explore/search?tab=default_tab&amp;search_scope=EVERYTHING&amp;vid=01CRU&amp;lang=en_US&amp;offset=0&amp;query=any,contains,991001470899702656","Catalog Record")</f>
        <v/>
      </c>
      <c r="AT402">
        <f>HYPERLINK("http://www.worldcat.org/oclc/19552903","WorldCat Record")</f>
        <v/>
      </c>
      <c r="AU402" t="inlineStr">
        <is>
          <t>21128532:eng</t>
        </is>
      </c>
      <c r="AV402" t="inlineStr">
        <is>
          <t>19552903</t>
        </is>
      </c>
      <c r="AW402" t="inlineStr">
        <is>
          <t>991001470899702656</t>
        </is>
      </c>
      <c r="AX402" t="inlineStr">
        <is>
          <t>991001470899702656</t>
        </is>
      </c>
      <c r="AY402" t="inlineStr">
        <is>
          <t>2271646270002656</t>
        </is>
      </c>
      <c r="AZ402" t="inlineStr">
        <is>
          <t>BOOK</t>
        </is>
      </c>
      <c r="BB402" t="inlineStr">
        <is>
          <t>9780060161842</t>
        </is>
      </c>
      <c r="BC402" t="inlineStr">
        <is>
          <t>32285000017409</t>
        </is>
      </c>
      <c r="BD402" t="inlineStr">
        <is>
          <t>893432877</t>
        </is>
      </c>
    </row>
    <row r="403">
      <c r="A403" t="inlineStr">
        <is>
          <t>No</t>
        </is>
      </c>
      <c r="B403" t="inlineStr">
        <is>
          <t>HN59.2 .S583 2007</t>
        </is>
      </c>
      <c r="C403" t="inlineStr">
        <is>
          <t>0                      HN 0059200S  583         2007</t>
        </is>
      </c>
      <c r="D403" t="inlineStr">
        <is>
          <t>Generation ageless : how baby boomers are changing the way we live today--and they're just getting started / J. Walker Smith and Ann Clurman.</t>
        </is>
      </c>
      <c r="F403" t="inlineStr">
        <is>
          <t>No</t>
        </is>
      </c>
      <c r="G403" t="inlineStr">
        <is>
          <t>1</t>
        </is>
      </c>
      <c r="H403" t="inlineStr">
        <is>
          <t>No</t>
        </is>
      </c>
      <c r="I403" t="inlineStr">
        <is>
          <t>No</t>
        </is>
      </c>
      <c r="J403" t="inlineStr">
        <is>
          <t>0</t>
        </is>
      </c>
      <c r="K403" t="inlineStr">
        <is>
          <t>Smith, J. Walker.</t>
        </is>
      </c>
      <c r="L403" t="inlineStr">
        <is>
          <t>New York, NY : Collins, 2007.</t>
        </is>
      </c>
      <c r="M403" t="inlineStr">
        <is>
          <t>2007</t>
        </is>
      </c>
      <c r="N403" t="inlineStr">
        <is>
          <t>1st ed.</t>
        </is>
      </c>
      <c r="O403" t="inlineStr">
        <is>
          <t>eng</t>
        </is>
      </c>
      <c r="P403" t="inlineStr">
        <is>
          <t>nyu</t>
        </is>
      </c>
      <c r="R403" t="inlineStr">
        <is>
          <t xml:space="preserve">HN </t>
        </is>
      </c>
      <c r="S403" t="n">
        <v>3</v>
      </c>
      <c r="T403" t="n">
        <v>3</v>
      </c>
      <c r="U403" t="inlineStr">
        <is>
          <t>2010-11-29</t>
        </is>
      </c>
      <c r="V403" t="inlineStr">
        <is>
          <t>2010-11-29</t>
        </is>
      </c>
      <c r="W403" t="inlineStr">
        <is>
          <t>2008-01-10</t>
        </is>
      </c>
      <c r="X403" t="inlineStr">
        <is>
          <t>2008-01-10</t>
        </is>
      </c>
      <c r="Y403" t="n">
        <v>863</v>
      </c>
      <c r="Z403" t="n">
        <v>793</v>
      </c>
      <c r="AA403" t="n">
        <v>897</v>
      </c>
      <c r="AB403" t="n">
        <v>8</v>
      </c>
      <c r="AC403" t="n">
        <v>9</v>
      </c>
      <c r="AD403" t="n">
        <v>20</v>
      </c>
      <c r="AE403" t="n">
        <v>26</v>
      </c>
      <c r="AF403" t="n">
        <v>9</v>
      </c>
      <c r="AG403" t="n">
        <v>10</v>
      </c>
      <c r="AH403" t="n">
        <v>3</v>
      </c>
      <c r="AI403" t="n">
        <v>6</v>
      </c>
      <c r="AJ403" t="n">
        <v>10</v>
      </c>
      <c r="AK403" t="n">
        <v>12</v>
      </c>
      <c r="AL403" t="n">
        <v>4</v>
      </c>
      <c r="AM403" t="n">
        <v>5</v>
      </c>
      <c r="AN403" t="n">
        <v>0</v>
      </c>
      <c r="AO403" t="n">
        <v>0</v>
      </c>
      <c r="AP403" t="inlineStr">
        <is>
          <t>No</t>
        </is>
      </c>
      <c r="AQ403" t="inlineStr">
        <is>
          <t>No</t>
        </is>
      </c>
      <c r="AS403">
        <f>HYPERLINK("https://creighton-primo.hosted.exlibrisgroup.com/primo-explore/search?tab=default_tab&amp;search_scope=EVERYTHING&amp;vid=01CRU&amp;lang=en_US&amp;offset=0&amp;query=any,contains,991005152049702656","Catalog Record")</f>
        <v/>
      </c>
      <c r="AT403">
        <f>HYPERLINK("http://www.worldcat.org/oclc/141483390","WorldCat Record")</f>
        <v/>
      </c>
      <c r="AU403" t="inlineStr">
        <is>
          <t>198128538:eng</t>
        </is>
      </c>
      <c r="AV403" t="inlineStr">
        <is>
          <t>141483390</t>
        </is>
      </c>
      <c r="AW403" t="inlineStr">
        <is>
          <t>991005152049702656</t>
        </is>
      </c>
      <c r="AX403" t="inlineStr">
        <is>
          <t>991005152049702656</t>
        </is>
      </c>
      <c r="AY403" t="inlineStr">
        <is>
          <t>2265023580002656</t>
        </is>
      </c>
      <c r="AZ403" t="inlineStr">
        <is>
          <t>BOOK</t>
        </is>
      </c>
      <c r="BB403" t="inlineStr">
        <is>
          <t>9780061128981</t>
        </is>
      </c>
      <c r="BC403" t="inlineStr">
        <is>
          <t>32285005376396</t>
        </is>
      </c>
      <c r="BD403" t="inlineStr">
        <is>
          <t>893719875</t>
        </is>
      </c>
    </row>
    <row r="404">
      <c r="A404" t="inlineStr">
        <is>
          <t>No</t>
        </is>
      </c>
      <c r="B404" t="inlineStr">
        <is>
          <t>HN59.2 .W38 1995</t>
        </is>
      </c>
      <c r="C404" t="inlineStr">
        <is>
          <t>0                      HN 0059200W  38          1995</t>
        </is>
      </c>
      <c r="D404" t="inlineStr">
        <is>
          <t>Values matter most : how Republicans or Democrats or a third party can win and renew the American way of life / Ben J. Wattenberg.</t>
        </is>
      </c>
      <c r="F404" t="inlineStr">
        <is>
          <t>No</t>
        </is>
      </c>
      <c r="G404" t="inlineStr">
        <is>
          <t>1</t>
        </is>
      </c>
      <c r="H404" t="inlineStr">
        <is>
          <t>No</t>
        </is>
      </c>
      <c r="I404" t="inlineStr">
        <is>
          <t>No</t>
        </is>
      </c>
      <c r="J404" t="inlineStr">
        <is>
          <t>0</t>
        </is>
      </c>
      <c r="K404" t="inlineStr">
        <is>
          <t>Wattenberg, Ben J.</t>
        </is>
      </c>
      <c r="L404" t="inlineStr">
        <is>
          <t>New York : Free Press, c1995.</t>
        </is>
      </c>
      <c r="M404" t="inlineStr">
        <is>
          <t>1995</t>
        </is>
      </c>
      <c r="O404" t="inlineStr">
        <is>
          <t>eng</t>
        </is>
      </c>
      <c r="P404" t="inlineStr">
        <is>
          <t>nyu</t>
        </is>
      </c>
      <c r="R404" t="inlineStr">
        <is>
          <t xml:space="preserve">HN </t>
        </is>
      </c>
      <c r="S404" t="n">
        <v>6</v>
      </c>
      <c r="T404" t="n">
        <v>6</v>
      </c>
      <c r="U404" t="inlineStr">
        <is>
          <t>2003-10-29</t>
        </is>
      </c>
      <c r="V404" t="inlineStr">
        <is>
          <t>2003-10-29</t>
        </is>
      </c>
      <c r="W404" t="inlineStr">
        <is>
          <t>1996-03-15</t>
        </is>
      </c>
      <c r="X404" t="inlineStr">
        <is>
          <t>1996-03-15</t>
        </is>
      </c>
      <c r="Y404" t="n">
        <v>649</v>
      </c>
      <c r="Z404" t="n">
        <v>608</v>
      </c>
      <c r="AA404" t="n">
        <v>653</v>
      </c>
      <c r="AB404" t="n">
        <v>3</v>
      </c>
      <c r="AC404" t="n">
        <v>3</v>
      </c>
      <c r="AD404" t="n">
        <v>27</v>
      </c>
      <c r="AE404" t="n">
        <v>27</v>
      </c>
      <c r="AF404" t="n">
        <v>9</v>
      </c>
      <c r="AG404" t="n">
        <v>9</v>
      </c>
      <c r="AH404" t="n">
        <v>5</v>
      </c>
      <c r="AI404" t="n">
        <v>5</v>
      </c>
      <c r="AJ404" t="n">
        <v>15</v>
      </c>
      <c r="AK404" t="n">
        <v>15</v>
      </c>
      <c r="AL404" t="n">
        <v>2</v>
      </c>
      <c r="AM404" t="n">
        <v>2</v>
      </c>
      <c r="AN404" t="n">
        <v>1</v>
      </c>
      <c r="AO404" t="n">
        <v>1</v>
      </c>
      <c r="AP404" t="inlineStr">
        <is>
          <t>No</t>
        </is>
      </c>
      <c r="AQ404" t="inlineStr">
        <is>
          <t>No</t>
        </is>
      </c>
      <c r="AS404">
        <f>HYPERLINK("https://creighton-primo.hosted.exlibrisgroup.com/primo-explore/search?tab=default_tab&amp;search_scope=EVERYTHING&amp;vid=01CRU&amp;lang=en_US&amp;offset=0&amp;query=any,contains,991002530509702656","Catalog Record")</f>
        <v/>
      </c>
      <c r="AT404">
        <f>HYPERLINK("http://www.worldcat.org/oclc/32892740","WorldCat Record")</f>
        <v/>
      </c>
      <c r="AU404" t="inlineStr">
        <is>
          <t>38210380:eng</t>
        </is>
      </c>
      <c r="AV404" t="inlineStr">
        <is>
          <t>32892740</t>
        </is>
      </c>
      <c r="AW404" t="inlineStr">
        <is>
          <t>991002530509702656</t>
        </is>
      </c>
      <c r="AX404" t="inlineStr">
        <is>
          <t>991002530509702656</t>
        </is>
      </c>
      <c r="AY404" t="inlineStr">
        <is>
          <t>2254829900002656</t>
        </is>
      </c>
      <c r="AZ404" t="inlineStr">
        <is>
          <t>BOOK</t>
        </is>
      </c>
      <c r="BB404" t="inlineStr">
        <is>
          <t>9780029337950</t>
        </is>
      </c>
      <c r="BC404" t="inlineStr">
        <is>
          <t>32285002142940</t>
        </is>
      </c>
      <c r="BD404" t="inlineStr">
        <is>
          <t>893323047</t>
        </is>
      </c>
    </row>
    <row r="405">
      <c r="A405" t="inlineStr">
        <is>
          <t>No</t>
        </is>
      </c>
      <c r="B405" t="inlineStr">
        <is>
          <t>HN59.2 .W449 2000</t>
        </is>
      </c>
      <c r="C405" t="inlineStr">
        <is>
          <t>0                      HN 0059200W  449         2000</t>
        </is>
      </c>
      <c r="D405" t="inlineStr">
        <is>
          <t>The clustered world : how we live, what we buy, and what it all means about who we are / Michael J. Weiss.</t>
        </is>
      </c>
      <c r="F405" t="inlineStr">
        <is>
          <t>No</t>
        </is>
      </c>
      <c r="G405" t="inlineStr">
        <is>
          <t>1</t>
        </is>
      </c>
      <c r="H405" t="inlineStr">
        <is>
          <t>No</t>
        </is>
      </c>
      <c r="I405" t="inlineStr">
        <is>
          <t>No</t>
        </is>
      </c>
      <c r="J405" t="inlineStr">
        <is>
          <t>0</t>
        </is>
      </c>
      <c r="K405" t="inlineStr">
        <is>
          <t>Weiss, Michael J., 1952-</t>
        </is>
      </c>
      <c r="L405" t="inlineStr">
        <is>
          <t>Boston : Little, Brown, c2000.</t>
        </is>
      </c>
      <c r="M405" t="inlineStr">
        <is>
          <t>2000</t>
        </is>
      </c>
      <c r="N405" t="inlineStr">
        <is>
          <t>1st ed.</t>
        </is>
      </c>
      <c r="O405" t="inlineStr">
        <is>
          <t>eng</t>
        </is>
      </c>
      <c r="P405" t="inlineStr">
        <is>
          <t>mau</t>
        </is>
      </c>
      <c r="R405" t="inlineStr">
        <is>
          <t xml:space="preserve">HN </t>
        </is>
      </c>
      <c r="S405" t="n">
        <v>2</v>
      </c>
      <c r="T405" t="n">
        <v>2</v>
      </c>
      <c r="U405" t="inlineStr">
        <is>
          <t>2001-01-23</t>
        </is>
      </c>
      <c r="V405" t="inlineStr">
        <is>
          <t>2001-01-23</t>
        </is>
      </c>
      <c r="W405" t="inlineStr">
        <is>
          <t>2000-03-13</t>
        </is>
      </c>
      <c r="X405" t="inlineStr">
        <is>
          <t>2000-03-13</t>
        </is>
      </c>
      <c r="Y405" t="n">
        <v>752</v>
      </c>
      <c r="Z405" t="n">
        <v>686</v>
      </c>
      <c r="AA405" t="n">
        <v>691</v>
      </c>
      <c r="AB405" t="n">
        <v>7</v>
      </c>
      <c r="AC405" t="n">
        <v>7</v>
      </c>
      <c r="AD405" t="n">
        <v>24</v>
      </c>
      <c r="AE405" t="n">
        <v>24</v>
      </c>
      <c r="AF405" t="n">
        <v>9</v>
      </c>
      <c r="AG405" t="n">
        <v>9</v>
      </c>
      <c r="AH405" t="n">
        <v>7</v>
      </c>
      <c r="AI405" t="n">
        <v>7</v>
      </c>
      <c r="AJ405" t="n">
        <v>14</v>
      </c>
      <c r="AK405" t="n">
        <v>14</v>
      </c>
      <c r="AL405" t="n">
        <v>4</v>
      </c>
      <c r="AM405" t="n">
        <v>4</v>
      </c>
      <c r="AN405" t="n">
        <v>0</v>
      </c>
      <c r="AO405" t="n">
        <v>0</v>
      </c>
      <c r="AP405" t="inlineStr">
        <is>
          <t>No</t>
        </is>
      </c>
      <c r="AQ405" t="inlineStr">
        <is>
          <t>No</t>
        </is>
      </c>
      <c r="AS405">
        <f>HYPERLINK("https://creighton-primo.hosted.exlibrisgroup.com/primo-explore/search?tab=default_tab&amp;search_scope=EVERYTHING&amp;vid=01CRU&amp;lang=en_US&amp;offset=0&amp;query=any,contains,991003032039702656","Catalog Record")</f>
        <v/>
      </c>
      <c r="AT405">
        <f>HYPERLINK("http://www.worldcat.org/oclc/41548409","WorldCat Record")</f>
        <v/>
      </c>
      <c r="AU405" t="inlineStr">
        <is>
          <t>20693825:eng</t>
        </is>
      </c>
      <c r="AV405" t="inlineStr">
        <is>
          <t>41548409</t>
        </is>
      </c>
      <c r="AW405" t="inlineStr">
        <is>
          <t>991003032039702656</t>
        </is>
      </c>
      <c r="AX405" t="inlineStr">
        <is>
          <t>991003032039702656</t>
        </is>
      </c>
      <c r="AY405" t="inlineStr">
        <is>
          <t>2257550670002656</t>
        </is>
      </c>
      <c r="AZ405" t="inlineStr">
        <is>
          <t>BOOK</t>
        </is>
      </c>
      <c r="BB405" t="inlineStr">
        <is>
          <t>9780316929202</t>
        </is>
      </c>
      <c r="BC405" t="inlineStr">
        <is>
          <t>32285003668737</t>
        </is>
      </c>
      <c r="BD405" t="inlineStr">
        <is>
          <t>893409851</t>
        </is>
      </c>
    </row>
    <row r="406">
      <c r="A406" t="inlineStr">
        <is>
          <t>No</t>
        </is>
      </c>
      <c r="B406" t="inlineStr">
        <is>
          <t>HN59.2 .W45 1988</t>
        </is>
      </c>
      <c r="C406" t="inlineStr">
        <is>
          <t>0                      HN 0059200W  45          1988</t>
        </is>
      </c>
      <c r="D406" t="inlineStr">
        <is>
          <t>The clustering of America / Michael J. Weiss.</t>
        </is>
      </c>
      <c r="F406" t="inlineStr">
        <is>
          <t>No</t>
        </is>
      </c>
      <c r="G406" t="inlineStr">
        <is>
          <t>1</t>
        </is>
      </c>
      <c r="H406" t="inlineStr">
        <is>
          <t>No</t>
        </is>
      </c>
      <c r="I406" t="inlineStr">
        <is>
          <t>No</t>
        </is>
      </c>
      <c r="J406" t="inlineStr">
        <is>
          <t>0</t>
        </is>
      </c>
      <c r="K406" t="inlineStr">
        <is>
          <t>Weiss, Michael J., 1952-</t>
        </is>
      </c>
      <c r="L406" t="inlineStr">
        <is>
          <t>New York : Harper &amp; Row, c1988.</t>
        </is>
      </c>
      <c r="M406" t="inlineStr">
        <is>
          <t>1988</t>
        </is>
      </c>
      <c r="N406" t="inlineStr">
        <is>
          <t>1st ed.</t>
        </is>
      </c>
      <c r="O406" t="inlineStr">
        <is>
          <t>eng</t>
        </is>
      </c>
      <c r="P406" t="inlineStr">
        <is>
          <t>nyu</t>
        </is>
      </c>
      <c r="R406" t="inlineStr">
        <is>
          <t xml:space="preserve">HN </t>
        </is>
      </c>
      <c r="S406" t="n">
        <v>6</v>
      </c>
      <c r="T406" t="n">
        <v>6</v>
      </c>
      <c r="U406" t="inlineStr">
        <is>
          <t>2001-01-23</t>
        </is>
      </c>
      <c r="V406" t="inlineStr">
        <is>
          <t>2001-01-23</t>
        </is>
      </c>
      <c r="W406" t="inlineStr">
        <is>
          <t>1991-03-14</t>
        </is>
      </c>
      <c r="X406" t="inlineStr">
        <is>
          <t>1991-03-14</t>
        </is>
      </c>
      <c r="Y406" t="n">
        <v>985</v>
      </c>
      <c r="Z406" t="n">
        <v>927</v>
      </c>
      <c r="AA406" t="n">
        <v>1046</v>
      </c>
      <c r="AB406" t="n">
        <v>5</v>
      </c>
      <c r="AC406" t="n">
        <v>7</v>
      </c>
      <c r="AD406" t="n">
        <v>26</v>
      </c>
      <c r="AE406" t="n">
        <v>28</v>
      </c>
      <c r="AF406" t="n">
        <v>11</v>
      </c>
      <c r="AG406" t="n">
        <v>11</v>
      </c>
      <c r="AH406" t="n">
        <v>6</v>
      </c>
      <c r="AI406" t="n">
        <v>6</v>
      </c>
      <c r="AJ406" t="n">
        <v>13</v>
      </c>
      <c r="AK406" t="n">
        <v>13</v>
      </c>
      <c r="AL406" t="n">
        <v>3</v>
      </c>
      <c r="AM406" t="n">
        <v>5</v>
      </c>
      <c r="AN406" t="n">
        <v>0</v>
      </c>
      <c r="AO406" t="n">
        <v>0</v>
      </c>
      <c r="AP406" t="inlineStr">
        <is>
          <t>No</t>
        </is>
      </c>
      <c r="AQ406" t="inlineStr">
        <is>
          <t>Yes</t>
        </is>
      </c>
      <c r="AR406">
        <f>HYPERLINK("http://catalog.hathitrust.org/Record/000950248","HathiTrust Record")</f>
        <v/>
      </c>
      <c r="AS406">
        <f>HYPERLINK("https://creighton-primo.hosted.exlibrisgroup.com/primo-explore/search?tab=default_tab&amp;search_scope=EVERYTHING&amp;vid=01CRU&amp;lang=en_US&amp;offset=0&amp;query=any,contains,991001313759702656","Catalog Record")</f>
        <v/>
      </c>
      <c r="AT406">
        <f>HYPERLINK("http://www.worldcat.org/oclc/18164641","WorldCat Record")</f>
        <v/>
      </c>
      <c r="AU406" t="inlineStr">
        <is>
          <t>16558264:eng</t>
        </is>
      </c>
      <c r="AV406" t="inlineStr">
        <is>
          <t>18164641</t>
        </is>
      </c>
      <c r="AW406" t="inlineStr">
        <is>
          <t>991001313759702656</t>
        </is>
      </c>
      <c r="AX406" t="inlineStr">
        <is>
          <t>991001313759702656</t>
        </is>
      </c>
      <c r="AY406" t="inlineStr">
        <is>
          <t>2261117950002656</t>
        </is>
      </c>
      <c r="AZ406" t="inlineStr">
        <is>
          <t>BOOK</t>
        </is>
      </c>
      <c r="BB406" t="inlineStr">
        <is>
          <t>9780060157906</t>
        </is>
      </c>
      <c r="BC406" t="inlineStr">
        <is>
          <t>32285000512151</t>
        </is>
      </c>
      <c r="BD406" t="inlineStr">
        <is>
          <t>893602511</t>
        </is>
      </c>
    </row>
    <row r="407">
      <c r="A407" t="inlineStr">
        <is>
          <t>No</t>
        </is>
      </c>
      <c r="B407" t="inlineStr">
        <is>
          <t>HN590.C37 H36 1977</t>
        </is>
      </c>
      <c r="C407" t="inlineStr">
        <is>
          <t>0                      HN 0590000C  37                 H  36          1977</t>
        </is>
      </c>
      <c r="D407" t="inlineStr">
        <is>
          <t>Rural Catalonia under the Franco regime : the fate of regional culture since the Spanish Civil War / Edward C. Hansen. --</t>
        </is>
      </c>
      <c r="F407" t="inlineStr">
        <is>
          <t>No</t>
        </is>
      </c>
      <c r="G407" t="inlineStr">
        <is>
          <t>1</t>
        </is>
      </c>
      <c r="H407" t="inlineStr">
        <is>
          <t>No</t>
        </is>
      </c>
      <c r="I407" t="inlineStr">
        <is>
          <t>No</t>
        </is>
      </c>
      <c r="J407" t="inlineStr">
        <is>
          <t>0</t>
        </is>
      </c>
      <c r="K407" t="inlineStr">
        <is>
          <t>Hansen, Edward C.</t>
        </is>
      </c>
      <c r="L407" t="inlineStr">
        <is>
          <t>Cambridge ; New York : Cambridge University Press, 1977.</t>
        </is>
      </c>
      <c r="M407" t="inlineStr">
        <is>
          <t>1977</t>
        </is>
      </c>
      <c r="O407" t="inlineStr">
        <is>
          <t>eng</t>
        </is>
      </c>
      <c r="P407" t="inlineStr">
        <is>
          <t>enk</t>
        </is>
      </c>
      <c r="R407" t="inlineStr">
        <is>
          <t xml:space="preserve">HN </t>
        </is>
      </c>
      <c r="S407" t="n">
        <v>3</v>
      </c>
      <c r="T407" t="n">
        <v>3</v>
      </c>
      <c r="U407" t="inlineStr">
        <is>
          <t>2007-10-01</t>
        </is>
      </c>
      <c r="V407" t="inlineStr">
        <is>
          <t>2007-10-01</t>
        </is>
      </c>
      <c r="W407" t="inlineStr">
        <is>
          <t>1992-10-14</t>
        </is>
      </c>
      <c r="X407" t="inlineStr">
        <is>
          <t>1992-10-14</t>
        </is>
      </c>
      <c r="Y407" t="n">
        <v>444</v>
      </c>
      <c r="Z407" t="n">
        <v>312</v>
      </c>
      <c r="AA407" t="n">
        <v>317</v>
      </c>
      <c r="AB407" t="n">
        <v>3</v>
      </c>
      <c r="AC407" t="n">
        <v>3</v>
      </c>
      <c r="AD407" t="n">
        <v>10</v>
      </c>
      <c r="AE407" t="n">
        <v>10</v>
      </c>
      <c r="AF407" t="n">
        <v>1</v>
      </c>
      <c r="AG407" t="n">
        <v>1</v>
      </c>
      <c r="AH407" t="n">
        <v>3</v>
      </c>
      <c r="AI407" t="n">
        <v>3</v>
      </c>
      <c r="AJ407" t="n">
        <v>5</v>
      </c>
      <c r="AK407" t="n">
        <v>5</v>
      </c>
      <c r="AL407" t="n">
        <v>2</v>
      </c>
      <c r="AM407" t="n">
        <v>2</v>
      </c>
      <c r="AN407" t="n">
        <v>0</v>
      </c>
      <c r="AO407" t="n">
        <v>0</v>
      </c>
      <c r="AP407" t="inlineStr">
        <is>
          <t>No</t>
        </is>
      </c>
      <c r="AQ407" t="inlineStr">
        <is>
          <t>No</t>
        </is>
      </c>
      <c r="AS407">
        <f>HYPERLINK("https://creighton-primo.hosted.exlibrisgroup.com/primo-explore/search?tab=default_tab&amp;search_scope=EVERYTHING&amp;vid=01CRU&amp;lang=en_US&amp;offset=0&amp;query=any,contains,991004156749702656","Catalog Record")</f>
        <v/>
      </c>
      <c r="AT407">
        <f>HYPERLINK("http://www.worldcat.org/oclc/2542187","WorldCat Record")</f>
        <v/>
      </c>
      <c r="AU407" t="inlineStr">
        <is>
          <t>286592755:eng</t>
        </is>
      </c>
      <c r="AV407" t="inlineStr">
        <is>
          <t>2542187</t>
        </is>
      </c>
      <c r="AW407" t="inlineStr">
        <is>
          <t>991004156749702656</t>
        </is>
      </c>
      <c r="AX407" t="inlineStr">
        <is>
          <t>991004156749702656</t>
        </is>
      </c>
      <c r="AY407" t="inlineStr">
        <is>
          <t>2272093080002656</t>
        </is>
      </c>
      <c r="AZ407" t="inlineStr">
        <is>
          <t>BOOK</t>
        </is>
      </c>
      <c r="BB407" t="inlineStr">
        <is>
          <t>9780521214575</t>
        </is>
      </c>
      <c r="BC407" t="inlineStr">
        <is>
          <t>32285001357523</t>
        </is>
      </c>
      <c r="BD407" t="inlineStr">
        <is>
          <t>893263122</t>
        </is>
      </c>
    </row>
    <row r="408">
      <c r="A408" t="inlineStr">
        <is>
          <t>No</t>
        </is>
      </c>
      <c r="B408" t="inlineStr">
        <is>
          <t>HN60 .A52</t>
        </is>
      </c>
      <c r="C408" t="inlineStr">
        <is>
          <t>0                      HN 0060000A  52</t>
        </is>
      </c>
      <c r="D408" t="inlineStr">
        <is>
          <t>Social indicators of well-being : Americans' perceptions of life quality / Frank M. Andrews and Stephen B. Withey.</t>
        </is>
      </c>
      <c r="F408" t="inlineStr">
        <is>
          <t>No</t>
        </is>
      </c>
      <c r="G408" t="inlineStr">
        <is>
          <t>1</t>
        </is>
      </c>
      <c r="H408" t="inlineStr">
        <is>
          <t>No</t>
        </is>
      </c>
      <c r="I408" t="inlineStr">
        <is>
          <t>No</t>
        </is>
      </c>
      <c r="J408" t="inlineStr">
        <is>
          <t>0</t>
        </is>
      </c>
      <c r="K408" t="inlineStr">
        <is>
          <t>Andrews, Frank M.</t>
        </is>
      </c>
      <c r="L408" t="inlineStr">
        <is>
          <t>New York : Plenum Press, c1976.</t>
        </is>
      </c>
      <c r="M408" t="inlineStr">
        <is>
          <t>1976</t>
        </is>
      </c>
      <c r="O408" t="inlineStr">
        <is>
          <t>eng</t>
        </is>
      </c>
      <c r="P408" t="inlineStr">
        <is>
          <t>nyu</t>
        </is>
      </c>
      <c r="R408" t="inlineStr">
        <is>
          <t xml:space="preserve">HN </t>
        </is>
      </c>
      <c r="S408" t="n">
        <v>2</v>
      </c>
      <c r="T408" t="n">
        <v>2</v>
      </c>
      <c r="U408" t="inlineStr">
        <is>
          <t>2003-04-08</t>
        </is>
      </c>
      <c r="V408" t="inlineStr">
        <is>
          <t>2003-04-08</t>
        </is>
      </c>
      <c r="W408" t="inlineStr">
        <is>
          <t>1992-01-17</t>
        </is>
      </c>
      <c r="X408" t="inlineStr">
        <is>
          <t>1992-01-17</t>
        </is>
      </c>
      <c r="Y408" t="n">
        <v>614</v>
      </c>
      <c r="Z408" t="n">
        <v>465</v>
      </c>
      <c r="AA408" t="n">
        <v>474</v>
      </c>
      <c r="AB408" t="n">
        <v>5</v>
      </c>
      <c r="AC408" t="n">
        <v>5</v>
      </c>
      <c r="AD408" t="n">
        <v>20</v>
      </c>
      <c r="AE408" t="n">
        <v>21</v>
      </c>
      <c r="AF408" t="n">
        <v>8</v>
      </c>
      <c r="AG408" t="n">
        <v>9</v>
      </c>
      <c r="AH408" t="n">
        <v>4</v>
      </c>
      <c r="AI408" t="n">
        <v>4</v>
      </c>
      <c r="AJ408" t="n">
        <v>12</v>
      </c>
      <c r="AK408" t="n">
        <v>13</v>
      </c>
      <c r="AL408" t="n">
        <v>3</v>
      </c>
      <c r="AM408" t="n">
        <v>3</v>
      </c>
      <c r="AN408" t="n">
        <v>0</v>
      </c>
      <c r="AO408" t="n">
        <v>0</v>
      </c>
      <c r="AP408" t="inlineStr">
        <is>
          <t>No</t>
        </is>
      </c>
      <c r="AQ408" t="inlineStr">
        <is>
          <t>Yes</t>
        </is>
      </c>
      <c r="AR408">
        <f>HYPERLINK("http://catalog.hathitrust.org/Record/000725444","HathiTrust Record")</f>
        <v/>
      </c>
      <c r="AS408">
        <f>HYPERLINK("https://creighton-primo.hosted.exlibrisgroup.com/primo-explore/search?tab=default_tab&amp;search_scope=EVERYTHING&amp;vid=01CRU&amp;lang=en_US&amp;offset=0&amp;query=any,contains,991004103049702656","Catalog Record")</f>
        <v/>
      </c>
      <c r="AT408">
        <f>HYPERLINK("http://www.worldcat.org/oclc/2373259","WorldCat Record")</f>
        <v/>
      </c>
      <c r="AU408" t="inlineStr">
        <is>
          <t>347661218:eng</t>
        </is>
      </c>
      <c r="AV408" t="inlineStr">
        <is>
          <t>2373259</t>
        </is>
      </c>
      <c r="AW408" t="inlineStr">
        <is>
          <t>991004103049702656</t>
        </is>
      </c>
      <c r="AX408" t="inlineStr">
        <is>
          <t>991004103049702656</t>
        </is>
      </c>
      <c r="AY408" t="inlineStr">
        <is>
          <t>2257157080002656</t>
        </is>
      </c>
      <c r="AZ408" t="inlineStr">
        <is>
          <t>BOOK</t>
        </is>
      </c>
      <c r="BB408" t="inlineStr">
        <is>
          <t>9780306309359</t>
        </is>
      </c>
      <c r="BC408" t="inlineStr">
        <is>
          <t>32285000914720</t>
        </is>
      </c>
      <c r="BD408" t="inlineStr">
        <is>
          <t>893228939</t>
        </is>
      </c>
    </row>
    <row r="409">
      <c r="A409" t="inlineStr">
        <is>
          <t>No</t>
        </is>
      </c>
      <c r="B409" t="inlineStr">
        <is>
          <t>HN60 .E34</t>
        </is>
      </c>
      <c r="C409" t="inlineStr">
        <is>
          <t>0                      HN 0060000E  34</t>
        </is>
      </c>
      <c r="D409" t="inlineStr">
        <is>
          <t>Economic means for human needs : social indicators of well-being and discontent / edited by Burkhard Strumpel.</t>
        </is>
      </c>
      <c r="F409" t="inlineStr">
        <is>
          <t>No</t>
        </is>
      </c>
      <c r="G409" t="inlineStr">
        <is>
          <t>1</t>
        </is>
      </c>
      <c r="H409" t="inlineStr">
        <is>
          <t>No</t>
        </is>
      </c>
      <c r="I409" t="inlineStr">
        <is>
          <t>No</t>
        </is>
      </c>
      <c r="J409" t="inlineStr">
        <is>
          <t>0</t>
        </is>
      </c>
      <c r="L409" t="inlineStr">
        <is>
          <t>Ann Arbor : Survey Research Center, Institute for Social Research, University of Michigan, 1976.</t>
        </is>
      </c>
      <c r="M409" t="inlineStr">
        <is>
          <t>1976</t>
        </is>
      </c>
      <c r="O409" t="inlineStr">
        <is>
          <t>eng</t>
        </is>
      </c>
      <c r="P409" t="inlineStr">
        <is>
          <t>miu</t>
        </is>
      </c>
      <c r="R409" t="inlineStr">
        <is>
          <t xml:space="preserve">HN </t>
        </is>
      </c>
      <c r="S409" t="n">
        <v>2</v>
      </c>
      <c r="T409" t="n">
        <v>2</v>
      </c>
      <c r="U409" t="inlineStr">
        <is>
          <t>1998-04-29</t>
        </is>
      </c>
      <c r="V409" t="inlineStr">
        <is>
          <t>1998-04-29</t>
        </is>
      </c>
      <c r="W409" t="inlineStr">
        <is>
          <t>1992-01-17</t>
        </is>
      </c>
      <c r="X409" t="inlineStr">
        <is>
          <t>1992-01-17</t>
        </is>
      </c>
      <c r="Y409" t="n">
        <v>526</v>
      </c>
      <c r="Z409" t="n">
        <v>447</v>
      </c>
      <c r="AA409" t="n">
        <v>455</v>
      </c>
      <c r="AB409" t="n">
        <v>4</v>
      </c>
      <c r="AC409" t="n">
        <v>4</v>
      </c>
      <c r="AD409" t="n">
        <v>20</v>
      </c>
      <c r="AE409" t="n">
        <v>20</v>
      </c>
      <c r="AF409" t="n">
        <v>6</v>
      </c>
      <c r="AG409" t="n">
        <v>6</v>
      </c>
      <c r="AH409" t="n">
        <v>9</v>
      </c>
      <c r="AI409" t="n">
        <v>9</v>
      </c>
      <c r="AJ409" t="n">
        <v>10</v>
      </c>
      <c r="AK409" t="n">
        <v>10</v>
      </c>
      <c r="AL409" t="n">
        <v>2</v>
      </c>
      <c r="AM409" t="n">
        <v>2</v>
      </c>
      <c r="AN409" t="n">
        <v>0</v>
      </c>
      <c r="AO409" t="n">
        <v>0</v>
      </c>
      <c r="AP409" t="inlineStr">
        <is>
          <t>No</t>
        </is>
      </c>
      <c r="AQ409" t="inlineStr">
        <is>
          <t>Yes</t>
        </is>
      </c>
      <c r="AR409">
        <f>HYPERLINK("http://catalog.hathitrust.org/Record/000744462","HathiTrust Record")</f>
        <v/>
      </c>
      <c r="AS409">
        <f>HYPERLINK("https://creighton-primo.hosted.exlibrisgroup.com/primo-explore/search?tab=default_tab&amp;search_scope=EVERYTHING&amp;vid=01CRU&amp;lang=en_US&amp;offset=0&amp;query=any,contains,991004118569702656","Catalog Record")</f>
        <v/>
      </c>
      <c r="AT409">
        <f>HYPERLINK("http://www.worldcat.org/oclc/2423219","WorldCat Record")</f>
        <v/>
      </c>
      <c r="AU409" t="inlineStr">
        <is>
          <t>889645297:eng</t>
        </is>
      </c>
      <c r="AV409" t="inlineStr">
        <is>
          <t>2423219</t>
        </is>
      </c>
      <c r="AW409" t="inlineStr">
        <is>
          <t>991004118569702656</t>
        </is>
      </c>
      <c r="AX409" t="inlineStr">
        <is>
          <t>991004118569702656</t>
        </is>
      </c>
      <c r="AY409" t="inlineStr">
        <is>
          <t>2265556300002656</t>
        </is>
      </c>
      <c r="AZ409" t="inlineStr">
        <is>
          <t>BOOK</t>
        </is>
      </c>
      <c r="BB409" t="inlineStr">
        <is>
          <t>9780879441937</t>
        </is>
      </c>
      <c r="BC409" t="inlineStr">
        <is>
          <t>32285000914712</t>
        </is>
      </c>
      <c r="BD409" t="inlineStr">
        <is>
          <t>893869301</t>
        </is>
      </c>
    </row>
    <row r="410">
      <c r="A410" t="inlineStr">
        <is>
          <t>No</t>
        </is>
      </c>
      <c r="B410" t="inlineStr">
        <is>
          <t>HN60 .K68 2010</t>
        </is>
      </c>
      <c r="C410" t="inlineStr">
        <is>
          <t>0                      HN 0060000K  68          2010</t>
        </is>
      </c>
      <c r="D410" t="inlineStr">
        <is>
          <t>The next hundred million : America in 2050 / Joel Kotkin.</t>
        </is>
      </c>
      <c r="F410" t="inlineStr">
        <is>
          <t>No</t>
        </is>
      </c>
      <c r="G410" t="inlineStr">
        <is>
          <t>1</t>
        </is>
      </c>
      <c r="H410" t="inlineStr">
        <is>
          <t>No</t>
        </is>
      </c>
      <c r="I410" t="inlineStr">
        <is>
          <t>No</t>
        </is>
      </c>
      <c r="J410" t="inlineStr">
        <is>
          <t>0</t>
        </is>
      </c>
      <c r="K410" t="inlineStr">
        <is>
          <t>Kotkin, Joel.</t>
        </is>
      </c>
      <c r="L410" t="inlineStr">
        <is>
          <t>New York : Penguin Press, 2010.</t>
        </is>
      </c>
      <c r="M410" t="inlineStr">
        <is>
          <t>2010</t>
        </is>
      </c>
      <c r="O410" t="inlineStr">
        <is>
          <t>eng</t>
        </is>
      </c>
      <c r="P410" t="inlineStr">
        <is>
          <t>nyu</t>
        </is>
      </c>
      <c r="R410" t="inlineStr">
        <is>
          <t xml:space="preserve">HN </t>
        </is>
      </c>
      <c r="S410" t="n">
        <v>2</v>
      </c>
      <c r="T410" t="n">
        <v>2</v>
      </c>
      <c r="U410" t="inlineStr">
        <is>
          <t>2010-12-08</t>
        </is>
      </c>
      <c r="V410" t="inlineStr">
        <is>
          <t>2010-12-08</t>
        </is>
      </c>
      <c r="W410" t="inlineStr">
        <is>
          <t>2010-11-18</t>
        </is>
      </c>
      <c r="X410" t="inlineStr">
        <is>
          <t>2010-11-18</t>
        </is>
      </c>
      <c r="Y410" t="n">
        <v>969</v>
      </c>
      <c r="Z410" t="n">
        <v>918</v>
      </c>
      <c r="AA410" t="n">
        <v>1004</v>
      </c>
      <c r="AB410" t="n">
        <v>9</v>
      </c>
      <c r="AC410" t="n">
        <v>10</v>
      </c>
      <c r="AD410" t="n">
        <v>25</v>
      </c>
      <c r="AE410" t="n">
        <v>27</v>
      </c>
      <c r="AF410" t="n">
        <v>11</v>
      </c>
      <c r="AG410" t="n">
        <v>12</v>
      </c>
      <c r="AH410" t="n">
        <v>6</v>
      </c>
      <c r="AI410" t="n">
        <v>6</v>
      </c>
      <c r="AJ410" t="n">
        <v>10</v>
      </c>
      <c r="AK410" t="n">
        <v>10</v>
      </c>
      <c r="AL410" t="n">
        <v>5</v>
      </c>
      <c r="AM410" t="n">
        <v>6</v>
      </c>
      <c r="AN410" t="n">
        <v>1</v>
      </c>
      <c r="AO410" t="n">
        <v>1</v>
      </c>
      <c r="AP410" t="inlineStr">
        <is>
          <t>No</t>
        </is>
      </c>
      <c r="AQ410" t="inlineStr">
        <is>
          <t>No</t>
        </is>
      </c>
      <c r="AS410">
        <f>HYPERLINK("https://creighton-primo.hosted.exlibrisgroup.com/primo-explore/search?tab=default_tab&amp;search_scope=EVERYTHING&amp;vid=01CRU&amp;lang=en_US&amp;offset=0&amp;query=any,contains,991000222529702656","Catalog Record")</f>
        <v/>
      </c>
      <c r="AT410">
        <f>HYPERLINK("http://www.worldcat.org/oclc/428979025","WorldCat Record")</f>
        <v/>
      </c>
      <c r="AU410" t="inlineStr">
        <is>
          <t>316082489:eng</t>
        </is>
      </c>
      <c r="AV410" t="inlineStr">
        <is>
          <t>428979025</t>
        </is>
      </c>
      <c r="AW410" t="inlineStr">
        <is>
          <t>991000222529702656</t>
        </is>
      </c>
      <c r="AX410" t="inlineStr">
        <is>
          <t>991000222529702656</t>
        </is>
      </c>
      <c r="AY410" t="inlineStr">
        <is>
          <t>2266832460002656</t>
        </is>
      </c>
      <c r="AZ410" t="inlineStr">
        <is>
          <t>BOOK</t>
        </is>
      </c>
      <c r="BB410" t="inlineStr">
        <is>
          <t>9781594202445</t>
        </is>
      </c>
      <c r="BC410" t="inlineStr">
        <is>
          <t>32285005606834</t>
        </is>
      </c>
      <c r="BD410" t="inlineStr">
        <is>
          <t>893796522</t>
        </is>
      </c>
    </row>
    <row r="411">
      <c r="A411" t="inlineStr">
        <is>
          <t>No</t>
        </is>
      </c>
      <c r="B411" t="inlineStr">
        <is>
          <t>HN60 .S54 2005</t>
        </is>
      </c>
      <c r="C411" t="inlineStr">
        <is>
          <t>0                      HN 0060000S  54          2005</t>
        </is>
      </c>
      <c r="D411" t="inlineStr">
        <is>
          <t>Second-rate nation : from the American dream to the American myth / Sam D. Sieber.</t>
        </is>
      </c>
      <c r="F411" t="inlineStr">
        <is>
          <t>No</t>
        </is>
      </c>
      <c r="G411" t="inlineStr">
        <is>
          <t>1</t>
        </is>
      </c>
      <c r="H411" t="inlineStr">
        <is>
          <t>No</t>
        </is>
      </c>
      <c r="I411" t="inlineStr">
        <is>
          <t>No</t>
        </is>
      </c>
      <c r="J411" t="inlineStr">
        <is>
          <t>0</t>
        </is>
      </c>
      <c r="K411" t="inlineStr">
        <is>
          <t>Sieber, Sam D.</t>
        </is>
      </c>
      <c r="L411" t="inlineStr">
        <is>
          <t>Boulder, CO : Paradigm Publishers, 2005.</t>
        </is>
      </c>
      <c r="M411" t="inlineStr">
        <is>
          <t>2005</t>
        </is>
      </c>
      <c r="O411" t="inlineStr">
        <is>
          <t>eng</t>
        </is>
      </c>
      <c r="P411" t="inlineStr">
        <is>
          <t>cou</t>
        </is>
      </c>
      <c r="R411" t="inlineStr">
        <is>
          <t xml:space="preserve">HN </t>
        </is>
      </c>
      <c r="S411" t="n">
        <v>2</v>
      </c>
      <c r="T411" t="n">
        <v>2</v>
      </c>
      <c r="U411" t="inlineStr">
        <is>
          <t>2006-04-18</t>
        </is>
      </c>
      <c r="V411" t="inlineStr">
        <is>
          <t>2006-04-18</t>
        </is>
      </c>
      <c r="W411" t="inlineStr">
        <is>
          <t>2006-02-03</t>
        </is>
      </c>
      <c r="X411" t="inlineStr">
        <is>
          <t>2006-02-03</t>
        </is>
      </c>
      <c r="Y411" t="n">
        <v>444</v>
      </c>
      <c r="Z411" t="n">
        <v>401</v>
      </c>
      <c r="AA411" t="n">
        <v>427</v>
      </c>
      <c r="AB411" t="n">
        <v>4</v>
      </c>
      <c r="AC411" t="n">
        <v>4</v>
      </c>
      <c r="AD411" t="n">
        <v>16</v>
      </c>
      <c r="AE411" t="n">
        <v>16</v>
      </c>
      <c r="AF411" t="n">
        <v>6</v>
      </c>
      <c r="AG411" t="n">
        <v>6</v>
      </c>
      <c r="AH411" t="n">
        <v>5</v>
      </c>
      <c r="AI411" t="n">
        <v>5</v>
      </c>
      <c r="AJ411" t="n">
        <v>7</v>
      </c>
      <c r="AK411" t="n">
        <v>7</v>
      </c>
      <c r="AL411" t="n">
        <v>3</v>
      </c>
      <c r="AM411" t="n">
        <v>3</v>
      </c>
      <c r="AN411" t="n">
        <v>0</v>
      </c>
      <c r="AO411" t="n">
        <v>0</v>
      </c>
      <c r="AP411" t="inlineStr">
        <is>
          <t>No</t>
        </is>
      </c>
      <c r="AQ411" t="inlineStr">
        <is>
          <t>Yes</t>
        </is>
      </c>
      <c r="AR411">
        <f>HYPERLINK("http://catalog.hathitrust.org/Record/004954771","HathiTrust Record")</f>
        <v/>
      </c>
      <c r="AS411">
        <f>HYPERLINK("https://creighton-primo.hosted.exlibrisgroup.com/primo-explore/search?tab=default_tab&amp;search_scope=EVERYTHING&amp;vid=01CRU&amp;lang=en_US&amp;offset=0&amp;query=any,contains,991004716909702656","Catalog Record")</f>
        <v/>
      </c>
      <c r="AT411">
        <f>HYPERLINK("http://www.worldcat.org/oclc/57063645","WorldCat Record")</f>
        <v/>
      </c>
      <c r="AU411" t="inlineStr">
        <is>
          <t>367216208:eng</t>
        </is>
      </c>
      <c r="AV411" t="inlineStr">
        <is>
          <t>57063645</t>
        </is>
      </c>
      <c r="AW411" t="inlineStr">
        <is>
          <t>991004716909702656</t>
        </is>
      </c>
      <c r="AX411" t="inlineStr">
        <is>
          <t>991004716909702656</t>
        </is>
      </c>
      <c r="AY411" t="inlineStr">
        <is>
          <t>2269350160002656</t>
        </is>
      </c>
      <c r="AZ411" t="inlineStr">
        <is>
          <t>BOOK</t>
        </is>
      </c>
      <c r="BB411" t="inlineStr">
        <is>
          <t>9781594510908</t>
        </is>
      </c>
      <c r="BC411" t="inlineStr">
        <is>
          <t>32285005156962</t>
        </is>
      </c>
      <c r="BD411" t="inlineStr">
        <is>
          <t>893694241</t>
        </is>
      </c>
    </row>
    <row r="412">
      <c r="A412" t="inlineStr">
        <is>
          <t>No</t>
        </is>
      </c>
      <c r="B412" t="inlineStr">
        <is>
          <t>HN60 .U545 1981</t>
        </is>
      </c>
      <c r="C412" t="inlineStr">
        <is>
          <t>0                      HN 0060000U  545         1981</t>
        </is>
      </c>
      <c r="D412" t="inlineStr">
        <is>
          <t>The quality of American life in the eighties : report of the Panel on the Quality of American Life.</t>
        </is>
      </c>
      <c r="F412" t="inlineStr">
        <is>
          <t>No</t>
        </is>
      </c>
      <c r="G412" t="inlineStr">
        <is>
          <t>1</t>
        </is>
      </c>
      <c r="H412" t="inlineStr">
        <is>
          <t>No</t>
        </is>
      </c>
      <c r="I412" t="inlineStr">
        <is>
          <t>No</t>
        </is>
      </c>
      <c r="J412" t="inlineStr">
        <is>
          <t>0</t>
        </is>
      </c>
      <c r="K412" t="inlineStr">
        <is>
          <t>United States. Panel on the Quality of American Life.</t>
        </is>
      </c>
      <c r="L412" t="inlineStr">
        <is>
          <t>Englewood Cliffs, N.J. : Prentice-Hall, [1981]</t>
        </is>
      </c>
      <c r="M412" t="inlineStr">
        <is>
          <t>1981</t>
        </is>
      </c>
      <c r="O412" t="inlineStr">
        <is>
          <t>eng</t>
        </is>
      </c>
      <c r="P412" t="inlineStr">
        <is>
          <t>nju</t>
        </is>
      </c>
      <c r="Q412" t="inlineStr">
        <is>
          <t>A Spectrum book</t>
        </is>
      </c>
      <c r="R412" t="inlineStr">
        <is>
          <t xml:space="preserve">HN </t>
        </is>
      </c>
      <c r="S412" t="n">
        <v>1</v>
      </c>
      <c r="T412" t="n">
        <v>1</v>
      </c>
      <c r="U412" t="inlineStr">
        <is>
          <t>1992-02-20</t>
        </is>
      </c>
      <c r="V412" t="inlineStr">
        <is>
          <t>1992-02-20</t>
        </is>
      </c>
      <c r="W412" t="inlineStr">
        <is>
          <t>1990-07-02</t>
        </is>
      </c>
      <c r="X412" t="inlineStr">
        <is>
          <t>1990-07-02</t>
        </is>
      </c>
      <c r="Y412" t="n">
        <v>134</v>
      </c>
      <c r="Z412" t="n">
        <v>124</v>
      </c>
      <c r="AA412" t="n">
        <v>126</v>
      </c>
      <c r="AB412" t="n">
        <v>1</v>
      </c>
      <c r="AC412" t="n">
        <v>1</v>
      </c>
      <c r="AD412" t="n">
        <v>3</v>
      </c>
      <c r="AE412" t="n">
        <v>3</v>
      </c>
      <c r="AF412" t="n">
        <v>3</v>
      </c>
      <c r="AG412" t="n">
        <v>3</v>
      </c>
      <c r="AH412" t="n">
        <v>0</v>
      </c>
      <c r="AI412" t="n">
        <v>0</v>
      </c>
      <c r="AJ412" t="n">
        <v>1</v>
      </c>
      <c r="AK412" t="n">
        <v>1</v>
      </c>
      <c r="AL412" t="n">
        <v>0</v>
      </c>
      <c r="AM412" t="n">
        <v>0</v>
      </c>
      <c r="AN412" t="n">
        <v>0</v>
      </c>
      <c r="AO412" t="n">
        <v>0</v>
      </c>
      <c r="AP412" t="inlineStr">
        <is>
          <t>No</t>
        </is>
      </c>
      <c r="AQ412" t="inlineStr">
        <is>
          <t>No</t>
        </is>
      </c>
      <c r="AS412">
        <f>HYPERLINK("https://creighton-primo.hosted.exlibrisgroup.com/primo-explore/search?tab=default_tab&amp;search_scope=EVERYTHING&amp;vid=01CRU&amp;lang=en_US&amp;offset=0&amp;query=any,contains,991005130839702656","Catalog Record")</f>
        <v/>
      </c>
      <c r="AT412">
        <f>HYPERLINK("http://www.worldcat.org/oclc/7572348","WorldCat Record")</f>
        <v/>
      </c>
      <c r="AU412" t="inlineStr">
        <is>
          <t>102411736:eng</t>
        </is>
      </c>
      <c r="AV412" t="inlineStr">
        <is>
          <t>7572348</t>
        </is>
      </c>
      <c r="AW412" t="inlineStr">
        <is>
          <t>991005130839702656</t>
        </is>
      </c>
      <c r="AX412" t="inlineStr">
        <is>
          <t>991005130839702656</t>
        </is>
      </c>
      <c r="AY412" t="inlineStr">
        <is>
          <t>2269957200002656</t>
        </is>
      </c>
      <c r="AZ412" t="inlineStr">
        <is>
          <t>BOOK</t>
        </is>
      </c>
      <c r="BC412" t="inlineStr">
        <is>
          <t>32285000219336</t>
        </is>
      </c>
      <c r="BD412" t="inlineStr">
        <is>
          <t>893789495</t>
        </is>
      </c>
    </row>
    <row r="413">
      <c r="A413" t="inlineStr">
        <is>
          <t>No</t>
        </is>
      </c>
      <c r="B413" t="inlineStr">
        <is>
          <t>HN62 .H231813 1993</t>
        </is>
      </c>
      <c r="C413" t="inlineStr">
        <is>
          <t>0                      HN 0062000H  231813      1993</t>
        </is>
      </c>
      <c r="D413" t="inlineStr">
        <is>
          <t>Case study methods / Jacques Hamel, with Stéphane Dufour and Dominic Fortin.</t>
        </is>
      </c>
      <c r="F413" t="inlineStr">
        <is>
          <t>No</t>
        </is>
      </c>
      <c r="G413" t="inlineStr">
        <is>
          <t>1</t>
        </is>
      </c>
      <c r="H413" t="inlineStr">
        <is>
          <t>No</t>
        </is>
      </c>
      <c r="I413" t="inlineStr">
        <is>
          <t>No</t>
        </is>
      </c>
      <c r="J413" t="inlineStr">
        <is>
          <t>0</t>
        </is>
      </c>
      <c r="K413" t="inlineStr">
        <is>
          <t>Hamel, Jacques, 1956-</t>
        </is>
      </c>
      <c r="L413" t="inlineStr">
        <is>
          <t>Newbury Park, Calif. : Sage Publications, c1993.</t>
        </is>
      </c>
      <c r="M413" t="inlineStr">
        <is>
          <t>1993</t>
        </is>
      </c>
      <c r="O413" t="inlineStr">
        <is>
          <t>eng</t>
        </is>
      </c>
      <c r="P413" t="inlineStr">
        <is>
          <t>cau</t>
        </is>
      </c>
      <c r="Q413" t="inlineStr">
        <is>
          <t>Qualitative research methods ; v. 32</t>
        </is>
      </c>
      <c r="R413" t="inlineStr">
        <is>
          <t xml:space="preserve">HN </t>
        </is>
      </c>
      <c r="S413" t="n">
        <v>3</v>
      </c>
      <c r="T413" t="n">
        <v>3</v>
      </c>
      <c r="U413" t="inlineStr">
        <is>
          <t>2008-07-16</t>
        </is>
      </c>
      <c r="V413" t="inlineStr">
        <is>
          <t>2008-07-16</t>
        </is>
      </c>
      <c r="W413" t="inlineStr">
        <is>
          <t>1993-12-10</t>
        </is>
      </c>
      <c r="X413" t="inlineStr">
        <is>
          <t>1993-12-10</t>
        </is>
      </c>
      <c r="Y413" t="n">
        <v>583</v>
      </c>
      <c r="Z413" t="n">
        <v>376</v>
      </c>
      <c r="AA413" t="n">
        <v>425</v>
      </c>
      <c r="AB413" t="n">
        <v>4</v>
      </c>
      <c r="AC413" t="n">
        <v>4</v>
      </c>
      <c r="AD413" t="n">
        <v>23</v>
      </c>
      <c r="AE413" t="n">
        <v>26</v>
      </c>
      <c r="AF413" t="n">
        <v>12</v>
      </c>
      <c r="AG413" t="n">
        <v>13</v>
      </c>
      <c r="AH413" t="n">
        <v>3</v>
      </c>
      <c r="AI413" t="n">
        <v>4</v>
      </c>
      <c r="AJ413" t="n">
        <v>12</v>
      </c>
      <c r="AK413" t="n">
        <v>13</v>
      </c>
      <c r="AL413" t="n">
        <v>3</v>
      </c>
      <c r="AM413" t="n">
        <v>3</v>
      </c>
      <c r="AN413" t="n">
        <v>0</v>
      </c>
      <c r="AO413" t="n">
        <v>0</v>
      </c>
      <c r="AP413" t="inlineStr">
        <is>
          <t>No</t>
        </is>
      </c>
      <c r="AQ413" t="inlineStr">
        <is>
          <t>No</t>
        </is>
      </c>
      <c r="AS413">
        <f>HYPERLINK("https://creighton-primo.hosted.exlibrisgroup.com/primo-explore/search?tab=default_tab&amp;search_scope=EVERYTHING&amp;vid=01CRU&amp;lang=en_US&amp;offset=0&amp;query=any,contains,991002210639702656","Catalog Record")</f>
        <v/>
      </c>
      <c r="AT413">
        <f>HYPERLINK("http://www.worldcat.org/oclc/28422677","WorldCat Record")</f>
        <v/>
      </c>
      <c r="AU413" t="inlineStr">
        <is>
          <t>904330:eng</t>
        </is>
      </c>
      <c r="AV413" t="inlineStr">
        <is>
          <t>28422677</t>
        </is>
      </c>
      <c r="AW413" t="inlineStr">
        <is>
          <t>991002210639702656</t>
        </is>
      </c>
      <c r="AX413" t="inlineStr">
        <is>
          <t>991002210639702656</t>
        </is>
      </c>
      <c r="AY413" t="inlineStr">
        <is>
          <t>2259790140002656</t>
        </is>
      </c>
      <c r="AZ413" t="inlineStr">
        <is>
          <t>BOOK</t>
        </is>
      </c>
      <c r="BB413" t="inlineStr">
        <is>
          <t>9780803954151</t>
        </is>
      </c>
      <c r="BC413" t="inlineStr">
        <is>
          <t>32285001814572</t>
        </is>
      </c>
      <c r="BD413" t="inlineStr">
        <is>
          <t>893716179</t>
        </is>
      </c>
    </row>
    <row r="414">
      <c r="A414" t="inlineStr">
        <is>
          <t>No</t>
        </is>
      </c>
      <c r="B414" t="inlineStr">
        <is>
          <t>HN623.5 .G5 2002</t>
        </is>
      </c>
      <c r="C414" t="inlineStr">
        <is>
          <t>0                      HN 0623500G  5           2002</t>
        </is>
      </c>
      <c r="D414" t="inlineStr">
        <is>
          <t>An introduction to post-communist Bulgaria : political, economic, and social transformations / Emil Giatzidis.</t>
        </is>
      </c>
      <c r="F414" t="inlineStr">
        <is>
          <t>No</t>
        </is>
      </c>
      <c r="G414" t="inlineStr">
        <is>
          <t>1</t>
        </is>
      </c>
      <c r="H414" t="inlineStr">
        <is>
          <t>No</t>
        </is>
      </c>
      <c r="I414" t="inlineStr">
        <is>
          <t>No</t>
        </is>
      </c>
      <c r="J414" t="inlineStr">
        <is>
          <t>0</t>
        </is>
      </c>
      <c r="K414" t="inlineStr">
        <is>
          <t>Giatzidis, Emil.</t>
        </is>
      </c>
      <c r="L414" t="inlineStr">
        <is>
          <t>Manchester [UK] ; New York : Manchester University Press ; New York : Distributed exclusively in the USA by Palgrave, 2002.</t>
        </is>
      </c>
      <c r="M414" t="inlineStr">
        <is>
          <t>2002</t>
        </is>
      </c>
      <c r="O414" t="inlineStr">
        <is>
          <t>eng</t>
        </is>
      </c>
      <c r="P414" t="inlineStr">
        <is>
          <t>enk</t>
        </is>
      </c>
      <c r="Q414" t="inlineStr">
        <is>
          <t>Europe in change</t>
        </is>
      </c>
      <c r="R414" t="inlineStr">
        <is>
          <t xml:space="preserve">HN </t>
        </is>
      </c>
      <c r="S414" t="n">
        <v>1</v>
      </c>
      <c r="T414" t="n">
        <v>1</v>
      </c>
      <c r="U414" t="inlineStr">
        <is>
          <t>2003-02-27</t>
        </is>
      </c>
      <c r="V414" t="inlineStr">
        <is>
          <t>2003-02-27</t>
        </is>
      </c>
      <c r="W414" t="inlineStr">
        <is>
          <t>2003-02-27</t>
        </is>
      </c>
      <c r="X414" t="inlineStr">
        <is>
          <t>2003-02-27</t>
        </is>
      </c>
      <c r="Y414" t="n">
        <v>285</v>
      </c>
      <c r="Z414" t="n">
        <v>214</v>
      </c>
      <c r="AA414" t="n">
        <v>220</v>
      </c>
      <c r="AB414" t="n">
        <v>2</v>
      </c>
      <c r="AC414" t="n">
        <v>2</v>
      </c>
      <c r="AD414" t="n">
        <v>12</v>
      </c>
      <c r="AE414" t="n">
        <v>12</v>
      </c>
      <c r="AF414" t="n">
        <v>7</v>
      </c>
      <c r="AG414" t="n">
        <v>7</v>
      </c>
      <c r="AH414" t="n">
        <v>4</v>
      </c>
      <c r="AI414" t="n">
        <v>4</v>
      </c>
      <c r="AJ414" t="n">
        <v>4</v>
      </c>
      <c r="AK414" t="n">
        <v>4</v>
      </c>
      <c r="AL414" t="n">
        <v>1</v>
      </c>
      <c r="AM414" t="n">
        <v>1</v>
      </c>
      <c r="AN414" t="n">
        <v>0</v>
      </c>
      <c r="AO414" t="n">
        <v>0</v>
      </c>
      <c r="AP414" t="inlineStr">
        <is>
          <t>No</t>
        </is>
      </c>
      <c r="AQ414" t="inlineStr">
        <is>
          <t>No</t>
        </is>
      </c>
      <c r="AS414">
        <f>HYPERLINK("https://creighton-primo.hosted.exlibrisgroup.com/primo-explore/search?tab=default_tab&amp;search_scope=EVERYTHING&amp;vid=01CRU&amp;lang=en_US&amp;offset=0&amp;query=any,contains,991003991339702656","Catalog Record")</f>
        <v/>
      </c>
      <c r="AT414">
        <f>HYPERLINK("http://www.worldcat.org/oclc/50017236","WorldCat Record")</f>
        <v/>
      </c>
      <c r="AU414" t="inlineStr">
        <is>
          <t>6189183:eng</t>
        </is>
      </c>
      <c r="AV414" t="inlineStr">
        <is>
          <t>50017236</t>
        </is>
      </c>
      <c r="AW414" t="inlineStr">
        <is>
          <t>991003991339702656</t>
        </is>
      </c>
      <c r="AX414" t="inlineStr">
        <is>
          <t>991003991339702656</t>
        </is>
      </c>
      <c r="AY414" t="inlineStr">
        <is>
          <t>2269786030002656</t>
        </is>
      </c>
      <c r="AZ414" t="inlineStr">
        <is>
          <t>BOOK</t>
        </is>
      </c>
      <c r="BB414" t="inlineStr">
        <is>
          <t>9780719060946</t>
        </is>
      </c>
      <c r="BC414" t="inlineStr">
        <is>
          <t>32285004681705</t>
        </is>
      </c>
      <c r="BD414" t="inlineStr">
        <is>
          <t>893618084</t>
        </is>
      </c>
    </row>
    <row r="415">
      <c r="A415" t="inlineStr">
        <is>
          <t>No</t>
        </is>
      </c>
      <c r="B415" t="inlineStr">
        <is>
          <t>HN64 .L29</t>
        </is>
      </c>
      <c r="C415" t="inlineStr">
        <is>
          <t>0                      HN 0064000L  29</t>
        </is>
      </c>
      <c r="D415" t="inlineStr">
        <is>
          <t>The new radicalism in America, 1889-1963: the intellectual as a social type.</t>
        </is>
      </c>
      <c r="F415" t="inlineStr">
        <is>
          <t>No</t>
        </is>
      </c>
      <c r="G415" t="inlineStr">
        <is>
          <t>1</t>
        </is>
      </c>
      <c r="H415" t="inlineStr">
        <is>
          <t>No</t>
        </is>
      </c>
      <c r="I415" t="inlineStr">
        <is>
          <t>No</t>
        </is>
      </c>
      <c r="J415" t="inlineStr">
        <is>
          <t>0</t>
        </is>
      </c>
      <c r="K415" t="inlineStr">
        <is>
          <t>Lasch, Christopher.</t>
        </is>
      </c>
      <c r="L415" t="inlineStr">
        <is>
          <t>New York, Knopf, 1966, c1965.</t>
        </is>
      </c>
      <c r="M415" t="inlineStr">
        <is>
          <t>1966</t>
        </is>
      </c>
      <c r="N415" t="inlineStr">
        <is>
          <t>2nd printing.</t>
        </is>
      </c>
      <c r="O415" t="inlineStr">
        <is>
          <t>eng</t>
        </is>
      </c>
      <c r="P415" t="inlineStr">
        <is>
          <t>nyu</t>
        </is>
      </c>
      <c r="Q415" t="inlineStr">
        <is>
          <t>Borzoi book</t>
        </is>
      </c>
      <c r="R415" t="inlineStr">
        <is>
          <t xml:space="preserve">HN </t>
        </is>
      </c>
      <c r="S415" t="n">
        <v>1</v>
      </c>
      <c r="T415" t="n">
        <v>1</v>
      </c>
      <c r="U415" t="inlineStr">
        <is>
          <t>2003-12-02</t>
        </is>
      </c>
      <c r="V415" t="inlineStr">
        <is>
          <t>2003-12-02</t>
        </is>
      </c>
      <c r="W415" t="inlineStr">
        <is>
          <t>1997-08-05</t>
        </is>
      </c>
      <c r="X415" t="inlineStr">
        <is>
          <t>1997-08-05</t>
        </is>
      </c>
      <c r="Y415" t="n">
        <v>31</v>
      </c>
      <c r="Z415" t="n">
        <v>20</v>
      </c>
      <c r="AA415" t="n">
        <v>1426</v>
      </c>
      <c r="AB415" t="n">
        <v>1</v>
      </c>
      <c r="AC415" t="n">
        <v>11</v>
      </c>
      <c r="AD415" t="n">
        <v>2</v>
      </c>
      <c r="AE415" t="n">
        <v>57</v>
      </c>
      <c r="AF415" t="n">
        <v>2</v>
      </c>
      <c r="AG415" t="n">
        <v>22</v>
      </c>
      <c r="AH415" t="n">
        <v>0</v>
      </c>
      <c r="AI415" t="n">
        <v>11</v>
      </c>
      <c r="AJ415" t="n">
        <v>1</v>
      </c>
      <c r="AK415" t="n">
        <v>26</v>
      </c>
      <c r="AL415" t="n">
        <v>0</v>
      </c>
      <c r="AM415" t="n">
        <v>9</v>
      </c>
      <c r="AN415" t="n">
        <v>0</v>
      </c>
      <c r="AO415" t="n">
        <v>3</v>
      </c>
      <c r="AP415" t="inlineStr">
        <is>
          <t>No</t>
        </is>
      </c>
      <c r="AQ415" t="inlineStr">
        <is>
          <t>No</t>
        </is>
      </c>
      <c r="AS415">
        <f>HYPERLINK("https://creighton-primo.hosted.exlibrisgroup.com/primo-explore/search?tab=default_tab&amp;search_scope=EVERYTHING&amp;vid=01CRU&amp;lang=en_US&amp;offset=0&amp;query=any,contains,991001505289702656","Catalog Record")</f>
        <v/>
      </c>
      <c r="AT415">
        <f>HYPERLINK("http://www.worldcat.org/oclc/19825346","WorldCat Record")</f>
        <v/>
      </c>
      <c r="AU415" t="inlineStr">
        <is>
          <t>433051618:eng</t>
        </is>
      </c>
      <c r="AV415" t="inlineStr">
        <is>
          <t>19825346</t>
        </is>
      </c>
      <c r="AW415" t="inlineStr">
        <is>
          <t>991001505289702656</t>
        </is>
      </c>
      <c r="AX415" t="inlineStr">
        <is>
          <t>991001505289702656</t>
        </is>
      </c>
      <c r="AY415" t="inlineStr">
        <is>
          <t>2266405550002656</t>
        </is>
      </c>
      <c r="AZ415" t="inlineStr">
        <is>
          <t>BOOK</t>
        </is>
      </c>
      <c r="BC415" t="inlineStr">
        <is>
          <t>32285003042818</t>
        </is>
      </c>
      <c r="BD415" t="inlineStr">
        <is>
          <t>893503456</t>
        </is>
      </c>
    </row>
    <row r="416">
      <c r="A416" t="inlineStr">
        <is>
          <t>No</t>
        </is>
      </c>
      <c r="B416" t="inlineStr">
        <is>
          <t>HN64 .W2136 1978</t>
        </is>
      </c>
      <c r="C416" t="inlineStr">
        <is>
          <t>0                      HN 0064000W  2136        1978</t>
        </is>
      </c>
      <c r="D416" t="inlineStr">
        <is>
          <t>American reformers, 1815-1860 / Ronald G. Walters ; consulting editor, Eric Foner.</t>
        </is>
      </c>
      <c r="F416" t="inlineStr">
        <is>
          <t>No</t>
        </is>
      </c>
      <c r="G416" t="inlineStr">
        <is>
          <t>1</t>
        </is>
      </c>
      <c r="H416" t="inlineStr">
        <is>
          <t>No</t>
        </is>
      </c>
      <c r="I416" t="inlineStr">
        <is>
          <t>Yes</t>
        </is>
      </c>
      <c r="J416" t="inlineStr">
        <is>
          <t>0</t>
        </is>
      </c>
      <c r="K416" t="inlineStr">
        <is>
          <t>Walters, Ronald G.</t>
        </is>
      </c>
      <c r="L416" t="inlineStr">
        <is>
          <t>New York : Hill and Wang, 1978.</t>
        </is>
      </c>
      <c r="M416" t="inlineStr">
        <is>
          <t>1978</t>
        </is>
      </c>
      <c r="N416" t="inlineStr">
        <is>
          <t>1st ed.</t>
        </is>
      </c>
      <c r="O416" t="inlineStr">
        <is>
          <t>eng</t>
        </is>
      </c>
      <c r="P416" t="inlineStr">
        <is>
          <t>nyu</t>
        </is>
      </c>
      <c r="Q416" t="inlineStr">
        <is>
          <t>American century series</t>
        </is>
      </c>
      <c r="R416" t="inlineStr">
        <is>
          <t xml:space="preserve">HN </t>
        </is>
      </c>
      <c r="S416" t="n">
        <v>7</v>
      </c>
      <c r="T416" t="n">
        <v>7</v>
      </c>
      <c r="U416" t="inlineStr">
        <is>
          <t>2002-12-05</t>
        </is>
      </c>
      <c r="V416" t="inlineStr">
        <is>
          <t>2002-12-05</t>
        </is>
      </c>
      <c r="W416" t="inlineStr">
        <is>
          <t>1992-09-28</t>
        </is>
      </c>
      <c r="X416" t="inlineStr">
        <is>
          <t>1992-09-28</t>
        </is>
      </c>
      <c r="Y416" t="n">
        <v>1134</v>
      </c>
      <c r="Z416" t="n">
        <v>1012</v>
      </c>
      <c r="AA416" t="n">
        <v>1189</v>
      </c>
      <c r="AB416" t="n">
        <v>7</v>
      </c>
      <c r="AC416" t="n">
        <v>8</v>
      </c>
      <c r="AD416" t="n">
        <v>39</v>
      </c>
      <c r="AE416" t="n">
        <v>46</v>
      </c>
      <c r="AF416" t="n">
        <v>16</v>
      </c>
      <c r="AG416" t="n">
        <v>21</v>
      </c>
      <c r="AH416" t="n">
        <v>9</v>
      </c>
      <c r="AI416" t="n">
        <v>10</v>
      </c>
      <c r="AJ416" t="n">
        <v>20</v>
      </c>
      <c r="AK416" t="n">
        <v>22</v>
      </c>
      <c r="AL416" t="n">
        <v>6</v>
      </c>
      <c r="AM416" t="n">
        <v>7</v>
      </c>
      <c r="AN416" t="n">
        <v>0</v>
      </c>
      <c r="AO416" t="n">
        <v>0</v>
      </c>
      <c r="AP416" t="inlineStr">
        <is>
          <t>No</t>
        </is>
      </c>
      <c r="AQ416" t="inlineStr">
        <is>
          <t>No</t>
        </is>
      </c>
      <c r="AS416">
        <f>HYPERLINK("https://creighton-primo.hosted.exlibrisgroup.com/primo-explore/search?tab=default_tab&amp;search_scope=EVERYTHING&amp;vid=01CRU&amp;lang=en_US&amp;offset=0&amp;query=any,contains,991004524629702656","Catalog Record")</f>
        <v/>
      </c>
      <c r="AT416">
        <f>HYPERLINK("http://www.worldcat.org/oclc/3842623","WorldCat Record")</f>
        <v/>
      </c>
      <c r="AU416" t="inlineStr">
        <is>
          <t>13273040:eng</t>
        </is>
      </c>
      <c r="AV416" t="inlineStr">
        <is>
          <t>3842623</t>
        </is>
      </c>
      <c r="AW416" t="inlineStr">
        <is>
          <t>991004524629702656</t>
        </is>
      </c>
      <c r="AX416" t="inlineStr">
        <is>
          <t>991004524629702656</t>
        </is>
      </c>
      <c r="AY416" t="inlineStr">
        <is>
          <t>2264310050002656</t>
        </is>
      </c>
      <c r="AZ416" t="inlineStr">
        <is>
          <t>BOOK</t>
        </is>
      </c>
      <c r="BB416" t="inlineStr">
        <is>
          <t>9780809025572</t>
        </is>
      </c>
      <c r="BC416" t="inlineStr">
        <is>
          <t>32285001355329</t>
        </is>
      </c>
      <c r="BD416" t="inlineStr">
        <is>
          <t>893253785</t>
        </is>
      </c>
    </row>
    <row r="417">
      <c r="A417" t="inlineStr">
        <is>
          <t>No</t>
        </is>
      </c>
      <c r="B417" t="inlineStr">
        <is>
          <t>HN64 .W433</t>
        </is>
      </c>
      <c r="C417" t="inlineStr">
        <is>
          <t>0                      HN 0064000W  433</t>
        </is>
      </c>
      <c r="D417" t="inlineStr">
        <is>
          <t>The muckrakers; the era in journalism that moved America to reform, the most significant magazine articles of 1902-1912, edited and with notes by Arthur and Lila Weinberg.</t>
        </is>
      </c>
      <c r="F417" t="inlineStr">
        <is>
          <t>No</t>
        </is>
      </c>
      <c r="G417" t="inlineStr">
        <is>
          <t>1</t>
        </is>
      </c>
      <c r="H417" t="inlineStr">
        <is>
          <t>No</t>
        </is>
      </c>
      <c r="I417" t="inlineStr">
        <is>
          <t>No</t>
        </is>
      </c>
      <c r="J417" t="inlineStr">
        <is>
          <t>0</t>
        </is>
      </c>
      <c r="K417" t="inlineStr">
        <is>
          <t>Weinberg, Arthur, 1915-1989, compiler.</t>
        </is>
      </c>
      <c r="L417" t="inlineStr">
        <is>
          <t>New York, Simon and Schuster, 1961.</t>
        </is>
      </c>
      <c r="M417" t="inlineStr">
        <is>
          <t>1961</t>
        </is>
      </c>
      <c r="O417" t="inlineStr">
        <is>
          <t>eng</t>
        </is>
      </c>
      <c r="P417" t="inlineStr">
        <is>
          <t>nyu</t>
        </is>
      </c>
      <c r="R417" t="inlineStr">
        <is>
          <t xml:space="preserve">HN </t>
        </is>
      </c>
      <c r="S417" t="n">
        <v>2</v>
      </c>
      <c r="T417" t="n">
        <v>2</v>
      </c>
      <c r="U417" t="inlineStr">
        <is>
          <t>1998-11-10</t>
        </is>
      </c>
      <c r="V417" t="inlineStr">
        <is>
          <t>1998-11-10</t>
        </is>
      </c>
      <c r="W417" t="inlineStr">
        <is>
          <t>1997-08-05</t>
        </is>
      </c>
      <c r="X417" t="inlineStr">
        <is>
          <t>1997-08-05</t>
        </is>
      </c>
      <c r="Y417" t="n">
        <v>1095</v>
      </c>
      <c r="Z417" t="n">
        <v>1018</v>
      </c>
      <c r="AA417" t="n">
        <v>1310</v>
      </c>
      <c r="AB417" t="n">
        <v>8</v>
      </c>
      <c r="AC417" t="n">
        <v>10</v>
      </c>
      <c r="AD417" t="n">
        <v>37</v>
      </c>
      <c r="AE417" t="n">
        <v>48</v>
      </c>
      <c r="AF417" t="n">
        <v>17</v>
      </c>
      <c r="AG417" t="n">
        <v>21</v>
      </c>
      <c r="AH417" t="n">
        <v>7</v>
      </c>
      <c r="AI417" t="n">
        <v>9</v>
      </c>
      <c r="AJ417" t="n">
        <v>15</v>
      </c>
      <c r="AK417" t="n">
        <v>21</v>
      </c>
      <c r="AL417" t="n">
        <v>7</v>
      </c>
      <c r="AM417" t="n">
        <v>9</v>
      </c>
      <c r="AN417" t="n">
        <v>0</v>
      </c>
      <c r="AO417" t="n">
        <v>0</v>
      </c>
      <c r="AP417" t="inlineStr">
        <is>
          <t>No</t>
        </is>
      </c>
      <c r="AQ417" t="inlineStr">
        <is>
          <t>No</t>
        </is>
      </c>
      <c r="AS417">
        <f>HYPERLINK("https://creighton-primo.hosted.exlibrisgroup.com/primo-explore/search?tab=default_tab&amp;search_scope=EVERYTHING&amp;vid=01CRU&amp;lang=en_US&amp;offset=0&amp;query=any,contains,991002001169702656","Catalog Record")</f>
        <v/>
      </c>
      <c r="AT417">
        <f>HYPERLINK("http://www.worldcat.org/oclc/256295","WorldCat Record")</f>
        <v/>
      </c>
      <c r="AU417" t="inlineStr">
        <is>
          <t>867263728:eng</t>
        </is>
      </c>
      <c r="AV417" t="inlineStr">
        <is>
          <t>256295</t>
        </is>
      </c>
      <c r="AW417" t="inlineStr">
        <is>
          <t>991002001169702656</t>
        </is>
      </c>
      <c r="AX417" t="inlineStr">
        <is>
          <t>991002001169702656</t>
        </is>
      </c>
      <c r="AY417" t="inlineStr">
        <is>
          <t>2272274110002656</t>
        </is>
      </c>
      <c r="AZ417" t="inlineStr">
        <is>
          <t>BOOK</t>
        </is>
      </c>
      <c r="BC417" t="inlineStr">
        <is>
          <t>32285003042990</t>
        </is>
      </c>
      <c r="BD417" t="inlineStr">
        <is>
          <t>893596917</t>
        </is>
      </c>
    </row>
    <row r="418">
      <c r="A418" t="inlineStr">
        <is>
          <t>No</t>
        </is>
      </c>
      <c r="B418" t="inlineStr">
        <is>
          <t>HN65 .A6</t>
        </is>
      </c>
      <c r="C418" t="inlineStr">
        <is>
          <t>0                      HN 0065000A  6</t>
        </is>
      </c>
      <c r="D418" t="inlineStr">
        <is>
          <t>Redesigning the future: a systems approach to societal problems / by Russell L. Ackoff.</t>
        </is>
      </c>
      <c r="F418" t="inlineStr">
        <is>
          <t>No</t>
        </is>
      </c>
      <c r="G418" t="inlineStr">
        <is>
          <t>1</t>
        </is>
      </c>
      <c r="H418" t="inlineStr">
        <is>
          <t>No</t>
        </is>
      </c>
      <c r="I418" t="inlineStr">
        <is>
          <t>No</t>
        </is>
      </c>
      <c r="J418" t="inlineStr">
        <is>
          <t>0</t>
        </is>
      </c>
      <c r="K418" t="inlineStr">
        <is>
          <t>Ackoff, Russell Lincoln, 1919-2009.</t>
        </is>
      </c>
      <c r="L418" t="inlineStr">
        <is>
          <t>New York : Wiley, 1974.</t>
        </is>
      </c>
      <c r="M418" t="inlineStr">
        <is>
          <t>1974</t>
        </is>
      </c>
      <c r="O418" t="inlineStr">
        <is>
          <t>eng</t>
        </is>
      </c>
      <c r="P418" t="inlineStr">
        <is>
          <t>nyu</t>
        </is>
      </c>
      <c r="R418" t="inlineStr">
        <is>
          <t xml:space="preserve">HN </t>
        </is>
      </c>
      <c r="S418" t="n">
        <v>2</v>
      </c>
      <c r="T418" t="n">
        <v>2</v>
      </c>
      <c r="U418" t="inlineStr">
        <is>
          <t>1994-04-28</t>
        </is>
      </c>
      <c r="V418" t="inlineStr">
        <is>
          <t>1994-04-28</t>
        </is>
      </c>
      <c r="W418" t="inlineStr">
        <is>
          <t>1992-07-27</t>
        </is>
      </c>
      <c r="X418" t="inlineStr">
        <is>
          <t>1992-07-27</t>
        </is>
      </c>
      <c r="Y418" t="n">
        <v>837</v>
      </c>
      <c r="Z418" t="n">
        <v>633</v>
      </c>
      <c r="AA418" t="n">
        <v>643</v>
      </c>
      <c r="AB418" t="n">
        <v>5</v>
      </c>
      <c r="AC418" t="n">
        <v>5</v>
      </c>
      <c r="AD418" t="n">
        <v>27</v>
      </c>
      <c r="AE418" t="n">
        <v>27</v>
      </c>
      <c r="AF418" t="n">
        <v>10</v>
      </c>
      <c r="AG418" t="n">
        <v>10</v>
      </c>
      <c r="AH418" t="n">
        <v>7</v>
      </c>
      <c r="AI418" t="n">
        <v>7</v>
      </c>
      <c r="AJ418" t="n">
        <v>15</v>
      </c>
      <c r="AK418" t="n">
        <v>15</v>
      </c>
      <c r="AL418" t="n">
        <v>4</v>
      </c>
      <c r="AM418" t="n">
        <v>4</v>
      </c>
      <c r="AN418" t="n">
        <v>0</v>
      </c>
      <c r="AO418" t="n">
        <v>0</v>
      </c>
      <c r="AP418" t="inlineStr">
        <is>
          <t>No</t>
        </is>
      </c>
      <c r="AQ418" t="inlineStr">
        <is>
          <t>Yes</t>
        </is>
      </c>
      <c r="AR418">
        <f>HYPERLINK("http://catalog.hathitrust.org/Record/000014788","HathiTrust Record")</f>
        <v/>
      </c>
      <c r="AS418">
        <f>HYPERLINK("https://creighton-primo.hosted.exlibrisgroup.com/primo-explore/search?tab=default_tab&amp;search_scope=EVERYTHING&amp;vid=01CRU&amp;lang=en_US&amp;offset=0&amp;query=any,contains,991003386629702656","Catalog Record")</f>
        <v/>
      </c>
      <c r="AT418">
        <f>HYPERLINK("http://www.worldcat.org/oclc/922908","WorldCat Record")</f>
        <v/>
      </c>
      <c r="AU418" t="inlineStr">
        <is>
          <t>4087486540:eng</t>
        </is>
      </c>
      <c r="AV418" t="inlineStr">
        <is>
          <t>922908</t>
        </is>
      </c>
      <c r="AW418" t="inlineStr">
        <is>
          <t>991003386629702656</t>
        </is>
      </c>
      <c r="AX418" t="inlineStr">
        <is>
          <t>991003386629702656</t>
        </is>
      </c>
      <c r="AY418" t="inlineStr">
        <is>
          <t>2264739370002656</t>
        </is>
      </c>
      <c r="AZ418" t="inlineStr">
        <is>
          <t>BOOK</t>
        </is>
      </c>
      <c r="BB418" t="inlineStr">
        <is>
          <t>9780471002963</t>
        </is>
      </c>
      <c r="BC418" t="inlineStr">
        <is>
          <t>32285001207165</t>
        </is>
      </c>
      <c r="BD418" t="inlineStr">
        <is>
          <t>893422528</t>
        </is>
      </c>
    </row>
    <row r="419">
      <c r="A419" t="inlineStr">
        <is>
          <t>No</t>
        </is>
      </c>
      <c r="B419" t="inlineStr">
        <is>
          <t>HN65 .A673 1979</t>
        </is>
      </c>
      <c r="C419" t="inlineStr">
        <is>
          <t>0                      HN 0065000A  673         1979</t>
        </is>
      </c>
      <c r="D419" t="inlineStr">
        <is>
          <t>Anyone's daughter / Shana Alexander.</t>
        </is>
      </c>
      <c r="F419" t="inlineStr">
        <is>
          <t>No</t>
        </is>
      </c>
      <c r="G419" t="inlineStr">
        <is>
          <t>1</t>
        </is>
      </c>
      <c r="H419" t="inlineStr">
        <is>
          <t>No</t>
        </is>
      </c>
      <c r="I419" t="inlineStr">
        <is>
          <t>No</t>
        </is>
      </c>
      <c r="J419" t="inlineStr">
        <is>
          <t>0</t>
        </is>
      </c>
      <c r="K419" t="inlineStr">
        <is>
          <t>Alexander, Shana.</t>
        </is>
      </c>
      <c r="L419" t="inlineStr">
        <is>
          <t>New York : Viking Press, c1979.</t>
        </is>
      </c>
      <c r="M419" t="inlineStr">
        <is>
          <t>1979</t>
        </is>
      </c>
      <c r="O419" t="inlineStr">
        <is>
          <t>eng</t>
        </is>
      </c>
      <c r="P419" t="inlineStr">
        <is>
          <t>nyu</t>
        </is>
      </c>
      <c r="R419" t="inlineStr">
        <is>
          <t xml:space="preserve">HN </t>
        </is>
      </c>
      <c r="S419" t="n">
        <v>8</v>
      </c>
      <c r="T419" t="n">
        <v>8</v>
      </c>
      <c r="U419" t="inlineStr">
        <is>
          <t>2010-03-22</t>
        </is>
      </c>
      <c r="V419" t="inlineStr">
        <is>
          <t>2010-03-22</t>
        </is>
      </c>
      <c r="W419" t="inlineStr">
        <is>
          <t>1992-09-28</t>
        </is>
      </c>
      <c r="X419" t="inlineStr">
        <is>
          <t>1992-09-28</t>
        </is>
      </c>
      <c r="Y419" t="n">
        <v>1346</v>
      </c>
      <c r="Z419" t="n">
        <v>1303</v>
      </c>
      <c r="AA419" t="n">
        <v>1331</v>
      </c>
      <c r="AB419" t="n">
        <v>7</v>
      </c>
      <c r="AC419" t="n">
        <v>7</v>
      </c>
      <c r="AD419" t="n">
        <v>19</v>
      </c>
      <c r="AE419" t="n">
        <v>19</v>
      </c>
      <c r="AF419" t="n">
        <v>7</v>
      </c>
      <c r="AG419" t="n">
        <v>7</v>
      </c>
      <c r="AH419" t="n">
        <v>5</v>
      </c>
      <c r="AI419" t="n">
        <v>5</v>
      </c>
      <c r="AJ419" t="n">
        <v>9</v>
      </c>
      <c r="AK419" t="n">
        <v>9</v>
      </c>
      <c r="AL419" t="n">
        <v>2</v>
      </c>
      <c r="AM419" t="n">
        <v>2</v>
      </c>
      <c r="AN419" t="n">
        <v>2</v>
      </c>
      <c r="AO419" t="n">
        <v>2</v>
      </c>
      <c r="AP419" t="inlineStr">
        <is>
          <t>No</t>
        </is>
      </c>
      <c r="AQ419" t="inlineStr">
        <is>
          <t>No</t>
        </is>
      </c>
      <c r="AS419">
        <f>HYPERLINK("https://creighton-primo.hosted.exlibrisgroup.com/primo-explore/search?tab=default_tab&amp;search_scope=EVERYTHING&amp;vid=01CRU&amp;lang=en_US&amp;offset=0&amp;query=any,contains,991004668929702656","Catalog Record")</f>
        <v/>
      </c>
      <c r="AT419">
        <f>HYPERLINK("http://www.worldcat.org/oclc/4514963","WorldCat Record")</f>
        <v/>
      </c>
      <c r="AU419" t="inlineStr">
        <is>
          <t>12574293:eng</t>
        </is>
      </c>
      <c r="AV419" t="inlineStr">
        <is>
          <t>4514963</t>
        </is>
      </c>
      <c r="AW419" t="inlineStr">
        <is>
          <t>991004668929702656</t>
        </is>
      </c>
      <c r="AX419" t="inlineStr">
        <is>
          <t>991004668929702656</t>
        </is>
      </c>
      <c r="AY419" t="inlineStr">
        <is>
          <t>2265961440002656</t>
        </is>
      </c>
      <c r="AZ419" t="inlineStr">
        <is>
          <t>BOOK</t>
        </is>
      </c>
      <c r="BB419" t="inlineStr">
        <is>
          <t>9780670129492</t>
        </is>
      </c>
      <c r="BC419" t="inlineStr">
        <is>
          <t>32285001355345</t>
        </is>
      </c>
      <c r="BD419" t="inlineStr">
        <is>
          <t>893424061</t>
        </is>
      </c>
    </row>
    <row r="420">
      <c r="A420" t="inlineStr">
        <is>
          <t>No</t>
        </is>
      </c>
      <c r="B420" t="inlineStr">
        <is>
          <t>HN65 .B47 1990</t>
        </is>
      </c>
      <c r="C420" t="inlineStr">
        <is>
          <t>0                      HN 0065000B  47          1990</t>
        </is>
      </c>
      <c r="D420" t="inlineStr">
        <is>
          <t>The roots of community organizing, 1917-1939 / Neil Betten and Michael J. Austin with contributions by Robert Fisher ... [et al.].</t>
        </is>
      </c>
      <c r="F420" t="inlineStr">
        <is>
          <t>No</t>
        </is>
      </c>
      <c r="G420" t="inlineStr">
        <is>
          <t>1</t>
        </is>
      </c>
      <c r="H420" t="inlineStr">
        <is>
          <t>No</t>
        </is>
      </c>
      <c r="I420" t="inlineStr">
        <is>
          <t>No</t>
        </is>
      </c>
      <c r="J420" t="inlineStr">
        <is>
          <t>0</t>
        </is>
      </c>
      <c r="K420" t="inlineStr">
        <is>
          <t>Betten, Neil.</t>
        </is>
      </c>
      <c r="L420" t="inlineStr">
        <is>
          <t>Philadelphia : Temple University Press, 1990.</t>
        </is>
      </c>
      <c r="M420" t="inlineStr">
        <is>
          <t>1990</t>
        </is>
      </c>
      <c r="O420" t="inlineStr">
        <is>
          <t>eng</t>
        </is>
      </c>
      <c r="P420" t="inlineStr">
        <is>
          <t>pau</t>
        </is>
      </c>
      <c r="R420" t="inlineStr">
        <is>
          <t xml:space="preserve">HN </t>
        </is>
      </c>
      <c r="S420" t="n">
        <v>6</v>
      </c>
      <c r="T420" t="n">
        <v>6</v>
      </c>
      <c r="U420" t="inlineStr">
        <is>
          <t>1996-09-21</t>
        </is>
      </c>
      <c r="V420" t="inlineStr">
        <is>
          <t>1996-09-21</t>
        </is>
      </c>
      <c r="W420" t="inlineStr">
        <is>
          <t>1990-05-02</t>
        </is>
      </c>
      <c r="X420" t="inlineStr">
        <is>
          <t>1990-05-02</t>
        </is>
      </c>
      <c r="Y420" t="n">
        <v>454</v>
      </c>
      <c r="Z420" t="n">
        <v>407</v>
      </c>
      <c r="AA420" t="n">
        <v>412</v>
      </c>
      <c r="AB420" t="n">
        <v>4</v>
      </c>
      <c r="AC420" t="n">
        <v>4</v>
      </c>
      <c r="AD420" t="n">
        <v>22</v>
      </c>
      <c r="AE420" t="n">
        <v>22</v>
      </c>
      <c r="AF420" t="n">
        <v>5</v>
      </c>
      <c r="AG420" t="n">
        <v>5</v>
      </c>
      <c r="AH420" t="n">
        <v>6</v>
      </c>
      <c r="AI420" t="n">
        <v>6</v>
      </c>
      <c r="AJ420" t="n">
        <v>14</v>
      </c>
      <c r="AK420" t="n">
        <v>14</v>
      </c>
      <c r="AL420" t="n">
        <v>3</v>
      </c>
      <c r="AM420" t="n">
        <v>3</v>
      </c>
      <c r="AN420" t="n">
        <v>0</v>
      </c>
      <c r="AO420" t="n">
        <v>0</v>
      </c>
      <c r="AP420" t="inlineStr">
        <is>
          <t>No</t>
        </is>
      </c>
      <c r="AQ420" t="inlineStr">
        <is>
          <t>No</t>
        </is>
      </c>
      <c r="AS420">
        <f>HYPERLINK("https://creighton-primo.hosted.exlibrisgroup.com/primo-explore/search?tab=default_tab&amp;search_scope=EVERYTHING&amp;vid=01CRU&amp;lang=en_US&amp;offset=0&amp;query=any,contains,991001475529702656","Catalog Record")</f>
        <v/>
      </c>
      <c r="AT420">
        <f>HYPERLINK("http://www.worldcat.org/oclc/19556345","WorldCat Record")</f>
        <v/>
      </c>
      <c r="AU420" t="inlineStr">
        <is>
          <t>21206898:eng</t>
        </is>
      </c>
      <c r="AV420" t="inlineStr">
        <is>
          <t>19556345</t>
        </is>
      </c>
      <c r="AW420" t="inlineStr">
        <is>
          <t>991001475529702656</t>
        </is>
      </c>
      <c r="AX420" t="inlineStr">
        <is>
          <t>991001475529702656</t>
        </is>
      </c>
      <c r="AY420" t="inlineStr">
        <is>
          <t>2271066140002656</t>
        </is>
      </c>
      <c r="AZ420" t="inlineStr">
        <is>
          <t>BOOK</t>
        </is>
      </c>
      <c r="BB420" t="inlineStr">
        <is>
          <t>9780877226628</t>
        </is>
      </c>
      <c r="BC420" t="inlineStr">
        <is>
          <t>32285000117415</t>
        </is>
      </c>
      <c r="BD420" t="inlineStr">
        <is>
          <t>893256268</t>
        </is>
      </c>
    </row>
    <row r="421">
      <c r="A421" t="inlineStr">
        <is>
          <t>No</t>
        </is>
      </c>
      <c r="B421" t="inlineStr">
        <is>
          <t>HN65 .B69</t>
        </is>
      </c>
      <c r="C421" t="inlineStr">
        <is>
          <t>0                      HN 0065000B  69</t>
        </is>
      </c>
      <c r="D421" t="inlineStr">
        <is>
          <t>The backyard revolution : understanding the new citizens' movement / Harry C. Boyte.</t>
        </is>
      </c>
      <c r="F421" t="inlineStr">
        <is>
          <t>No</t>
        </is>
      </c>
      <c r="G421" t="inlineStr">
        <is>
          <t>1</t>
        </is>
      </c>
      <c r="H421" t="inlineStr">
        <is>
          <t>No</t>
        </is>
      </c>
      <c r="I421" t="inlineStr">
        <is>
          <t>No</t>
        </is>
      </c>
      <c r="J421" t="inlineStr">
        <is>
          <t>0</t>
        </is>
      </c>
      <c r="K421" t="inlineStr">
        <is>
          <t>Boyte, Harry C., 1945-</t>
        </is>
      </c>
      <c r="L421" t="inlineStr">
        <is>
          <t>Philadelphia : Temple University Press, 1980.</t>
        </is>
      </c>
      <c r="M421" t="inlineStr">
        <is>
          <t>1980</t>
        </is>
      </c>
      <c r="O421" t="inlineStr">
        <is>
          <t>eng</t>
        </is>
      </c>
      <c r="P421" t="inlineStr">
        <is>
          <t>pau</t>
        </is>
      </c>
      <c r="R421" t="inlineStr">
        <is>
          <t xml:space="preserve">HN </t>
        </is>
      </c>
      <c r="S421" t="n">
        <v>5</v>
      </c>
      <c r="T421" t="n">
        <v>5</v>
      </c>
      <c r="U421" t="inlineStr">
        <is>
          <t>1997-12-29</t>
        </is>
      </c>
      <c r="V421" t="inlineStr">
        <is>
          <t>1997-12-29</t>
        </is>
      </c>
      <c r="W421" t="inlineStr">
        <is>
          <t>1992-09-28</t>
        </is>
      </c>
      <c r="X421" t="inlineStr">
        <is>
          <t>1992-09-28</t>
        </is>
      </c>
      <c r="Y421" t="n">
        <v>704</v>
      </c>
      <c r="Z421" t="n">
        <v>646</v>
      </c>
      <c r="AA421" t="n">
        <v>662</v>
      </c>
      <c r="AB421" t="n">
        <v>6</v>
      </c>
      <c r="AC421" t="n">
        <v>6</v>
      </c>
      <c r="AD421" t="n">
        <v>29</v>
      </c>
      <c r="AE421" t="n">
        <v>29</v>
      </c>
      <c r="AF421" t="n">
        <v>10</v>
      </c>
      <c r="AG421" t="n">
        <v>10</v>
      </c>
      <c r="AH421" t="n">
        <v>5</v>
      </c>
      <c r="AI421" t="n">
        <v>5</v>
      </c>
      <c r="AJ421" t="n">
        <v>16</v>
      </c>
      <c r="AK421" t="n">
        <v>16</v>
      </c>
      <c r="AL421" t="n">
        <v>4</v>
      </c>
      <c r="AM421" t="n">
        <v>4</v>
      </c>
      <c r="AN421" t="n">
        <v>1</v>
      </c>
      <c r="AO421" t="n">
        <v>1</v>
      </c>
      <c r="AP421" t="inlineStr">
        <is>
          <t>No</t>
        </is>
      </c>
      <c r="AQ421" t="inlineStr">
        <is>
          <t>No</t>
        </is>
      </c>
      <c r="AS421">
        <f>HYPERLINK("https://creighton-primo.hosted.exlibrisgroup.com/primo-explore/search?tab=default_tab&amp;search_scope=EVERYTHING&amp;vid=01CRU&amp;lang=en_US&amp;offset=0&amp;query=any,contains,991004984199702656","Catalog Record")</f>
        <v/>
      </c>
      <c r="AT421">
        <f>HYPERLINK("http://www.worldcat.org/oclc/6446656","WorldCat Record")</f>
        <v/>
      </c>
      <c r="AU421" t="inlineStr">
        <is>
          <t>889657751:eng</t>
        </is>
      </c>
      <c r="AV421" t="inlineStr">
        <is>
          <t>6446656</t>
        </is>
      </c>
      <c r="AW421" t="inlineStr">
        <is>
          <t>991004984199702656</t>
        </is>
      </c>
      <c r="AX421" t="inlineStr">
        <is>
          <t>991004984199702656</t>
        </is>
      </c>
      <c r="AY421" t="inlineStr">
        <is>
          <t>2255967490002656</t>
        </is>
      </c>
      <c r="AZ421" t="inlineStr">
        <is>
          <t>BOOK</t>
        </is>
      </c>
      <c r="BB421" t="inlineStr">
        <is>
          <t>9780877221920</t>
        </is>
      </c>
      <c r="BC421" t="inlineStr">
        <is>
          <t>32285001355352</t>
        </is>
      </c>
      <c r="BD421" t="inlineStr">
        <is>
          <t>893230077</t>
        </is>
      </c>
    </row>
    <row r="422">
      <c r="A422" t="inlineStr">
        <is>
          <t>No</t>
        </is>
      </c>
      <c r="B422" t="inlineStr">
        <is>
          <t>HN65 .C612 2004</t>
        </is>
      </c>
      <c r="C422" t="inlineStr">
        <is>
          <t>0                      HN 0065000C  612         2004</t>
        </is>
      </c>
      <c r="D422" t="inlineStr">
        <is>
          <t>The color of social policy / edited by King E. Davis &amp; Tricia B. Bent-Goodley ; with a foreword by the Honorable L. Douglas Wilder.</t>
        </is>
      </c>
      <c r="F422" t="inlineStr">
        <is>
          <t>No</t>
        </is>
      </c>
      <c r="G422" t="inlineStr">
        <is>
          <t>1</t>
        </is>
      </c>
      <c r="H422" t="inlineStr">
        <is>
          <t>No</t>
        </is>
      </c>
      <c r="I422" t="inlineStr">
        <is>
          <t>No</t>
        </is>
      </c>
      <c r="J422" t="inlineStr">
        <is>
          <t>0</t>
        </is>
      </c>
      <c r="L422" t="inlineStr">
        <is>
          <t>Alexandria, VA : Council on Social Work Education, c2004.</t>
        </is>
      </c>
      <c r="M422" t="inlineStr">
        <is>
          <t>2004</t>
        </is>
      </c>
      <c r="O422" t="inlineStr">
        <is>
          <t>eng</t>
        </is>
      </c>
      <c r="P422" t="inlineStr">
        <is>
          <t>vau</t>
        </is>
      </c>
      <c r="Q422" t="inlineStr">
        <is>
          <t>Advancing social work education</t>
        </is>
      </c>
      <c r="R422" t="inlineStr">
        <is>
          <t xml:space="preserve">HN </t>
        </is>
      </c>
      <c r="S422" t="n">
        <v>2</v>
      </c>
      <c r="T422" t="n">
        <v>2</v>
      </c>
      <c r="U422" t="inlineStr">
        <is>
          <t>2005-05-24</t>
        </is>
      </c>
      <c r="V422" t="inlineStr">
        <is>
          <t>2005-05-24</t>
        </is>
      </c>
      <c r="W422" t="inlineStr">
        <is>
          <t>2005-05-24</t>
        </is>
      </c>
      <c r="X422" t="inlineStr">
        <is>
          <t>2005-05-24</t>
        </is>
      </c>
      <c r="Y422" t="n">
        <v>170</v>
      </c>
      <c r="Z422" t="n">
        <v>151</v>
      </c>
      <c r="AA422" t="n">
        <v>528</v>
      </c>
      <c r="AB422" t="n">
        <v>3</v>
      </c>
      <c r="AC422" t="n">
        <v>7</v>
      </c>
      <c r="AD422" t="n">
        <v>13</v>
      </c>
      <c r="AE422" t="n">
        <v>30</v>
      </c>
      <c r="AF422" t="n">
        <v>4</v>
      </c>
      <c r="AG422" t="n">
        <v>10</v>
      </c>
      <c r="AH422" t="n">
        <v>3</v>
      </c>
      <c r="AI422" t="n">
        <v>6</v>
      </c>
      <c r="AJ422" t="n">
        <v>6</v>
      </c>
      <c r="AK422" t="n">
        <v>10</v>
      </c>
      <c r="AL422" t="n">
        <v>2</v>
      </c>
      <c r="AM422" t="n">
        <v>6</v>
      </c>
      <c r="AN422" t="n">
        <v>0</v>
      </c>
      <c r="AO422" t="n">
        <v>1</v>
      </c>
      <c r="AP422" t="inlineStr">
        <is>
          <t>No</t>
        </is>
      </c>
      <c r="AQ422" t="inlineStr">
        <is>
          <t>Yes</t>
        </is>
      </c>
      <c r="AR422">
        <f>HYPERLINK("http://catalog.hathitrust.org/Record/005022978","HathiTrust Record")</f>
        <v/>
      </c>
      <c r="AS422">
        <f>HYPERLINK("https://creighton-primo.hosted.exlibrisgroup.com/primo-explore/search?tab=default_tab&amp;search_scope=EVERYTHING&amp;vid=01CRU&amp;lang=en_US&amp;offset=0&amp;query=any,contains,991004470159702656","Catalog Record")</f>
        <v/>
      </c>
      <c r="AT422">
        <f>HYPERLINK("http://www.worldcat.org/oclc/54279999","WorldCat Record")</f>
        <v/>
      </c>
      <c r="AU422" t="inlineStr">
        <is>
          <t>476592515:eng</t>
        </is>
      </c>
      <c r="AV422" t="inlineStr">
        <is>
          <t>54279999</t>
        </is>
      </c>
      <c r="AW422" t="inlineStr">
        <is>
          <t>991004470159702656</t>
        </is>
      </c>
      <c r="AX422" t="inlineStr">
        <is>
          <t>991004470159702656</t>
        </is>
      </c>
      <c r="AY422" t="inlineStr">
        <is>
          <t>2255523390002656</t>
        </is>
      </c>
      <c r="AZ422" t="inlineStr">
        <is>
          <t>BOOK</t>
        </is>
      </c>
      <c r="BB422" t="inlineStr">
        <is>
          <t>9780872931114</t>
        </is>
      </c>
      <c r="BC422" t="inlineStr">
        <is>
          <t>32285005039994</t>
        </is>
      </c>
      <c r="BD422" t="inlineStr">
        <is>
          <t>893788729</t>
        </is>
      </c>
    </row>
    <row r="423">
      <c r="A423" t="inlineStr">
        <is>
          <t>No</t>
        </is>
      </c>
      <c r="B423" t="inlineStr">
        <is>
          <t>HN65 .C627</t>
        </is>
      </c>
      <c r="C423" t="inlineStr">
        <is>
          <t>0                      HN 0065000C  627</t>
        </is>
      </c>
      <c r="D423" t="inlineStr">
        <is>
          <t>Co-ops, communes &amp; collectives : experiments in social change in the 1960s and 1970s / edited by John Case and Rosemary C. R. Taylor.</t>
        </is>
      </c>
      <c r="F423" t="inlineStr">
        <is>
          <t>No</t>
        </is>
      </c>
      <c r="G423" t="inlineStr">
        <is>
          <t>1</t>
        </is>
      </c>
      <c r="H423" t="inlineStr">
        <is>
          <t>No</t>
        </is>
      </c>
      <c r="I423" t="inlineStr">
        <is>
          <t>No</t>
        </is>
      </c>
      <c r="J423" t="inlineStr">
        <is>
          <t>0</t>
        </is>
      </c>
      <c r="L423" t="inlineStr">
        <is>
          <t>New York : Pantheon Books, c1979.</t>
        </is>
      </c>
      <c r="M423" t="inlineStr">
        <is>
          <t>1979</t>
        </is>
      </c>
      <c r="N423" t="inlineStr">
        <is>
          <t>1st ed.</t>
        </is>
      </c>
      <c r="O423" t="inlineStr">
        <is>
          <t>eng</t>
        </is>
      </c>
      <c r="P423" t="inlineStr">
        <is>
          <t>nyu</t>
        </is>
      </c>
      <c r="R423" t="inlineStr">
        <is>
          <t xml:space="preserve">HN </t>
        </is>
      </c>
      <c r="S423" t="n">
        <v>4</v>
      </c>
      <c r="T423" t="n">
        <v>4</v>
      </c>
      <c r="U423" t="inlineStr">
        <is>
          <t>2001-02-04</t>
        </is>
      </c>
      <c r="V423" t="inlineStr">
        <is>
          <t>2001-02-04</t>
        </is>
      </c>
      <c r="W423" t="inlineStr">
        <is>
          <t>1992-09-28</t>
        </is>
      </c>
      <c r="X423" t="inlineStr">
        <is>
          <t>1992-09-28</t>
        </is>
      </c>
      <c r="Y423" t="n">
        <v>1000</v>
      </c>
      <c r="Z423" t="n">
        <v>901</v>
      </c>
      <c r="AA423" t="n">
        <v>901</v>
      </c>
      <c r="AB423" t="n">
        <v>4</v>
      </c>
      <c r="AC423" t="n">
        <v>4</v>
      </c>
      <c r="AD423" t="n">
        <v>26</v>
      </c>
      <c r="AE423" t="n">
        <v>26</v>
      </c>
      <c r="AF423" t="n">
        <v>9</v>
      </c>
      <c r="AG423" t="n">
        <v>9</v>
      </c>
      <c r="AH423" t="n">
        <v>6</v>
      </c>
      <c r="AI423" t="n">
        <v>6</v>
      </c>
      <c r="AJ423" t="n">
        <v>15</v>
      </c>
      <c r="AK423" t="n">
        <v>15</v>
      </c>
      <c r="AL423" t="n">
        <v>3</v>
      </c>
      <c r="AM423" t="n">
        <v>3</v>
      </c>
      <c r="AN423" t="n">
        <v>0</v>
      </c>
      <c r="AO423" t="n">
        <v>0</v>
      </c>
      <c r="AP423" t="inlineStr">
        <is>
          <t>No</t>
        </is>
      </c>
      <c r="AQ423" t="inlineStr">
        <is>
          <t>No</t>
        </is>
      </c>
      <c r="AS423">
        <f>HYPERLINK("https://creighton-primo.hosted.exlibrisgroup.com/primo-explore/search?tab=default_tab&amp;search_scope=EVERYTHING&amp;vid=01CRU&amp;lang=en_US&amp;offset=0&amp;query=any,contains,991004650039702656","Catalog Record")</f>
        <v/>
      </c>
      <c r="AT423">
        <f>HYPERLINK("http://www.worldcat.org/oclc/4493561","WorldCat Record")</f>
        <v/>
      </c>
      <c r="AU423" t="inlineStr">
        <is>
          <t>907274359:eng</t>
        </is>
      </c>
      <c r="AV423" t="inlineStr">
        <is>
          <t>4493561</t>
        </is>
      </c>
      <c r="AW423" t="inlineStr">
        <is>
          <t>991004650039702656</t>
        </is>
      </c>
      <c r="AX423" t="inlineStr">
        <is>
          <t>991004650039702656</t>
        </is>
      </c>
      <c r="AY423" t="inlineStr">
        <is>
          <t>2263079270002656</t>
        </is>
      </c>
      <c r="AZ423" t="inlineStr">
        <is>
          <t>BOOK</t>
        </is>
      </c>
      <c r="BB423" t="inlineStr">
        <is>
          <t>9780394420073</t>
        </is>
      </c>
      <c r="BC423" t="inlineStr">
        <is>
          <t>32285001355360</t>
        </is>
      </c>
      <c r="BD423" t="inlineStr">
        <is>
          <t>893253932</t>
        </is>
      </c>
    </row>
    <row r="424">
      <c r="A424" t="inlineStr">
        <is>
          <t>No</t>
        </is>
      </c>
      <c r="B424" t="inlineStr">
        <is>
          <t>HN65 .C65</t>
        </is>
      </c>
      <c r="C424" t="inlineStr">
        <is>
          <t>0                      HN 0065000C  65</t>
        </is>
      </c>
      <c r="D424" t="inlineStr">
        <is>
          <t>Reclaiming the American dream / by Richard C. Cornuelle.</t>
        </is>
      </c>
      <c r="F424" t="inlineStr">
        <is>
          <t>No</t>
        </is>
      </c>
      <c r="G424" t="inlineStr">
        <is>
          <t>1</t>
        </is>
      </c>
      <c r="H424" t="inlineStr">
        <is>
          <t>No</t>
        </is>
      </c>
      <c r="I424" t="inlineStr">
        <is>
          <t>No</t>
        </is>
      </c>
      <c r="J424" t="inlineStr">
        <is>
          <t>0</t>
        </is>
      </c>
      <c r="K424" t="inlineStr">
        <is>
          <t>Cornuelle, Richard C., 1927-2011.</t>
        </is>
      </c>
      <c r="L424" t="inlineStr">
        <is>
          <t>New York : Random House, c1965, 1966 printing.</t>
        </is>
      </c>
      <c r="M424" t="inlineStr">
        <is>
          <t>1965</t>
        </is>
      </c>
      <c r="O424" t="inlineStr">
        <is>
          <t>eng</t>
        </is>
      </c>
      <c r="P424" t="inlineStr">
        <is>
          <t>nyu</t>
        </is>
      </c>
      <c r="R424" t="inlineStr">
        <is>
          <t xml:space="preserve">HN </t>
        </is>
      </c>
      <c r="S424" t="n">
        <v>4</v>
      </c>
      <c r="T424" t="n">
        <v>4</v>
      </c>
      <c r="U424" t="inlineStr">
        <is>
          <t>2001-11-26</t>
        </is>
      </c>
      <c r="V424" t="inlineStr">
        <is>
          <t>2001-11-26</t>
        </is>
      </c>
      <c r="W424" t="inlineStr">
        <is>
          <t>1992-09-28</t>
        </is>
      </c>
      <c r="X424" t="inlineStr">
        <is>
          <t>1992-09-28</t>
        </is>
      </c>
      <c r="Y424" t="n">
        <v>577</v>
      </c>
      <c r="Z424" t="n">
        <v>537</v>
      </c>
      <c r="AA424" t="n">
        <v>618</v>
      </c>
      <c r="AB424" t="n">
        <v>4</v>
      </c>
      <c r="AC424" t="n">
        <v>4</v>
      </c>
      <c r="AD424" t="n">
        <v>21</v>
      </c>
      <c r="AE424" t="n">
        <v>22</v>
      </c>
      <c r="AF424" t="n">
        <v>7</v>
      </c>
      <c r="AG424" t="n">
        <v>7</v>
      </c>
      <c r="AH424" t="n">
        <v>4</v>
      </c>
      <c r="AI424" t="n">
        <v>5</v>
      </c>
      <c r="AJ424" t="n">
        <v>13</v>
      </c>
      <c r="AK424" t="n">
        <v>13</v>
      </c>
      <c r="AL424" t="n">
        <v>2</v>
      </c>
      <c r="AM424" t="n">
        <v>2</v>
      </c>
      <c r="AN424" t="n">
        <v>2</v>
      </c>
      <c r="AO424" t="n">
        <v>2</v>
      </c>
      <c r="AP424" t="inlineStr">
        <is>
          <t>No</t>
        </is>
      </c>
      <c r="AQ424" t="inlineStr">
        <is>
          <t>Yes</t>
        </is>
      </c>
      <c r="AR424">
        <f>HYPERLINK("http://catalog.hathitrust.org/Record/000974951","HathiTrust Record")</f>
        <v/>
      </c>
      <c r="AS424">
        <f>HYPERLINK("https://creighton-primo.hosted.exlibrisgroup.com/primo-explore/search?tab=default_tab&amp;search_scope=EVERYTHING&amp;vid=01CRU&amp;lang=en_US&amp;offset=0&amp;query=any,contains,991002812909702656","Catalog Record")</f>
        <v/>
      </c>
      <c r="AT424">
        <f>HYPERLINK("http://www.worldcat.org/oclc/456718","WorldCat Record")</f>
        <v/>
      </c>
      <c r="AU424" t="inlineStr">
        <is>
          <t>1469030:eng</t>
        </is>
      </c>
      <c r="AV424" t="inlineStr">
        <is>
          <t>456718</t>
        </is>
      </c>
      <c r="AW424" t="inlineStr">
        <is>
          <t>991002812909702656</t>
        </is>
      </c>
      <c r="AX424" t="inlineStr">
        <is>
          <t>991002812909702656</t>
        </is>
      </c>
      <c r="AY424" t="inlineStr">
        <is>
          <t>2260784230002656</t>
        </is>
      </c>
      <c r="AZ424" t="inlineStr">
        <is>
          <t>BOOK</t>
        </is>
      </c>
      <c r="BC424" t="inlineStr">
        <is>
          <t>32285001355378</t>
        </is>
      </c>
      <c r="BD424" t="inlineStr">
        <is>
          <t>893880460</t>
        </is>
      </c>
    </row>
    <row r="425">
      <c r="A425" t="inlineStr">
        <is>
          <t>No</t>
        </is>
      </c>
      <c r="B425" t="inlineStr">
        <is>
          <t>HN65 .D339 1988</t>
        </is>
      </c>
      <c r="C425" t="inlineStr">
        <is>
          <t>0                      HN 0065000D  339         1988</t>
        </is>
      </c>
      <c r="D425" t="inlineStr">
        <is>
          <t>Everything is changing : contemporary U.S. movements in historical perspective / David De Leon.</t>
        </is>
      </c>
      <c r="F425" t="inlineStr">
        <is>
          <t>No</t>
        </is>
      </c>
      <c r="G425" t="inlineStr">
        <is>
          <t>1</t>
        </is>
      </c>
      <c r="H425" t="inlineStr">
        <is>
          <t>No</t>
        </is>
      </c>
      <c r="I425" t="inlineStr">
        <is>
          <t>No</t>
        </is>
      </c>
      <c r="J425" t="inlineStr">
        <is>
          <t>0</t>
        </is>
      </c>
      <c r="K425" t="inlineStr">
        <is>
          <t>De Leon, David.</t>
        </is>
      </c>
      <c r="L425" t="inlineStr">
        <is>
          <t>New York : Praeger, c1988.</t>
        </is>
      </c>
      <c r="M425" t="inlineStr">
        <is>
          <t>1988</t>
        </is>
      </c>
      <c r="O425" t="inlineStr">
        <is>
          <t>eng</t>
        </is>
      </c>
      <c r="P425" t="inlineStr">
        <is>
          <t>nyu</t>
        </is>
      </c>
      <c r="R425" t="inlineStr">
        <is>
          <t xml:space="preserve">HN </t>
        </is>
      </c>
      <c r="S425" t="n">
        <v>4</v>
      </c>
      <c r="T425" t="n">
        <v>4</v>
      </c>
      <c r="U425" t="inlineStr">
        <is>
          <t>1999-09-27</t>
        </is>
      </c>
      <c r="V425" t="inlineStr">
        <is>
          <t>1999-09-27</t>
        </is>
      </c>
      <c r="W425" t="inlineStr">
        <is>
          <t>1990-07-02</t>
        </is>
      </c>
      <c r="X425" t="inlineStr">
        <is>
          <t>1990-07-02</t>
        </is>
      </c>
      <c r="Y425" t="n">
        <v>450</v>
      </c>
      <c r="Z425" t="n">
        <v>379</v>
      </c>
      <c r="AA425" t="n">
        <v>379</v>
      </c>
      <c r="AB425" t="n">
        <v>2</v>
      </c>
      <c r="AC425" t="n">
        <v>2</v>
      </c>
      <c r="AD425" t="n">
        <v>21</v>
      </c>
      <c r="AE425" t="n">
        <v>21</v>
      </c>
      <c r="AF425" t="n">
        <v>8</v>
      </c>
      <c r="AG425" t="n">
        <v>8</v>
      </c>
      <c r="AH425" t="n">
        <v>6</v>
      </c>
      <c r="AI425" t="n">
        <v>6</v>
      </c>
      <c r="AJ425" t="n">
        <v>12</v>
      </c>
      <c r="AK425" t="n">
        <v>12</v>
      </c>
      <c r="AL425" t="n">
        <v>1</v>
      </c>
      <c r="AM425" t="n">
        <v>1</v>
      </c>
      <c r="AN425" t="n">
        <v>1</v>
      </c>
      <c r="AO425" t="n">
        <v>1</v>
      </c>
      <c r="AP425" t="inlineStr">
        <is>
          <t>No</t>
        </is>
      </c>
      <c r="AQ425" t="inlineStr">
        <is>
          <t>No</t>
        </is>
      </c>
      <c r="AS425">
        <f>HYPERLINK("https://creighton-primo.hosted.exlibrisgroup.com/primo-explore/search?tab=default_tab&amp;search_scope=EVERYTHING&amp;vid=01CRU&amp;lang=en_US&amp;offset=0&amp;query=any,contains,991001119289702656","Catalog Record")</f>
        <v/>
      </c>
      <c r="AT425">
        <f>HYPERLINK("http://www.worldcat.org/oclc/16578452","WorldCat Record")</f>
        <v/>
      </c>
      <c r="AU425" t="inlineStr">
        <is>
          <t>375106447:eng</t>
        </is>
      </c>
      <c r="AV425" t="inlineStr">
        <is>
          <t>16578452</t>
        </is>
      </c>
      <c r="AW425" t="inlineStr">
        <is>
          <t>991001119289702656</t>
        </is>
      </c>
      <c r="AX425" t="inlineStr">
        <is>
          <t>991001119289702656</t>
        </is>
      </c>
      <c r="AY425" t="inlineStr">
        <is>
          <t>2272080810002656</t>
        </is>
      </c>
      <c r="AZ425" t="inlineStr">
        <is>
          <t>BOOK</t>
        </is>
      </c>
      <c r="BB425" t="inlineStr">
        <is>
          <t>9780275928933</t>
        </is>
      </c>
      <c r="BC425" t="inlineStr">
        <is>
          <t>32285000219344</t>
        </is>
      </c>
      <c r="BD425" t="inlineStr">
        <is>
          <t>893256029</t>
        </is>
      </c>
    </row>
    <row r="426">
      <c r="A426" t="inlineStr">
        <is>
          <t>No</t>
        </is>
      </c>
      <c r="B426" t="inlineStr">
        <is>
          <t>HN65 .D9 1992</t>
        </is>
      </c>
      <c r="C426" t="inlineStr">
        <is>
          <t>0                      HN 0065000D  9           1992</t>
        </is>
      </c>
      <c r="D426" t="inlineStr">
        <is>
          <t>Understanding public policy / Thomas R. Dye.</t>
        </is>
      </c>
      <c r="F426" t="inlineStr">
        <is>
          <t>No</t>
        </is>
      </c>
      <c r="G426" t="inlineStr">
        <is>
          <t>1</t>
        </is>
      </c>
      <c r="H426" t="inlineStr">
        <is>
          <t>No</t>
        </is>
      </c>
      <c r="I426" t="inlineStr">
        <is>
          <t>No</t>
        </is>
      </c>
      <c r="J426" t="inlineStr">
        <is>
          <t>0</t>
        </is>
      </c>
      <c r="K426" t="inlineStr">
        <is>
          <t>Dye, Thomas R.</t>
        </is>
      </c>
      <c r="L426" t="inlineStr">
        <is>
          <t>Englewood Cliffs, N.J. : Prentice Hall, c1992.</t>
        </is>
      </c>
      <c r="M426" t="inlineStr">
        <is>
          <t>1992</t>
        </is>
      </c>
      <c r="N426" t="inlineStr">
        <is>
          <t>7th ed.</t>
        </is>
      </c>
      <c r="O426" t="inlineStr">
        <is>
          <t>eng</t>
        </is>
      </c>
      <c r="P426" t="inlineStr">
        <is>
          <t>nju</t>
        </is>
      </c>
      <c r="R426" t="inlineStr">
        <is>
          <t xml:space="preserve">HN </t>
        </is>
      </c>
      <c r="S426" t="n">
        <v>10</v>
      </c>
      <c r="T426" t="n">
        <v>10</v>
      </c>
      <c r="U426" t="inlineStr">
        <is>
          <t>2004-10-12</t>
        </is>
      </c>
      <c r="V426" t="inlineStr">
        <is>
          <t>2004-10-12</t>
        </is>
      </c>
      <c r="W426" t="inlineStr">
        <is>
          <t>1995-09-18</t>
        </is>
      </c>
      <c r="X426" t="inlineStr">
        <is>
          <t>1995-09-18</t>
        </is>
      </c>
      <c r="Y426" t="n">
        <v>165</v>
      </c>
      <c r="Z426" t="n">
        <v>106</v>
      </c>
      <c r="AA426" t="n">
        <v>1076</v>
      </c>
      <c r="AB426" t="n">
        <v>1</v>
      </c>
      <c r="AC426" t="n">
        <v>6</v>
      </c>
      <c r="AD426" t="n">
        <v>3</v>
      </c>
      <c r="AE426" t="n">
        <v>38</v>
      </c>
      <c r="AF426" t="n">
        <v>0</v>
      </c>
      <c r="AG426" t="n">
        <v>13</v>
      </c>
      <c r="AH426" t="n">
        <v>2</v>
      </c>
      <c r="AI426" t="n">
        <v>9</v>
      </c>
      <c r="AJ426" t="n">
        <v>2</v>
      </c>
      <c r="AK426" t="n">
        <v>16</v>
      </c>
      <c r="AL426" t="n">
        <v>0</v>
      </c>
      <c r="AM426" t="n">
        <v>5</v>
      </c>
      <c r="AN426" t="n">
        <v>0</v>
      </c>
      <c r="AO426" t="n">
        <v>3</v>
      </c>
      <c r="AP426" t="inlineStr">
        <is>
          <t>No</t>
        </is>
      </c>
      <c r="AQ426" t="inlineStr">
        <is>
          <t>Yes</t>
        </is>
      </c>
      <c r="AR426">
        <f>HYPERLINK("http://catalog.hathitrust.org/Record/003816558","HathiTrust Record")</f>
        <v/>
      </c>
      <c r="AS426">
        <f>HYPERLINK("https://creighton-primo.hosted.exlibrisgroup.com/primo-explore/search?tab=default_tab&amp;search_scope=EVERYTHING&amp;vid=01CRU&amp;lang=en_US&amp;offset=0&amp;query=any,contains,991001818469702656","Catalog Record")</f>
        <v/>
      </c>
      <c r="AT426">
        <f>HYPERLINK("http://www.worldcat.org/oclc/22861847","WorldCat Record")</f>
        <v/>
      </c>
      <c r="AU426" t="inlineStr">
        <is>
          <t>18088:eng</t>
        </is>
      </c>
      <c r="AV426" t="inlineStr">
        <is>
          <t>22861847</t>
        </is>
      </c>
      <c r="AW426" t="inlineStr">
        <is>
          <t>991001818469702656</t>
        </is>
      </c>
      <c r="AX426" t="inlineStr">
        <is>
          <t>991001818469702656</t>
        </is>
      </c>
      <c r="AY426" t="inlineStr">
        <is>
          <t>2270134530002656</t>
        </is>
      </c>
      <c r="AZ426" t="inlineStr">
        <is>
          <t>BOOK</t>
        </is>
      </c>
      <c r="BB426" t="inlineStr">
        <is>
          <t>9780139336072</t>
        </is>
      </c>
      <c r="BC426" t="inlineStr">
        <is>
          <t>32285002093739</t>
        </is>
      </c>
      <c r="BD426" t="inlineStr">
        <is>
          <t>893602917</t>
        </is>
      </c>
    </row>
    <row r="427">
      <c r="A427" t="inlineStr">
        <is>
          <t>No</t>
        </is>
      </c>
      <c r="B427" t="inlineStr">
        <is>
          <t>HN65 .G74 1986</t>
        </is>
      </c>
      <c r="C427" t="inlineStr">
        <is>
          <t>0                      HN 0065000G  74          1986</t>
        </is>
      </c>
      <c r="D427" t="inlineStr">
        <is>
          <t>The Great society and its legacy : twenty years of U.S. social policy / edited by Marshall Kaplan and Peggy L. Cuciti.</t>
        </is>
      </c>
      <c r="F427" t="inlineStr">
        <is>
          <t>No</t>
        </is>
      </c>
      <c r="G427" t="inlineStr">
        <is>
          <t>1</t>
        </is>
      </c>
      <c r="H427" t="inlineStr">
        <is>
          <t>No</t>
        </is>
      </c>
      <c r="I427" t="inlineStr">
        <is>
          <t>No</t>
        </is>
      </c>
      <c r="J427" t="inlineStr">
        <is>
          <t>0</t>
        </is>
      </c>
      <c r="L427" t="inlineStr">
        <is>
          <t>Durham : Duke University Press, 1986.</t>
        </is>
      </c>
      <c r="M427" t="inlineStr">
        <is>
          <t>1986</t>
        </is>
      </c>
      <c r="O427" t="inlineStr">
        <is>
          <t>eng</t>
        </is>
      </c>
      <c r="P427" t="inlineStr">
        <is>
          <t>ncu</t>
        </is>
      </c>
      <c r="R427" t="inlineStr">
        <is>
          <t xml:space="preserve">HN </t>
        </is>
      </c>
      <c r="S427" t="n">
        <v>1</v>
      </c>
      <c r="T427" t="n">
        <v>1</v>
      </c>
      <c r="U427" t="inlineStr">
        <is>
          <t>1994-03-30</t>
        </is>
      </c>
      <c r="V427" t="inlineStr">
        <is>
          <t>1994-03-30</t>
        </is>
      </c>
      <c r="W427" t="inlineStr">
        <is>
          <t>1990-07-02</t>
        </is>
      </c>
      <c r="X427" t="inlineStr">
        <is>
          <t>1990-07-02</t>
        </is>
      </c>
      <c r="Y427" t="n">
        <v>803</v>
      </c>
      <c r="Z427" t="n">
        <v>733</v>
      </c>
      <c r="AA427" t="n">
        <v>739</v>
      </c>
      <c r="AB427" t="n">
        <v>5</v>
      </c>
      <c r="AC427" t="n">
        <v>5</v>
      </c>
      <c r="AD427" t="n">
        <v>33</v>
      </c>
      <c r="AE427" t="n">
        <v>33</v>
      </c>
      <c r="AF427" t="n">
        <v>13</v>
      </c>
      <c r="AG427" t="n">
        <v>13</v>
      </c>
      <c r="AH427" t="n">
        <v>8</v>
      </c>
      <c r="AI427" t="n">
        <v>8</v>
      </c>
      <c r="AJ427" t="n">
        <v>16</v>
      </c>
      <c r="AK427" t="n">
        <v>16</v>
      </c>
      <c r="AL427" t="n">
        <v>4</v>
      </c>
      <c r="AM427" t="n">
        <v>4</v>
      </c>
      <c r="AN427" t="n">
        <v>1</v>
      </c>
      <c r="AO427" t="n">
        <v>1</v>
      </c>
      <c r="AP427" t="inlineStr">
        <is>
          <t>No</t>
        </is>
      </c>
      <c r="AQ427" t="inlineStr">
        <is>
          <t>Yes</t>
        </is>
      </c>
      <c r="AR427">
        <f>HYPERLINK("http://catalog.hathitrust.org/Record/000485549","HathiTrust Record")</f>
        <v/>
      </c>
      <c r="AS427">
        <f>HYPERLINK("https://creighton-primo.hosted.exlibrisgroup.com/primo-explore/search?tab=default_tab&amp;search_scope=EVERYTHING&amp;vid=01CRU&amp;lang=en_US&amp;offset=0&amp;query=any,contains,991000805969702656","Catalog Record")</f>
        <v/>
      </c>
      <c r="AT427">
        <f>HYPERLINK("http://www.worldcat.org/oclc/13284507","WorldCat Record")</f>
        <v/>
      </c>
      <c r="AU427" t="inlineStr">
        <is>
          <t>507489828:eng</t>
        </is>
      </c>
      <c r="AV427" t="inlineStr">
        <is>
          <t>13284507</t>
        </is>
      </c>
      <c r="AW427" t="inlineStr">
        <is>
          <t>991000805969702656</t>
        </is>
      </c>
      <c r="AX427" t="inlineStr">
        <is>
          <t>991000805969702656</t>
        </is>
      </c>
      <c r="AY427" t="inlineStr">
        <is>
          <t>2269512120002656</t>
        </is>
      </c>
      <c r="AZ427" t="inlineStr">
        <is>
          <t>BOOK</t>
        </is>
      </c>
      <c r="BB427" t="inlineStr">
        <is>
          <t>9780822307389</t>
        </is>
      </c>
      <c r="BC427" t="inlineStr">
        <is>
          <t>32285000219393</t>
        </is>
      </c>
      <c r="BD427" t="inlineStr">
        <is>
          <t>893327603</t>
        </is>
      </c>
    </row>
    <row r="428">
      <c r="A428" t="inlineStr">
        <is>
          <t>No</t>
        </is>
      </c>
      <c r="B428" t="inlineStr">
        <is>
          <t>HN65 .I86 2000</t>
        </is>
      </c>
      <c r="C428" t="inlineStr">
        <is>
          <t>0                      HN 0065000I  86          2000</t>
        </is>
      </c>
      <c r="D428" t="inlineStr">
        <is>
          <t>Issues in social policy : selections from The CQ Researcher.</t>
        </is>
      </c>
      <c r="F428" t="inlineStr">
        <is>
          <t>No</t>
        </is>
      </c>
      <c r="G428" t="inlineStr">
        <is>
          <t>1</t>
        </is>
      </c>
      <c r="H428" t="inlineStr">
        <is>
          <t>No</t>
        </is>
      </c>
      <c r="I428" t="inlineStr">
        <is>
          <t>No</t>
        </is>
      </c>
      <c r="J428" t="inlineStr">
        <is>
          <t>0</t>
        </is>
      </c>
      <c r="L428" t="inlineStr">
        <is>
          <t>Washington, D.C. : CQ Press, c2000.</t>
        </is>
      </c>
      <c r="M428" t="inlineStr">
        <is>
          <t>2000</t>
        </is>
      </c>
      <c r="O428" t="inlineStr">
        <is>
          <t>eng</t>
        </is>
      </c>
      <c r="P428" t="inlineStr">
        <is>
          <t>dcu</t>
        </is>
      </c>
      <c r="R428" t="inlineStr">
        <is>
          <t xml:space="preserve">HN </t>
        </is>
      </c>
      <c r="S428" t="n">
        <v>2</v>
      </c>
      <c r="T428" t="n">
        <v>2</v>
      </c>
      <c r="U428" t="inlineStr">
        <is>
          <t>2002-03-18</t>
        </is>
      </c>
      <c r="V428" t="inlineStr">
        <is>
          <t>2002-03-18</t>
        </is>
      </c>
      <c r="W428" t="inlineStr">
        <is>
          <t>2001-12-06</t>
        </is>
      </c>
      <c r="X428" t="inlineStr">
        <is>
          <t>2001-12-06</t>
        </is>
      </c>
      <c r="Y428" t="n">
        <v>91</v>
      </c>
      <c r="Z428" t="n">
        <v>86</v>
      </c>
      <c r="AA428" t="n">
        <v>86</v>
      </c>
      <c r="AB428" t="n">
        <v>1</v>
      </c>
      <c r="AC428" t="n">
        <v>1</v>
      </c>
      <c r="AD428" t="n">
        <v>2</v>
      </c>
      <c r="AE428" t="n">
        <v>2</v>
      </c>
      <c r="AF428" t="n">
        <v>1</v>
      </c>
      <c r="AG428" t="n">
        <v>1</v>
      </c>
      <c r="AH428" t="n">
        <v>0</v>
      </c>
      <c r="AI428" t="n">
        <v>0</v>
      </c>
      <c r="AJ428" t="n">
        <v>1</v>
      </c>
      <c r="AK428" t="n">
        <v>1</v>
      </c>
      <c r="AL428" t="n">
        <v>0</v>
      </c>
      <c r="AM428" t="n">
        <v>0</v>
      </c>
      <c r="AN428" t="n">
        <v>0</v>
      </c>
      <c r="AO428" t="n">
        <v>0</v>
      </c>
      <c r="AP428" t="inlineStr">
        <is>
          <t>No</t>
        </is>
      </c>
      <c r="AQ428" t="inlineStr">
        <is>
          <t>No</t>
        </is>
      </c>
      <c r="AS428">
        <f>HYPERLINK("https://creighton-primo.hosted.exlibrisgroup.com/primo-explore/search?tab=default_tab&amp;search_scope=EVERYTHING&amp;vid=01CRU&amp;lang=en_US&amp;offset=0&amp;query=any,contains,991003662259702656","Catalog Record")</f>
        <v/>
      </c>
      <c r="AT428">
        <f>HYPERLINK("http://www.worldcat.org/oclc/44683576","WorldCat Record")</f>
        <v/>
      </c>
      <c r="AU428" t="inlineStr">
        <is>
          <t>44067703:eng</t>
        </is>
      </c>
      <c r="AV428" t="inlineStr">
        <is>
          <t>44683576</t>
        </is>
      </c>
      <c r="AW428" t="inlineStr">
        <is>
          <t>991003662259702656</t>
        </is>
      </c>
      <c r="AX428" t="inlineStr">
        <is>
          <t>991003662259702656</t>
        </is>
      </c>
      <c r="AY428" t="inlineStr">
        <is>
          <t>2257666720002656</t>
        </is>
      </c>
      <c r="AZ428" t="inlineStr">
        <is>
          <t>BOOK</t>
        </is>
      </c>
      <c r="BB428" t="inlineStr">
        <is>
          <t>9781568026190</t>
        </is>
      </c>
      <c r="BC428" t="inlineStr">
        <is>
          <t>32285004426630</t>
        </is>
      </c>
      <c r="BD428" t="inlineStr">
        <is>
          <t>893717944</t>
        </is>
      </c>
    </row>
    <row r="429">
      <c r="A429" t="inlineStr">
        <is>
          <t>No</t>
        </is>
      </c>
      <c r="B429" t="inlineStr">
        <is>
          <t>HN65 .J56 2010</t>
        </is>
      </c>
      <c r="C429" t="inlineStr">
        <is>
          <t>0                      HN 0065000J  56          2010</t>
        </is>
      </c>
      <c r="D429" t="inlineStr">
        <is>
          <t>Social policy and social change : toward the creation of social and economic justice / Jillian Jimenez.</t>
        </is>
      </c>
      <c r="F429" t="inlineStr">
        <is>
          <t>No</t>
        </is>
      </c>
      <c r="G429" t="inlineStr">
        <is>
          <t>1</t>
        </is>
      </c>
      <c r="H429" t="inlineStr">
        <is>
          <t>No</t>
        </is>
      </c>
      <c r="I429" t="inlineStr">
        <is>
          <t>No</t>
        </is>
      </c>
      <c r="J429" t="inlineStr">
        <is>
          <t>0</t>
        </is>
      </c>
      <c r="K429" t="inlineStr">
        <is>
          <t>Jimenez, Jillian.</t>
        </is>
      </c>
      <c r="L429" t="inlineStr">
        <is>
          <t>Los Angeles : Sage, c2010.</t>
        </is>
      </c>
      <c r="M429" t="inlineStr">
        <is>
          <t>2010</t>
        </is>
      </c>
      <c r="O429" t="inlineStr">
        <is>
          <t>eng</t>
        </is>
      </c>
      <c r="P429" t="inlineStr">
        <is>
          <t>cau</t>
        </is>
      </c>
      <c r="R429" t="inlineStr">
        <is>
          <t xml:space="preserve">HN </t>
        </is>
      </c>
      <c r="S429" t="n">
        <v>1</v>
      </c>
      <c r="T429" t="n">
        <v>1</v>
      </c>
      <c r="U429" t="inlineStr">
        <is>
          <t>2010-10-11</t>
        </is>
      </c>
      <c r="V429" t="inlineStr">
        <is>
          <t>2010-10-11</t>
        </is>
      </c>
      <c r="W429" t="inlineStr">
        <is>
          <t>2010-10-11</t>
        </is>
      </c>
      <c r="X429" t="inlineStr">
        <is>
          <t>2010-10-11</t>
        </is>
      </c>
      <c r="Y429" t="n">
        <v>160</v>
      </c>
      <c r="Z429" t="n">
        <v>106</v>
      </c>
      <c r="AA429" t="n">
        <v>134</v>
      </c>
      <c r="AB429" t="n">
        <v>2</v>
      </c>
      <c r="AC429" t="n">
        <v>2</v>
      </c>
      <c r="AD429" t="n">
        <v>7</v>
      </c>
      <c r="AE429" t="n">
        <v>8</v>
      </c>
      <c r="AF429" t="n">
        <v>2</v>
      </c>
      <c r="AG429" t="n">
        <v>3</v>
      </c>
      <c r="AH429" t="n">
        <v>2</v>
      </c>
      <c r="AI429" t="n">
        <v>2</v>
      </c>
      <c r="AJ429" t="n">
        <v>4</v>
      </c>
      <c r="AK429" t="n">
        <v>5</v>
      </c>
      <c r="AL429" t="n">
        <v>1</v>
      </c>
      <c r="AM429" t="n">
        <v>1</v>
      </c>
      <c r="AN429" t="n">
        <v>0</v>
      </c>
      <c r="AO429" t="n">
        <v>0</v>
      </c>
      <c r="AP429" t="inlineStr">
        <is>
          <t>No</t>
        </is>
      </c>
      <c r="AQ429" t="inlineStr">
        <is>
          <t>No</t>
        </is>
      </c>
      <c r="AS429">
        <f>HYPERLINK("https://creighton-primo.hosted.exlibrisgroup.com/primo-explore/search?tab=default_tab&amp;search_scope=EVERYTHING&amp;vid=01CRU&amp;lang=en_US&amp;offset=0&amp;query=any,contains,991000155329702656","Catalog Record")</f>
        <v/>
      </c>
      <c r="AT429">
        <f>HYPERLINK("http://www.worldcat.org/oclc/317068019","WorldCat Record")</f>
        <v/>
      </c>
      <c r="AU429" t="inlineStr">
        <is>
          <t>793233297:eng</t>
        </is>
      </c>
      <c r="AV429" t="inlineStr">
        <is>
          <t>317068019</t>
        </is>
      </c>
      <c r="AW429" t="inlineStr">
        <is>
          <t>991000155329702656</t>
        </is>
      </c>
      <c r="AX429" t="inlineStr">
        <is>
          <t>991000155329702656</t>
        </is>
      </c>
      <c r="AY429" t="inlineStr">
        <is>
          <t>2259493190002656</t>
        </is>
      </c>
      <c r="AZ429" t="inlineStr">
        <is>
          <t>BOOK</t>
        </is>
      </c>
      <c r="BB429" t="inlineStr">
        <is>
          <t>9781412960489</t>
        </is>
      </c>
      <c r="BC429" t="inlineStr">
        <is>
          <t>32285005599468</t>
        </is>
      </c>
      <c r="BD429" t="inlineStr">
        <is>
          <t>893314730</t>
        </is>
      </c>
    </row>
    <row r="430">
      <c r="A430" t="inlineStr">
        <is>
          <t>No</t>
        </is>
      </c>
      <c r="B430" t="inlineStr">
        <is>
          <t>HN65 .K43 2003</t>
        </is>
      </c>
      <c r="C430" t="inlineStr">
        <is>
          <t>0                      HN 0065000K  43          2003</t>
        </is>
      </c>
      <c r="D430" t="inlineStr">
        <is>
          <t>The influentials / Ed Keller and Jon Berry.</t>
        </is>
      </c>
      <c r="F430" t="inlineStr">
        <is>
          <t>No</t>
        </is>
      </c>
      <c r="G430" t="inlineStr">
        <is>
          <t>1</t>
        </is>
      </c>
      <c r="H430" t="inlineStr">
        <is>
          <t>No</t>
        </is>
      </c>
      <c r="I430" t="inlineStr">
        <is>
          <t>No</t>
        </is>
      </c>
      <c r="J430" t="inlineStr">
        <is>
          <t>0</t>
        </is>
      </c>
      <c r="K430" t="inlineStr">
        <is>
          <t>Keller, Edward B., 1955-</t>
        </is>
      </c>
      <c r="L430" t="inlineStr">
        <is>
          <t>New York : Free Press, c2003.</t>
        </is>
      </c>
      <c r="M430" t="inlineStr">
        <is>
          <t>2003</t>
        </is>
      </c>
      <c r="O430" t="inlineStr">
        <is>
          <t>eng</t>
        </is>
      </c>
      <c r="P430" t="inlineStr">
        <is>
          <t>nyu</t>
        </is>
      </c>
      <c r="R430" t="inlineStr">
        <is>
          <t xml:space="preserve">HN </t>
        </is>
      </c>
      <c r="S430" t="n">
        <v>2</v>
      </c>
      <c r="T430" t="n">
        <v>2</v>
      </c>
      <c r="U430" t="inlineStr">
        <is>
          <t>2003-01-07</t>
        </is>
      </c>
      <c r="V430" t="inlineStr">
        <is>
          <t>2003-01-07</t>
        </is>
      </c>
      <c r="W430" t="inlineStr">
        <is>
          <t>2003-01-07</t>
        </is>
      </c>
      <c r="X430" t="inlineStr">
        <is>
          <t>2003-01-07</t>
        </is>
      </c>
      <c r="Y430" t="n">
        <v>734</v>
      </c>
      <c r="Z430" t="n">
        <v>682</v>
      </c>
      <c r="AA430" t="n">
        <v>705</v>
      </c>
      <c r="AB430" t="n">
        <v>6</v>
      </c>
      <c r="AC430" t="n">
        <v>6</v>
      </c>
      <c r="AD430" t="n">
        <v>23</v>
      </c>
      <c r="AE430" t="n">
        <v>23</v>
      </c>
      <c r="AF430" t="n">
        <v>10</v>
      </c>
      <c r="AG430" t="n">
        <v>10</v>
      </c>
      <c r="AH430" t="n">
        <v>5</v>
      </c>
      <c r="AI430" t="n">
        <v>5</v>
      </c>
      <c r="AJ430" t="n">
        <v>11</v>
      </c>
      <c r="AK430" t="n">
        <v>11</v>
      </c>
      <c r="AL430" t="n">
        <v>4</v>
      </c>
      <c r="AM430" t="n">
        <v>4</v>
      </c>
      <c r="AN430" t="n">
        <v>0</v>
      </c>
      <c r="AO430" t="n">
        <v>0</v>
      </c>
      <c r="AP430" t="inlineStr">
        <is>
          <t>No</t>
        </is>
      </c>
      <c r="AQ430" t="inlineStr">
        <is>
          <t>Yes</t>
        </is>
      </c>
      <c r="AR430">
        <f>HYPERLINK("http://catalog.hathitrust.org/Record/004305229","HathiTrust Record")</f>
        <v/>
      </c>
      <c r="AS430">
        <f>HYPERLINK("https://creighton-primo.hosted.exlibrisgroup.com/primo-explore/search?tab=default_tab&amp;search_scope=EVERYTHING&amp;vid=01CRU&amp;lang=en_US&amp;offset=0&amp;query=any,contains,991003962169702656","Catalog Record")</f>
        <v/>
      </c>
      <c r="AT430">
        <f>HYPERLINK("http://www.worldcat.org/oclc/50604928","WorldCat Record")</f>
        <v/>
      </c>
      <c r="AU430" t="inlineStr">
        <is>
          <t>1071108:eng</t>
        </is>
      </c>
      <c r="AV430" t="inlineStr">
        <is>
          <t>50604928</t>
        </is>
      </c>
      <c r="AW430" t="inlineStr">
        <is>
          <t>991003962169702656</t>
        </is>
      </c>
      <c r="AX430" t="inlineStr">
        <is>
          <t>991003962169702656</t>
        </is>
      </c>
      <c r="AY430" t="inlineStr">
        <is>
          <t>2263151190002656</t>
        </is>
      </c>
      <c r="AZ430" t="inlineStr">
        <is>
          <t>BOOK</t>
        </is>
      </c>
      <c r="BB430" t="inlineStr">
        <is>
          <t>9780743227292</t>
        </is>
      </c>
      <c r="BC430" t="inlineStr">
        <is>
          <t>32285004692280</t>
        </is>
      </c>
      <c r="BD430" t="inlineStr">
        <is>
          <t>893318637</t>
        </is>
      </c>
    </row>
    <row r="431">
      <c r="A431" t="inlineStr">
        <is>
          <t>No</t>
        </is>
      </c>
      <c r="B431" t="inlineStr">
        <is>
          <t>HN65 .L588</t>
        </is>
      </c>
      <c r="C431" t="inlineStr">
        <is>
          <t>0                      HN 0065000L  588</t>
        </is>
      </c>
      <c r="D431" t="inlineStr">
        <is>
          <t>Myths that rule America / Herbert I. London, Albert L. Weeks.</t>
        </is>
      </c>
      <c r="F431" t="inlineStr">
        <is>
          <t>No</t>
        </is>
      </c>
      <c r="G431" t="inlineStr">
        <is>
          <t>1</t>
        </is>
      </c>
      <c r="H431" t="inlineStr">
        <is>
          <t>No</t>
        </is>
      </c>
      <c r="I431" t="inlineStr">
        <is>
          <t>No</t>
        </is>
      </c>
      <c r="J431" t="inlineStr">
        <is>
          <t>0</t>
        </is>
      </c>
      <c r="K431" t="inlineStr">
        <is>
          <t>London, Herbert I., 1939-2018.</t>
        </is>
      </c>
      <c r="L431" t="inlineStr">
        <is>
          <t>[Washington, D.C. : University Press of America, c1981]</t>
        </is>
      </c>
      <c r="M431" t="inlineStr">
        <is>
          <t>1981</t>
        </is>
      </c>
      <c r="O431" t="inlineStr">
        <is>
          <t>eng</t>
        </is>
      </c>
      <c r="P431" t="inlineStr">
        <is>
          <t>dcu</t>
        </is>
      </c>
      <c r="R431" t="inlineStr">
        <is>
          <t xml:space="preserve">HN </t>
        </is>
      </c>
      <c r="S431" t="n">
        <v>15</v>
      </c>
      <c r="T431" t="n">
        <v>15</v>
      </c>
      <c r="U431" t="inlineStr">
        <is>
          <t>1999-09-27</t>
        </is>
      </c>
      <c r="V431" t="inlineStr">
        <is>
          <t>1999-09-27</t>
        </is>
      </c>
      <c r="W431" t="inlineStr">
        <is>
          <t>1990-07-02</t>
        </is>
      </c>
      <c r="X431" t="inlineStr">
        <is>
          <t>1990-07-02</t>
        </is>
      </c>
      <c r="Y431" t="n">
        <v>343</v>
      </c>
      <c r="Z431" t="n">
        <v>320</v>
      </c>
      <c r="AA431" t="n">
        <v>322</v>
      </c>
      <c r="AB431" t="n">
        <v>2</v>
      </c>
      <c r="AC431" t="n">
        <v>2</v>
      </c>
      <c r="AD431" t="n">
        <v>12</v>
      </c>
      <c r="AE431" t="n">
        <v>12</v>
      </c>
      <c r="AF431" t="n">
        <v>1</v>
      </c>
      <c r="AG431" t="n">
        <v>1</v>
      </c>
      <c r="AH431" t="n">
        <v>5</v>
      </c>
      <c r="AI431" t="n">
        <v>5</v>
      </c>
      <c r="AJ431" t="n">
        <v>5</v>
      </c>
      <c r="AK431" t="n">
        <v>5</v>
      </c>
      <c r="AL431" t="n">
        <v>1</v>
      </c>
      <c r="AM431" t="n">
        <v>1</v>
      </c>
      <c r="AN431" t="n">
        <v>3</v>
      </c>
      <c r="AO431" t="n">
        <v>3</v>
      </c>
      <c r="AP431" t="inlineStr">
        <is>
          <t>No</t>
        </is>
      </c>
      <c r="AQ431" t="inlineStr">
        <is>
          <t>Yes</t>
        </is>
      </c>
      <c r="AR431">
        <f>HYPERLINK("http://catalog.hathitrust.org/Record/000098384","HathiTrust Record")</f>
        <v/>
      </c>
      <c r="AS431">
        <f>HYPERLINK("https://creighton-primo.hosted.exlibrisgroup.com/primo-explore/search?tab=default_tab&amp;search_scope=EVERYTHING&amp;vid=01CRU&amp;lang=en_US&amp;offset=0&amp;query=any,contains,991005095459702656","Catalog Record")</f>
        <v/>
      </c>
      <c r="AT431">
        <f>HYPERLINK("http://www.worldcat.org/oclc/7272669","WorldCat Record")</f>
        <v/>
      </c>
      <c r="AU431" t="inlineStr">
        <is>
          <t>483177:eng</t>
        </is>
      </c>
      <c r="AV431" t="inlineStr">
        <is>
          <t>7272669</t>
        </is>
      </c>
      <c r="AW431" t="inlineStr">
        <is>
          <t>991005095459702656</t>
        </is>
      </c>
      <c r="AX431" t="inlineStr">
        <is>
          <t>991005095459702656</t>
        </is>
      </c>
      <c r="AY431" t="inlineStr">
        <is>
          <t>2261322980002656</t>
        </is>
      </c>
      <c r="AZ431" t="inlineStr">
        <is>
          <t>BOOK</t>
        </is>
      </c>
      <c r="BB431" t="inlineStr">
        <is>
          <t>9780819114464</t>
        </is>
      </c>
      <c r="BC431" t="inlineStr">
        <is>
          <t>32285000219427</t>
        </is>
      </c>
      <c r="BD431" t="inlineStr">
        <is>
          <t>893902091</t>
        </is>
      </c>
    </row>
    <row r="432">
      <c r="A432" t="inlineStr">
        <is>
          <t>No</t>
        </is>
      </c>
      <c r="B432" t="inlineStr">
        <is>
          <t>HN65 .M27</t>
        </is>
      </c>
      <c r="C432" t="inlineStr">
        <is>
          <t>0                      HN 0065000M  27</t>
        </is>
      </c>
      <c r="D432" t="inlineStr">
        <is>
          <t>The poverty of progress; the political economy of American social problems. Written and edited by Milton Mankoff.</t>
        </is>
      </c>
      <c r="F432" t="inlineStr">
        <is>
          <t>No</t>
        </is>
      </c>
      <c r="G432" t="inlineStr">
        <is>
          <t>1</t>
        </is>
      </c>
      <c r="H432" t="inlineStr">
        <is>
          <t>No</t>
        </is>
      </c>
      <c r="I432" t="inlineStr">
        <is>
          <t>No</t>
        </is>
      </c>
      <c r="J432" t="inlineStr">
        <is>
          <t>0</t>
        </is>
      </c>
      <c r="K432" t="inlineStr">
        <is>
          <t>Mankoff, Milton compiler.</t>
        </is>
      </c>
      <c r="L432" t="inlineStr">
        <is>
          <t>New York, Holt, Rinehart and Winston [1972]</t>
        </is>
      </c>
      <c r="M432" t="inlineStr">
        <is>
          <t>1972</t>
        </is>
      </c>
      <c r="O432" t="inlineStr">
        <is>
          <t>eng</t>
        </is>
      </c>
      <c r="P432" t="inlineStr">
        <is>
          <t>nyu</t>
        </is>
      </c>
      <c r="R432" t="inlineStr">
        <is>
          <t xml:space="preserve">HN </t>
        </is>
      </c>
      <c r="S432" t="n">
        <v>2</v>
      </c>
      <c r="T432" t="n">
        <v>2</v>
      </c>
      <c r="U432" t="inlineStr">
        <is>
          <t>1998-04-29</t>
        </is>
      </c>
      <c r="V432" t="inlineStr">
        <is>
          <t>1998-04-29</t>
        </is>
      </c>
      <c r="W432" t="inlineStr">
        <is>
          <t>1997-08-05</t>
        </is>
      </c>
      <c r="X432" t="inlineStr">
        <is>
          <t>1997-08-05</t>
        </is>
      </c>
      <c r="Y432" t="n">
        <v>309</v>
      </c>
      <c r="Z432" t="n">
        <v>239</v>
      </c>
      <c r="AA432" t="n">
        <v>244</v>
      </c>
      <c r="AB432" t="n">
        <v>3</v>
      </c>
      <c r="AC432" t="n">
        <v>3</v>
      </c>
      <c r="AD432" t="n">
        <v>16</v>
      </c>
      <c r="AE432" t="n">
        <v>16</v>
      </c>
      <c r="AF432" t="n">
        <v>7</v>
      </c>
      <c r="AG432" t="n">
        <v>7</v>
      </c>
      <c r="AH432" t="n">
        <v>3</v>
      </c>
      <c r="AI432" t="n">
        <v>3</v>
      </c>
      <c r="AJ432" t="n">
        <v>8</v>
      </c>
      <c r="AK432" t="n">
        <v>8</v>
      </c>
      <c r="AL432" t="n">
        <v>2</v>
      </c>
      <c r="AM432" t="n">
        <v>2</v>
      </c>
      <c r="AN432" t="n">
        <v>0</v>
      </c>
      <c r="AO432" t="n">
        <v>0</v>
      </c>
      <c r="AP432" t="inlineStr">
        <is>
          <t>No</t>
        </is>
      </c>
      <c r="AQ432" t="inlineStr">
        <is>
          <t>Yes</t>
        </is>
      </c>
      <c r="AR432">
        <f>HYPERLINK("http://catalog.hathitrust.org/Record/006094688","HathiTrust Record")</f>
        <v/>
      </c>
      <c r="AS432">
        <f>HYPERLINK("https://creighton-primo.hosted.exlibrisgroup.com/primo-explore/search?tab=default_tab&amp;search_scope=EVERYTHING&amp;vid=01CRU&amp;lang=en_US&amp;offset=0&amp;query=any,contains,991002465259702656","Catalog Record")</f>
        <v/>
      </c>
      <c r="AT432">
        <f>HYPERLINK("http://www.worldcat.org/oclc/357450","WorldCat Record")</f>
        <v/>
      </c>
      <c r="AU432" t="inlineStr">
        <is>
          <t>877792202:eng</t>
        </is>
      </c>
      <c r="AV432" t="inlineStr">
        <is>
          <t>357450</t>
        </is>
      </c>
      <c r="AW432" t="inlineStr">
        <is>
          <t>991002465259702656</t>
        </is>
      </c>
      <c r="AX432" t="inlineStr">
        <is>
          <t>991002465259702656</t>
        </is>
      </c>
      <c r="AY432" t="inlineStr">
        <is>
          <t>2263022920002656</t>
        </is>
      </c>
      <c r="AZ432" t="inlineStr">
        <is>
          <t>BOOK</t>
        </is>
      </c>
      <c r="BB432" t="inlineStr">
        <is>
          <t>9780030857522</t>
        </is>
      </c>
      <c r="BC432" t="inlineStr">
        <is>
          <t>32285003043352</t>
        </is>
      </c>
      <c r="BD432" t="inlineStr">
        <is>
          <t>893591380</t>
        </is>
      </c>
    </row>
    <row r="433">
      <c r="A433" t="inlineStr">
        <is>
          <t>No</t>
        </is>
      </c>
      <c r="B433" t="inlineStr">
        <is>
          <t>HN65 .M58 1994</t>
        </is>
      </c>
      <c r="C433" t="inlineStr">
        <is>
          <t>0                      HN 0065000M  58          1994</t>
        </is>
      </c>
      <c r="D433" t="inlineStr">
        <is>
          <t>Organizing for power and empowerment / Jacqueline B. Mondros, Scott M. Wilson.</t>
        </is>
      </c>
      <c r="F433" t="inlineStr">
        <is>
          <t>No</t>
        </is>
      </c>
      <c r="G433" t="inlineStr">
        <is>
          <t>1</t>
        </is>
      </c>
      <c r="H433" t="inlineStr">
        <is>
          <t>No</t>
        </is>
      </c>
      <c r="I433" t="inlineStr">
        <is>
          <t>No</t>
        </is>
      </c>
      <c r="J433" t="inlineStr">
        <is>
          <t>0</t>
        </is>
      </c>
      <c r="K433" t="inlineStr">
        <is>
          <t>Mondros, Jacqueline B.</t>
        </is>
      </c>
      <c r="L433" t="inlineStr">
        <is>
          <t>New York : Columbia University Press, c1994.</t>
        </is>
      </c>
      <c r="M433" t="inlineStr">
        <is>
          <t>1994</t>
        </is>
      </c>
      <c r="O433" t="inlineStr">
        <is>
          <t>eng</t>
        </is>
      </c>
      <c r="P433" t="inlineStr">
        <is>
          <t>nyu</t>
        </is>
      </c>
      <c r="Q433" t="inlineStr">
        <is>
          <t>Empowering the powerless</t>
        </is>
      </c>
      <c r="R433" t="inlineStr">
        <is>
          <t xml:space="preserve">HN </t>
        </is>
      </c>
      <c r="S433" t="n">
        <v>6</v>
      </c>
      <c r="T433" t="n">
        <v>6</v>
      </c>
      <c r="U433" t="inlineStr">
        <is>
          <t>2003-07-08</t>
        </is>
      </c>
      <c r="V433" t="inlineStr">
        <is>
          <t>2003-07-08</t>
        </is>
      </c>
      <c r="W433" t="inlineStr">
        <is>
          <t>1997-10-22</t>
        </is>
      </c>
      <c r="X433" t="inlineStr">
        <is>
          <t>1997-10-22</t>
        </is>
      </c>
      <c r="Y433" t="n">
        <v>453</v>
      </c>
      <c r="Z433" t="n">
        <v>379</v>
      </c>
      <c r="AA433" t="n">
        <v>400</v>
      </c>
      <c r="AB433" t="n">
        <v>4</v>
      </c>
      <c r="AC433" t="n">
        <v>4</v>
      </c>
      <c r="AD433" t="n">
        <v>26</v>
      </c>
      <c r="AE433" t="n">
        <v>27</v>
      </c>
      <c r="AF433" t="n">
        <v>11</v>
      </c>
      <c r="AG433" t="n">
        <v>12</v>
      </c>
      <c r="AH433" t="n">
        <v>8</v>
      </c>
      <c r="AI433" t="n">
        <v>9</v>
      </c>
      <c r="AJ433" t="n">
        <v>12</v>
      </c>
      <c r="AK433" t="n">
        <v>12</v>
      </c>
      <c r="AL433" t="n">
        <v>3</v>
      </c>
      <c r="AM433" t="n">
        <v>3</v>
      </c>
      <c r="AN433" t="n">
        <v>0</v>
      </c>
      <c r="AO433" t="n">
        <v>0</v>
      </c>
      <c r="AP433" t="inlineStr">
        <is>
          <t>No</t>
        </is>
      </c>
      <c r="AQ433" t="inlineStr">
        <is>
          <t>No</t>
        </is>
      </c>
      <c r="AS433">
        <f>HYPERLINK("https://creighton-primo.hosted.exlibrisgroup.com/primo-explore/search?tab=default_tab&amp;search_scope=EVERYTHING&amp;vid=01CRU&amp;lang=en_US&amp;offset=0&amp;query=any,contains,991002227539702656","Catalog Record")</f>
        <v/>
      </c>
      <c r="AT433">
        <f>HYPERLINK("http://www.worldcat.org/oclc/28708485","WorldCat Record")</f>
        <v/>
      </c>
      <c r="AU433" t="inlineStr">
        <is>
          <t>1061581:eng</t>
        </is>
      </c>
      <c r="AV433" t="inlineStr">
        <is>
          <t>28708485</t>
        </is>
      </c>
      <c r="AW433" t="inlineStr">
        <is>
          <t>991002227539702656</t>
        </is>
      </c>
      <c r="AX433" t="inlineStr">
        <is>
          <t>991002227539702656</t>
        </is>
      </c>
      <c r="AY433" t="inlineStr">
        <is>
          <t>2256887640002656</t>
        </is>
      </c>
      <c r="AZ433" t="inlineStr">
        <is>
          <t>BOOK</t>
        </is>
      </c>
      <c r="BB433" t="inlineStr">
        <is>
          <t>9780231067188</t>
        </is>
      </c>
      <c r="BC433" t="inlineStr">
        <is>
          <t>32285003257408</t>
        </is>
      </c>
      <c r="BD433" t="inlineStr">
        <is>
          <t>893603339</t>
        </is>
      </c>
    </row>
    <row r="434">
      <c r="A434" t="inlineStr">
        <is>
          <t>No</t>
        </is>
      </c>
      <c r="B434" t="inlineStr">
        <is>
          <t>HN65 .M83 2002</t>
        </is>
      </c>
      <c r="C434" t="inlineStr">
        <is>
          <t>0                      HN 0065000M  83          2002</t>
        </is>
      </c>
      <c r="D434" t="inlineStr">
        <is>
          <t>Muckraking! : the journalism that changed America / [compiled by] Judith and William Serrin.</t>
        </is>
      </c>
      <c r="F434" t="inlineStr">
        <is>
          <t>No</t>
        </is>
      </c>
      <c r="G434" t="inlineStr">
        <is>
          <t>1</t>
        </is>
      </c>
      <c r="H434" t="inlineStr">
        <is>
          <t>No</t>
        </is>
      </c>
      <c r="I434" t="inlineStr">
        <is>
          <t>No</t>
        </is>
      </c>
      <c r="J434" t="inlineStr">
        <is>
          <t>0</t>
        </is>
      </c>
      <c r="L434" t="inlineStr">
        <is>
          <t>New York : New Press, 2002.</t>
        </is>
      </c>
      <c r="M434" t="inlineStr">
        <is>
          <t>2002</t>
        </is>
      </c>
      <c r="O434" t="inlineStr">
        <is>
          <t>eng</t>
        </is>
      </c>
      <c r="P434" t="inlineStr">
        <is>
          <t>nyu</t>
        </is>
      </c>
      <c r="R434" t="inlineStr">
        <is>
          <t xml:space="preserve">HN </t>
        </is>
      </c>
      <c r="S434" t="n">
        <v>3</v>
      </c>
      <c r="T434" t="n">
        <v>3</v>
      </c>
      <c r="U434" t="inlineStr">
        <is>
          <t>2005-10-26</t>
        </is>
      </c>
      <c r="V434" t="inlineStr">
        <is>
          <t>2005-10-26</t>
        </is>
      </c>
      <c r="W434" t="inlineStr">
        <is>
          <t>2003-04-08</t>
        </is>
      </c>
      <c r="X434" t="inlineStr">
        <is>
          <t>2003-04-08</t>
        </is>
      </c>
      <c r="Y434" t="n">
        <v>841</v>
      </c>
      <c r="Z434" t="n">
        <v>783</v>
      </c>
      <c r="AA434" t="n">
        <v>797</v>
      </c>
      <c r="AB434" t="n">
        <v>4</v>
      </c>
      <c r="AC434" t="n">
        <v>4</v>
      </c>
      <c r="AD434" t="n">
        <v>23</v>
      </c>
      <c r="AE434" t="n">
        <v>23</v>
      </c>
      <c r="AF434" t="n">
        <v>10</v>
      </c>
      <c r="AG434" t="n">
        <v>10</v>
      </c>
      <c r="AH434" t="n">
        <v>5</v>
      </c>
      <c r="AI434" t="n">
        <v>5</v>
      </c>
      <c r="AJ434" t="n">
        <v>10</v>
      </c>
      <c r="AK434" t="n">
        <v>10</v>
      </c>
      <c r="AL434" t="n">
        <v>3</v>
      </c>
      <c r="AM434" t="n">
        <v>3</v>
      </c>
      <c r="AN434" t="n">
        <v>1</v>
      </c>
      <c r="AO434" t="n">
        <v>1</v>
      </c>
      <c r="AP434" t="inlineStr">
        <is>
          <t>No</t>
        </is>
      </c>
      <c r="AQ434" t="inlineStr">
        <is>
          <t>No</t>
        </is>
      </c>
      <c r="AS434">
        <f>HYPERLINK("https://creighton-primo.hosted.exlibrisgroup.com/primo-explore/search?tab=default_tab&amp;search_scope=EVERYTHING&amp;vid=01CRU&amp;lang=en_US&amp;offset=0&amp;query=any,contains,991004015079702656","Catalog Record")</f>
        <v/>
      </c>
      <c r="AT434">
        <f>HYPERLINK("http://www.worldcat.org/oclc/47098939","WorldCat Record")</f>
        <v/>
      </c>
      <c r="AU434" t="inlineStr">
        <is>
          <t>796453855:eng</t>
        </is>
      </c>
      <c r="AV434" t="inlineStr">
        <is>
          <t>47098939</t>
        </is>
      </c>
      <c r="AW434" t="inlineStr">
        <is>
          <t>991004015079702656</t>
        </is>
      </c>
      <c r="AX434" t="inlineStr">
        <is>
          <t>991004015079702656</t>
        </is>
      </c>
      <c r="AY434" t="inlineStr">
        <is>
          <t>2268501770002656</t>
        </is>
      </c>
      <c r="AZ434" t="inlineStr">
        <is>
          <t>BOOK</t>
        </is>
      </c>
      <c r="BB434" t="inlineStr">
        <is>
          <t>9781565846630</t>
        </is>
      </c>
      <c r="BC434" t="inlineStr">
        <is>
          <t>32285004740212</t>
        </is>
      </c>
      <c r="BD434" t="inlineStr">
        <is>
          <t>893442070</t>
        </is>
      </c>
    </row>
    <row r="435">
      <c r="A435" t="inlineStr">
        <is>
          <t>No</t>
        </is>
      </c>
      <c r="B435" t="inlineStr">
        <is>
          <t>HN65 .P635 1988</t>
        </is>
      </c>
      <c r="C435" t="inlineStr">
        <is>
          <t>0                      HN 0065000P  635         1988</t>
        </is>
      </c>
      <c r="D435" t="inlineStr">
        <is>
          <t>The Politics of social policy in the United States / edited by Margaret Weir, Ann Shola Orloff, and Theda Skocpol.</t>
        </is>
      </c>
      <c r="F435" t="inlineStr">
        <is>
          <t>No</t>
        </is>
      </c>
      <c r="G435" t="inlineStr">
        <is>
          <t>1</t>
        </is>
      </c>
      <c r="H435" t="inlineStr">
        <is>
          <t>No</t>
        </is>
      </c>
      <c r="I435" t="inlineStr">
        <is>
          <t>No</t>
        </is>
      </c>
      <c r="J435" t="inlineStr">
        <is>
          <t>0</t>
        </is>
      </c>
      <c r="L435" t="inlineStr">
        <is>
          <t>Princeton, N.J. : Princeton University Press, c1988.</t>
        </is>
      </c>
      <c r="M435" t="inlineStr">
        <is>
          <t>1988</t>
        </is>
      </c>
      <c r="O435" t="inlineStr">
        <is>
          <t>eng</t>
        </is>
      </c>
      <c r="P435" t="inlineStr">
        <is>
          <t>nju</t>
        </is>
      </c>
      <c r="Q435" t="inlineStr">
        <is>
          <t>Studies from the Project on the Federal Social Role</t>
        </is>
      </c>
      <c r="R435" t="inlineStr">
        <is>
          <t xml:space="preserve">HN </t>
        </is>
      </c>
      <c r="S435" t="n">
        <v>9</v>
      </c>
      <c r="T435" t="n">
        <v>9</v>
      </c>
      <c r="U435" t="inlineStr">
        <is>
          <t>2010-04-21</t>
        </is>
      </c>
      <c r="V435" t="inlineStr">
        <is>
          <t>2010-04-21</t>
        </is>
      </c>
      <c r="W435" t="inlineStr">
        <is>
          <t>1990-07-02</t>
        </is>
      </c>
      <c r="X435" t="inlineStr">
        <is>
          <t>1990-07-02</t>
        </is>
      </c>
      <c r="Y435" t="n">
        <v>707</v>
      </c>
      <c r="Z435" t="n">
        <v>538</v>
      </c>
      <c r="AA435" t="n">
        <v>680</v>
      </c>
      <c r="AB435" t="n">
        <v>2</v>
      </c>
      <c r="AC435" t="n">
        <v>2</v>
      </c>
      <c r="AD435" t="n">
        <v>27</v>
      </c>
      <c r="AE435" t="n">
        <v>36</v>
      </c>
      <c r="AF435" t="n">
        <v>14</v>
      </c>
      <c r="AG435" t="n">
        <v>19</v>
      </c>
      <c r="AH435" t="n">
        <v>5</v>
      </c>
      <c r="AI435" t="n">
        <v>8</v>
      </c>
      <c r="AJ435" t="n">
        <v>15</v>
      </c>
      <c r="AK435" t="n">
        <v>18</v>
      </c>
      <c r="AL435" t="n">
        <v>1</v>
      </c>
      <c r="AM435" t="n">
        <v>1</v>
      </c>
      <c r="AN435" t="n">
        <v>1</v>
      </c>
      <c r="AO435" t="n">
        <v>1</v>
      </c>
      <c r="AP435" t="inlineStr">
        <is>
          <t>No</t>
        </is>
      </c>
      <c r="AQ435" t="inlineStr">
        <is>
          <t>No</t>
        </is>
      </c>
      <c r="AS435">
        <f>HYPERLINK("https://creighton-primo.hosted.exlibrisgroup.com/primo-explore/search?tab=default_tab&amp;search_scope=EVERYTHING&amp;vid=01CRU&amp;lang=en_US&amp;offset=0&amp;query=any,contains,991001154049702656","Catalog Record")</f>
        <v/>
      </c>
      <c r="AT435">
        <f>HYPERLINK("http://www.worldcat.org/oclc/16833030","WorldCat Record")</f>
        <v/>
      </c>
      <c r="AU435" t="inlineStr">
        <is>
          <t>346291756:eng</t>
        </is>
      </c>
      <c r="AV435" t="inlineStr">
        <is>
          <t>16833030</t>
        </is>
      </c>
      <c r="AW435" t="inlineStr">
        <is>
          <t>991001154049702656</t>
        </is>
      </c>
      <c r="AX435" t="inlineStr">
        <is>
          <t>991001154049702656</t>
        </is>
      </c>
      <c r="AY435" t="inlineStr">
        <is>
          <t>2263531400002656</t>
        </is>
      </c>
      <c r="AZ435" t="inlineStr">
        <is>
          <t>BOOK</t>
        </is>
      </c>
      <c r="BB435" t="inlineStr">
        <is>
          <t>9780691028415</t>
        </is>
      </c>
      <c r="BC435" t="inlineStr">
        <is>
          <t>32285000219443</t>
        </is>
      </c>
      <c r="BD435" t="inlineStr">
        <is>
          <t>893334107</t>
        </is>
      </c>
    </row>
    <row r="436">
      <c r="A436" t="inlineStr">
        <is>
          <t>No</t>
        </is>
      </c>
      <c r="B436" t="inlineStr">
        <is>
          <t>HN65 .R35</t>
        </is>
      </c>
      <c r="C436" t="inlineStr">
        <is>
          <t>0                      HN 0065000R  35</t>
        </is>
      </c>
      <c r="D436" t="inlineStr">
        <is>
          <t>Social problems and public policy: inequality and justice.</t>
        </is>
      </c>
      <c r="F436" t="inlineStr">
        <is>
          <t>No</t>
        </is>
      </c>
      <c r="G436" t="inlineStr">
        <is>
          <t>1</t>
        </is>
      </c>
      <c r="H436" t="inlineStr">
        <is>
          <t>No</t>
        </is>
      </c>
      <c r="I436" t="inlineStr">
        <is>
          <t>No</t>
        </is>
      </c>
      <c r="J436" t="inlineStr">
        <is>
          <t>0</t>
        </is>
      </c>
      <c r="K436" t="inlineStr">
        <is>
          <t>Rainwater, Lee compiler.</t>
        </is>
      </c>
      <c r="L436" t="inlineStr">
        <is>
          <t>Chicago, Aldine Pub. Co. [1974]</t>
        </is>
      </c>
      <c r="M436" t="inlineStr">
        <is>
          <t>1974</t>
        </is>
      </c>
      <c r="O436" t="inlineStr">
        <is>
          <t>eng</t>
        </is>
      </c>
      <c r="P436" t="inlineStr">
        <is>
          <t>ilu</t>
        </is>
      </c>
      <c r="R436" t="inlineStr">
        <is>
          <t xml:space="preserve">HN </t>
        </is>
      </c>
      <c r="S436" t="n">
        <v>3</v>
      </c>
      <c r="T436" t="n">
        <v>3</v>
      </c>
      <c r="U436" t="inlineStr">
        <is>
          <t>2007-11-12</t>
        </is>
      </c>
      <c r="V436" t="inlineStr">
        <is>
          <t>2007-11-12</t>
        </is>
      </c>
      <c r="W436" t="inlineStr">
        <is>
          <t>1997-08-06</t>
        </is>
      </c>
      <c r="X436" t="inlineStr">
        <is>
          <t>1997-08-06</t>
        </is>
      </c>
      <c r="Y436" t="n">
        <v>502</v>
      </c>
      <c r="Z436" t="n">
        <v>430</v>
      </c>
      <c r="AA436" t="n">
        <v>446</v>
      </c>
      <c r="AB436" t="n">
        <v>3</v>
      </c>
      <c r="AC436" t="n">
        <v>3</v>
      </c>
      <c r="AD436" t="n">
        <v>25</v>
      </c>
      <c r="AE436" t="n">
        <v>25</v>
      </c>
      <c r="AF436" t="n">
        <v>5</v>
      </c>
      <c r="AG436" t="n">
        <v>5</v>
      </c>
      <c r="AH436" t="n">
        <v>6</v>
      </c>
      <c r="AI436" t="n">
        <v>6</v>
      </c>
      <c r="AJ436" t="n">
        <v>12</v>
      </c>
      <c r="AK436" t="n">
        <v>12</v>
      </c>
      <c r="AL436" t="n">
        <v>2</v>
      </c>
      <c r="AM436" t="n">
        <v>2</v>
      </c>
      <c r="AN436" t="n">
        <v>4</v>
      </c>
      <c r="AO436" t="n">
        <v>4</v>
      </c>
      <c r="AP436" t="inlineStr">
        <is>
          <t>No</t>
        </is>
      </c>
      <c r="AQ436" t="inlineStr">
        <is>
          <t>Yes</t>
        </is>
      </c>
      <c r="AR436">
        <f>HYPERLINK("http://catalog.hathitrust.org/Record/000974970","HathiTrust Record")</f>
        <v/>
      </c>
      <c r="AS436">
        <f>HYPERLINK("https://creighton-primo.hosted.exlibrisgroup.com/primo-explore/search?tab=default_tab&amp;search_scope=EVERYTHING&amp;vid=01CRU&amp;lang=en_US&amp;offset=0&amp;query=any,contains,991003364419702656","Catalog Record")</f>
        <v/>
      </c>
      <c r="AT436">
        <f>HYPERLINK("http://www.worldcat.org/oclc/900783","WorldCat Record")</f>
        <v/>
      </c>
      <c r="AU436" t="inlineStr">
        <is>
          <t>2288756509:eng</t>
        </is>
      </c>
      <c r="AV436" t="inlineStr">
        <is>
          <t>900783</t>
        </is>
      </c>
      <c r="AW436" t="inlineStr">
        <is>
          <t>991003364419702656</t>
        </is>
      </c>
      <c r="AX436" t="inlineStr">
        <is>
          <t>991003364419702656</t>
        </is>
      </c>
      <c r="AY436" t="inlineStr">
        <is>
          <t>2266311590002656</t>
        </is>
      </c>
      <c r="AZ436" t="inlineStr">
        <is>
          <t>BOOK</t>
        </is>
      </c>
      <c r="BB436" t="inlineStr">
        <is>
          <t>9780202320465</t>
        </is>
      </c>
      <c r="BC436" t="inlineStr">
        <is>
          <t>32285003043444</t>
        </is>
      </c>
      <c r="BD436" t="inlineStr">
        <is>
          <t>893410223</t>
        </is>
      </c>
    </row>
    <row r="437">
      <c r="A437" t="inlineStr">
        <is>
          <t>No</t>
        </is>
      </c>
      <c r="B437" t="inlineStr">
        <is>
          <t>HN65 .R37 1991</t>
        </is>
      </c>
      <c r="C437" t="inlineStr">
        <is>
          <t>0                      HN 0065000R  37          1991</t>
        </is>
      </c>
      <c r="D437" t="inlineStr">
        <is>
          <t>God's country : a case against theocracy / Sandy Rapp.</t>
        </is>
      </c>
      <c r="F437" t="inlineStr">
        <is>
          <t>No</t>
        </is>
      </c>
      <c r="G437" t="inlineStr">
        <is>
          <t>1</t>
        </is>
      </c>
      <c r="H437" t="inlineStr">
        <is>
          <t>No</t>
        </is>
      </c>
      <c r="I437" t="inlineStr">
        <is>
          <t>No</t>
        </is>
      </c>
      <c r="J437" t="inlineStr">
        <is>
          <t>0</t>
        </is>
      </c>
      <c r="K437" t="inlineStr">
        <is>
          <t>Rapp, Sandy.</t>
        </is>
      </c>
      <c r="L437" t="inlineStr">
        <is>
          <t>New York : Haworth Press, c1991.</t>
        </is>
      </c>
      <c r="M437" t="inlineStr">
        <is>
          <t>1991</t>
        </is>
      </c>
      <c r="O437" t="inlineStr">
        <is>
          <t>eng</t>
        </is>
      </c>
      <c r="P437" t="inlineStr">
        <is>
          <t>nyu</t>
        </is>
      </c>
      <c r="Q437" t="inlineStr">
        <is>
          <t>Haworth women's studies</t>
        </is>
      </c>
      <c r="R437" t="inlineStr">
        <is>
          <t xml:space="preserve">HN </t>
        </is>
      </c>
      <c r="S437" t="n">
        <v>1</v>
      </c>
      <c r="T437" t="n">
        <v>1</v>
      </c>
      <c r="U437" t="inlineStr">
        <is>
          <t>1994-10-13</t>
        </is>
      </c>
      <c r="V437" t="inlineStr">
        <is>
          <t>1994-10-13</t>
        </is>
      </c>
      <c r="W437" t="inlineStr">
        <is>
          <t>1994-07-06</t>
        </is>
      </c>
      <c r="X437" t="inlineStr">
        <is>
          <t>1994-07-06</t>
        </is>
      </c>
      <c r="Y437" t="n">
        <v>176</v>
      </c>
      <c r="Z437" t="n">
        <v>153</v>
      </c>
      <c r="AA437" t="n">
        <v>247</v>
      </c>
      <c r="AB437" t="n">
        <v>2</v>
      </c>
      <c r="AC437" t="n">
        <v>3</v>
      </c>
      <c r="AD437" t="n">
        <v>8</v>
      </c>
      <c r="AE437" t="n">
        <v>17</v>
      </c>
      <c r="AF437" t="n">
        <v>2</v>
      </c>
      <c r="AG437" t="n">
        <v>5</v>
      </c>
      <c r="AH437" t="n">
        <v>2</v>
      </c>
      <c r="AI437" t="n">
        <v>3</v>
      </c>
      <c r="AJ437" t="n">
        <v>4</v>
      </c>
      <c r="AK437" t="n">
        <v>10</v>
      </c>
      <c r="AL437" t="n">
        <v>1</v>
      </c>
      <c r="AM437" t="n">
        <v>2</v>
      </c>
      <c r="AN437" t="n">
        <v>2</v>
      </c>
      <c r="AO437" t="n">
        <v>2</v>
      </c>
      <c r="AP437" t="inlineStr">
        <is>
          <t>No</t>
        </is>
      </c>
      <c r="AQ437" t="inlineStr">
        <is>
          <t>No</t>
        </is>
      </c>
      <c r="AS437">
        <f>HYPERLINK("https://creighton-primo.hosted.exlibrisgroup.com/primo-explore/search?tab=default_tab&amp;search_scope=EVERYTHING&amp;vid=01CRU&amp;lang=en_US&amp;offset=0&amp;query=any,contains,991001850839702656","Catalog Record")</f>
        <v/>
      </c>
      <c r="AT437">
        <f>HYPERLINK("http://www.worldcat.org/oclc/23219964","WorldCat Record")</f>
        <v/>
      </c>
      <c r="AU437" t="inlineStr">
        <is>
          <t>12829366:eng</t>
        </is>
      </c>
      <c r="AV437" t="inlineStr">
        <is>
          <t>23219964</t>
        </is>
      </c>
      <c r="AW437" t="inlineStr">
        <is>
          <t>991001850839702656</t>
        </is>
      </c>
      <c r="AX437" t="inlineStr">
        <is>
          <t>991001850839702656</t>
        </is>
      </c>
      <c r="AY437" t="inlineStr">
        <is>
          <t>2258776020002656</t>
        </is>
      </c>
      <c r="AZ437" t="inlineStr">
        <is>
          <t>BOOK</t>
        </is>
      </c>
      <c r="BB437" t="inlineStr">
        <is>
          <t>9781560241034</t>
        </is>
      </c>
      <c r="BC437" t="inlineStr">
        <is>
          <t>32285001931046</t>
        </is>
      </c>
      <c r="BD437" t="inlineStr">
        <is>
          <t>893779140</t>
        </is>
      </c>
    </row>
    <row r="438">
      <c r="A438" t="inlineStr">
        <is>
          <t>No</t>
        </is>
      </c>
      <c r="B438" t="inlineStr">
        <is>
          <t>HN65 .S423 1989</t>
        </is>
      </c>
      <c r="C438" t="inlineStr">
        <is>
          <t>0                      HN 0065000S  423         1989</t>
        </is>
      </c>
      <c r="D438" t="inlineStr">
        <is>
          <t>Within our reach : breaking the cycle of disadvantage / Lisbeth B. Schorr with Daniel Schorr.</t>
        </is>
      </c>
      <c r="F438" t="inlineStr">
        <is>
          <t>No</t>
        </is>
      </c>
      <c r="G438" t="inlineStr">
        <is>
          <t>1</t>
        </is>
      </c>
      <c r="H438" t="inlineStr">
        <is>
          <t>No</t>
        </is>
      </c>
      <c r="I438" t="inlineStr">
        <is>
          <t>No</t>
        </is>
      </c>
      <c r="J438" t="inlineStr">
        <is>
          <t>0</t>
        </is>
      </c>
      <c r="K438" t="inlineStr">
        <is>
          <t>Schorr, Lisbeth B.</t>
        </is>
      </c>
      <c r="L438" t="inlineStr">
        <is>
          <t>New York : Anchor Books, Doubleday, 1989.</t>
        </is>
      </c>
      <c r="M438" t="inlineStr">
        <is>
          <t>1989</t>
        </is>
      </c>
      <c r="N438" t="inlineStr">
        <is>
          <t>Anchor Books ed.</t>
        </is>
      </c>
      <c r="O438" t="inlineStr">
        <is>
          <t>eng</t>
        </is>
      </c>
      <c r="P438" t="inlineStr">
        <is>
          <t>nyu</t>
        </is>
      </c>
      <c r="R438" t="inlineStr">
        <is>
          <t xml:space="preserve">HN </t>
        </is>
      </c>
      <c r="S438" t="n">
        <v>4</v>
      </c>
      <c r="T438" t="n">
        <v>4</v>
      </c>
      <c r="U438" t="inlineStr">
        <is>
          <t>1996-05-06</t>
        </is>
      </c>
      <c r="V438" t="inlineStr">
        <is>
          <t>1996-05-06</t>
        </is>
      </c>
      <c r="W438" t="inlineStr">
        <is>
          <t>1994-12-08</t>
        </is>
      </c>
      <c r="X438" t="inlineStr">
        <is>
          <t>1994-12-08</t>
        </is>
      </c>
      <c r="Y438" t="n">
        <v>640</v>
      </c>
      <c r="Z438" t="n">
        <v>573</v>
      </c>
      <c r="AA438" t="n">
        <v>1218</v>
      </c>
      <c r="AB438" t="n">
        <v>7</v>
      </c>
      <c r="AC438" t="n">
        <v>12</v>
      </c>
      <c r="AD438" t="n">
        <v>25</v>
      </c>
      <c r="AE438" t="n">
        <v>44</v>
      </c>
      <c r="AF438" t="n">
        <v>8</v>
      </c>
      <c r="AG438" t="n">
        <v>16</v>
      </c>
      <c r="AH438" t="n">
        <v>4</v>
      </c>
      <c r="AI438" t="n">
        <v>9</v>
      </c>
      <c r="AJ438" t="n">
        <v>10</v>
      </c>
      <c r="AK438" t="n">
        <v>17</v>
      </c>
      <c r="AL438" t="n">
        <v>4</v>
      </c>
      <c r="AM438" t="n">
        <v>8</v>
      </c>
      <c r="AN438" t="n">
        <v>2</v>
      </c>
      <c r="AO438" t="n">
        <v>3</v>
      </c>
      <c r="AP438" t="inlineStr">
        <is>
          <t>No</t>
        </is>
      </c>
      <c r="AQ438" t="inlineStr">
        <is>
          <t>Yes</t>
        </is>
      </c>
      <c r="AR438">
        <f>HYPERLINK("http://catalog.hathitrust.org/Record/007108676","HathiTrust Record")</f>
        <v/>
      </c>
      <c r="AS438">
        <f>HYPERLINK("https://creighton-primo.hosted.exlibrisgroup.com/primo-explore/search?tab=default_tab&amp;search_scope=EVERYTHING&amp;vid=01CRU&amp;lang=en_US&amp;offset=0&amp;query=any,contains,991001433509702656","Catalog Record")</f>
        <v/>
      </c>
      <c r="AT438">
        <f>HYPERLINK("http://www.worldcat.org/oclc/19125363","WorldCat Record")</f>
        <v/>
      </c>
      <c r="AU438" t="inlineStr">
        <is>
          <t>180849:eng</t>
        </is>
      </c>
      <c r="AV438" t="inlineStr">
        <is>
          <t>19125363</t>
        </is>
      </c>
      <c r="AW438" t="inlineStr">
        <is>
          <t>991001433509702656</t>
        </is>
      </c>
      <c r="AX438" t="inlineStr">
        <is>
          <t>991001433509702656</t>
        </is>
      </c>
      <c r="AY438" t="inlineStr">
        <is>
          <t>2269669390002656</t>
        </is>
      </c>
      <c r="AZ438" t="inlineStr">
        <is>
          <t>BOOK</t>
        </is>
      </c>
      <c r="BB438" t="inlineStr">
        <is>
          <t>9780385242448</t>
        </is>
      </c>
      <c r="BC438" t="inlineStr">
        <is>
          <t>32285001972297</t>
        </is>
      </c>
      <c r="BD438" t="inlineStr">
        <is>
          <t>893250246</t>
        </is>
      </c>
    </row>
    <row r="439">
      <c r="A439" t="inlineStr">
        <is>
          <t>No</t>
        </is>
      </c>
      <c r="B439" t="inlineStr">
        <is>
          <t>HN65 .S563 1984</t>
        </is>
      </c>
      <c r="C439" t="inlineStr">
        <is>
          <t>0                      HN 0065000S  563         1984</t>
        </is>
      </c>
      <c r="D439" t="inlineStr">
        <is>
          <t>The Sixties papers : documents of a rebellious decade / [edited] by Judith Clavir Albert and Stewart Edward Albert.</t>
        </is>
      </c>
      <c r="F439" t="inlineStr">
        <is>
          <t>No</t>
        </is>
      </c>
      <c r="G439" t="inlineStr">
        <is>
          <t>1</t>
        </is>
      </c>
      <c r="H439" t="inlineStr">
        <is>
          <t>No</t>
        </is>
      </c>
      <c r="I439" t="inlineStr">
        <is>
          <t>No</t>
        </is>
      </c>
      <c r="J439" t="inlineStr">
        <is>
          <t>0</t>
        </is>
      </c>
      <c r="L439" t="inlineStr">
        <is>
          <t>New York : Praeger, 1984.</t>
        </is>
      </c>
      <c r="M439" t="inlineStr">
        <is>
          <t>1984</t>
        </is>
      </c>
      <c r="O439" t="inlineStr">
        <is>
          <t>eng</t>
        </is>
      </c>
      <c r="P439" t="inlineStr">
        <is>
          <t>nyu</t>
        </is>
      </c>
      <c r="R439" t="inlineStr">
        <is>
          <t xml:space="preserve">HN </t>
        </is>
      </c>
      <c r="S439" t="n">
        <v>7</v>
      </c>
      <c r="T439" t="n">
        <v>7</v>
      </c>
      <c r="U439" t="inlineStr">
        <is>
          <t>2005-05-02</t>
        </is>
      </c>
      <c r="V439" t="inlineStr">
        <is>
          <t>2005-05-02</t>
        </is>
      </c>
      <c r="W439" t="inlineStr">
        <is>
          <t>1990-07-02</t>
        </is>
      </c>
      <c r="X439" t="inlineStr">
        <is>
          <t>1990-07-02</t>
        </is>
      </c>
      <c r="Y439" t="n">
        <v>637</v>
      </c>
      <c r="Z439" t="n">
        <v>547</v>
      </c>
      <c r="AA439" t="n">
        <v>555</v>
      </c>
      <c r="AB439" t="n">
        <v>6</v>
      </c>
      <c r="AC439" t="n">
        <v>6</v>
      </c>
      <c r="AD439" t="n">
        <v>21</v>
      </c>
      <c r="AE439" t="n">
        <v>21</v>
      </c>
      <c r="AF439" t="n">
        <v>7</v>
      </c>
      <c r="AG439" t="n">
        <v>7</v>
      </c>
      <c r="AH439" t="n">
        <v>4</v>
      </c>
      <c r="AI439" t="n">
        <v>4</v>
      </c>
      <c r="AJ439" t="n">
        <v>10</v>
      </c>
      <c r="AK439" t="n">
        <v>10</v>
      </c>
      <c r="AL439" t="n">
        <v>5</v>
      </c>
      <c r="AM439" t="n">
        <v>5</v>
      </c>
      <c r="AN439" t="n">
        <v>0</v>
      </c>
      <c r="AO439" t="n">
        <v>0</v>
      </c>
      <c r="AP439" t="inlineStr">
        <is>
          <t>No</t>
        </is>
      </c>
      <c r="AQ439" t="inlineStr">
        <is>
          <t>Yes</t>
        </is>
      </c>
      <c r="AR439">
        <f>HYPERLINK("http://catalog.hathitrust.org/Record/000330871","HathiTrust Record")</f>
        <v/>
      </c>
      <c r="AS439">
        <f>HYPERLINK("https://creighton-primo.hosted.exlibrisgroup.com/primo-explore/search?tab=default_tab&amp;search_scope=EVERYTHING&amp;vid=01CRU&amp;lang=en_US&amp;offset=0&amp;query=any,contains,991000471159702656","Catalog Record")</f>
        <v/>
      </c>
      <c r="AT439">
        <f>HYPERLINK("http://www.worldcat.org/oclc/10997209","WorldCat Record")</f>
        <v/>
      </c>
      <c r="AU439" t="inlineStr">
        <is>
          <t>836672758:eng</t>
        </is>
      </c>
      <c r="AV439" t="inlineStr">
        <is>
          <t>10997209</t>
        </is>
      </c>
      <c r="AW439" t="inlineStr">
        <is>
          <t>991000471159702656</t>
        </is>
      </c>
      <c r="AX439" t="inlineStr">
        <is>
          <t>991000471159702656</t>
        </is>
      </c>
      <c r="AY439" t="inlineStr">
        <is>
          <t>2258281420002656</t>
        </is>
      </c>
      <c r="AZ439" t="inlineStr">
        <is>
          <t>BOOK</t>
        </is>
      </c>
      <c r="BC439" t="inlineStr">
        <is>
          <t>32285000219484</t>
        </is>
      </c>
      <c r="BD439" t="inlineStr">
        <is>
          <t>893595569</t>
        </is>
      </c>
    </row>
    <row r="440">
      <c r="A440" t="inlineStr">
        <is>
          <t>No</t>
        </is>
      </c>
      <c r="B440" t="inlineStr">
        <is>
          <t>HN65 .S5635 2000</t>
        </is>
      </c>
      <c r="C440" t="inlineStr">
        <is>
          <t>0                      HN 0065000S  5635        2000</t>
        </is>
      </c>
      <c r="D440" t="inlineStr">
        <is>
          <t>The missing middle : working families and the future of American social policy / Theda Skocpol.</t>
        </is>
      </c>
      <c r="F440" t="inlineStr">
        <is>
          <t>No</t>
        </is>
      </c>
      <c r="G440" t="inlineStr">
        <is>
          <t>1</t>
        </is>
      </c>
      <c r="H440" t="inlineStr">
        <is>
          <t>No</t>
        </is>
      </c>
      <c r="I440" t="inlineStr">
        <is>
          <t>No</t>
        </is>
      </c>
      <c r="J440" t="inlineStr">
        <is>
          <t>0</t>
        </is>
      </c>
      <c r="K440" t="inlineStr">
        <is>
          <t>Skocpol, Theda.</t>
        </is>
      </c>
      <c r="L440" t="inlineStr">
        <is>
          <t>New York : W.W. Norton, c2000.</t>
        </is>
      </c>
      <c r="M440" t="inlineStr">
        <is>
          <t>2000</t>
        </is>
      </c>
      <c r="N440" t="inlineStr">
        <is>
          <t>1st ed.</t>
        </is>
      </c>
      <c r="O440" t="inlineStr">
        <is>
          <t>eng</t>
        </is>
      </c>
      <c r="P440" t="inlineStr">
        <is>
          <t>nyu</t>
        </is>
      </c>
      <c r="R440" t="inlineStr">
        <is>
          <t xml:space="preserve">HN </t>
        </is>
      </c>
      <c r="S440" t="n">
        <v>4</v>
      </c>
      <c r="T440" t="n">
        <v>4</v>
      </c>
      <c r="U440" t="inlineStr">
        <is>
          <t>2004-02-26</t>
        </is>
      </c>
      <c r="V440" t="inlineStr">
        <is>
          <t>2004-02-26</t>
        </is>
      </c>
      <c r="W440" t="inlineStr">
        <is>
          <t>2000-10-24</t>
        </is>
      </c>
      <c r="X440" t="inlineStr">
        <is>
          <t>2000-10-24</t>
        </is>
      </c>
      <c r="Y440" t="n">
        <v>919</v>
      </c>
      <c r="Z440" t="n">
        <v>824</v>
      </c>
      <c r="AA440" t="n">
        <v>825</v>
      </c>
      <c r="AB440" t="n">
        <v>5</v>
      </c>
      <c r="AC440" t="n">
        <v>5</v>
      </c>
      <c r="AD440" t="n">
        <v>34</v>
      </c>
      <c r="AE440" t="n">
        <v>34</v>
      </c>
      <c r="AF440" t="n">
        <v>12</v>
      </c>
      <c r="AG440" t="n">
        <v>12</v>
      </c>
      <c r="AH440" t="n">
        <v>7</v>
      </c>
      <c r="AI440" t="n">
        <v>7</v>
      </c>
      <c r="AJ440" t="n">
        <v>19</v>
      </c>
      <c r="AK440" t="n">
        <v>19</v>
      </c>
      <c r="AL440" t="n">
        <v>4</v>
      </c>
      <c r="AM440" t="n">
        <v>4</v>
      </c>
      <c r="AN440" t="n">
        <v>2</v>
      </c>
      <c r="AO440" t="n">
        <v>2</v>
      </c>
      <c r="AP440" t="inlineStr">
        <is>
          <t>No</t>
        </is>
      </c>
      <c r="AQ440" t="inlineStr">
        <is>
          <t>No</t>
        </is>
      </c>
      <c r="AS440">
        <f>HYPERLINK("https://creighton-primo.hosted.exlibrisgroup.com/primo-explore/search?tab=default_tab&amp;search_scope=EVERYTHING&amp;vid=01CRU&amp;lang=en_US&amp;offset=0&amp;query=any,contains,991003283239702656","Catalog Record")</f>
        <v/>
      </c>
      <c r="AT440">
        <f>HYPERLINK("http://www.worldcat.org/oclc/41646069","WorldCat Record")</f>
        <v/>
      </c>
      <c r="AU440" t="inlineStr">
        <is>
          <t>837024975:eng</t>
        </is>
      </c>
      <c r="AV440" t="inlineStr">
        <is>
          <t>41646069</t>
        </is>
      </c>
      <c r="AW440" t="inlineStr">
        <is>
          <t>991003283239702656</t>
        </is>
      </c>
      <c r="AX440" t="inlineStr">
        <is>
          <t>991003283239702656</t>
        </is>
      </c>
      <c r="AY440" t="inlineStr">
        <is>
          <t>2261567240002656</t>
        </is>
      </c>
      <c r="AZ440" t="inlineStr">
        <is>
          <t>BOOK</t>
        </is>
      </c>
      <c r="BB440" t="inlineStr">
        <is>
          <t>9780393048223</t>
        </is>
      </c>
      <c r="BC440" t="inlineStr">
        <is>
          <t>32285004260112</t>
        </is>
      </c>
      <c r="BD440" t="inlineStr">
        <is>
          <t>893511780</t>
        </is>
      </c>
    </row>
    <row r="441">
      <c r="A441" t="inlineStr">
        <is>
          <t>No</t>
        </is>
      </c>
      <c r="B441" t="inlineStr">
        <is>
          <t>HN65 .S5649 1991</t>
        </is>
      </c>
      <c r="C441" t="inlineStr">
        <is>
          <t>0                      HN 0065000S  5649        1991</t>
        </is>
      </c>
      <c r="D441" t="inlineStr">
        <is>
          <t>A dream deferred : America's discontent and the search for a new democratic ideal / Philip Slater.</t>
        </is>
      </c>
      <c r="F441" t="inlineStr">
        <is>
          <t>No</t>
        </is>
      </c>
      <c r="G441" t="inlineStr">
        <is>
          <t>1</t>
        </is>
      </c>
      <c r="H441" t="inlineStr">
        <is>
          <t>No</t>
        </is>
      </c>
      <c r="I441" t="inlineStr">
        <is>
          <t>No</t>
        </is>
      </c>
      <c r="J441" t="inlineStr">
        <is>
          <t>0</t>
        </is>
      </c>
      <c r="K441" t="inlineStr">
        <is>
          <t>Slater, Philip E. (Philip Elliot), 1927-2013.</t>
        </is>
      </c>
      <c r="L441" t="inlineStr">
        <is>
          <t>Boston : Beacon Press, c1991.</t>
        </is>
      </c>
      <c r="M441" t="inlineStr">
        <is>
          <t>1991</t>
        </is>
      </c>
      <c r="O441" t="inlineStr">
        <is>
          <t>eng</t>
        </is>
      </c>
      <c r="P441" t="inlineStr">
        <is>
          <t>mau</t>
        </is>
      </c>
      <c r="R441" t="inlineStr">
        <is>
          <t xml:space="preserve">HN </t>
        </is>
      </c>
      <c r="S441" t="n">
        <v>7</v>
      </c>
      <c r="T441" t="n">
        <v>7</v>
      </c>
      <c r="U441" t="inlineStr">
        <is>
          <t>1995-08-11</t>
        </is>
      </c>
      <c r="V441" t="inlineStr">
        <is>
          <t>1995-08-11</t>
        </is>
      </c>
      <c r="W441" t="inlineStr">
        <is>
          <t>1992-02-01</t>
        </is>
      </c>
      <c r="X441" t="inlineStr">
        <is>
          <t>1992-02-01</t>
        </is>
      </c>
      <c r="Y441" t="n">
        <v>467</v>
      </c>
      <c r="Z441" t="n">
        <v>426</v>
      </c>
      <c r="AA441" t="n">
        <v>426</v>
      </c>
      <c r="AB441" t="n">
        <v>4</v>
      </c>
      <c r="AC441" t="n">
        <v>4</v>
      </c>
      <c r="AD441" t="n">
        <v>24</v>
      </c>
      <c r="AE441" t="n">
        <v>24</v>
      </c>
      <c r="AF441" t="n">
        <v>10</v>
      </c>
      <c r="AG441" t="n">
        <v>10</v>
      </c>
      <c r="AH441" t="n">
        <v>6</v>
      </c>
      <c r="AI441" t="n">
        <v>6</v>
      </c>
      <c r="AJ441" t="n">
        <v>13</v>
      </c>
      <c r="AK441" t="n">
        <v>13</v>
      </c>
      <c r="AL441" t="n">
        <v>3</v>
      </c>
      <c r="AM441" t="n">
        <v>3</v>
      </c>
      <c r="AN441" t="n">
        <v>0</v>
      </c>
      <c r="AO441" t="n">
        <v>0</v>
      </c>
      <c r="AP441" t="inlineStr">
        <is>
          <t>No</t>
        </is>
      </c>
      <c r="AQ441" t="inlineStr">
        <is>
          <t>No</t>
        </is>
      </c>
      <c r="AS441">
        <f>HYPERLINK("https://creighton-primo.hosted.exlibrisgroup.com/primo-explore/search?tab=default_tab&amp;search_scope=EVERYTHING&amp;vid=01CRU&amp;lang=en_US&amp;offset=0&amp;query=any,contains,991001803829702656","Catalog Record")</f>
        <v/>
      </c>
      <c r="AT441">
        <f>HYPERLINK("http://www.worldcat.org/oclc/22664941","WorldCat Record")</f>
        <v/>
      </c>
      <c r="AU441" t="inlineStr">
        <is>
          <t>198218314:eng</t>
        </is>
      </c>
      <c r="AV441" t="inlineStr">
        <is>
          <t>22664941</t>
        </is>
      </c>
      <c r="AW441" t="inlineStr">
        <is>
          <t>991001803829702656</t>
        </is>
      </c>
      <c r="AX441" t="inlineStr">
        <is>
          <t>991001803829702656</t>
        </is>
      </c>
      <c r="AY441" t="inlineStr">
        <is>
          <t>2257414950002656</t>
        </is>
      </c>
      <c r="AZ441" t="inlineStr">
        <is>
          <t>BOOK</t>
        </is>
      </c>
      <c r="BB441" t="inlineStr">
        <is>
          <t>9780807043042</t>
        </is>
      </c>
      <c r="BC441" t="inlineStr">
        <is>
          <t>32285000867571</t>
        </is>
      </c>
      <c r="BD441" t="inlineStr">
        <is>
          <t>893885568</t>
        </is>
      </c>
    </row>
    <row r="442">
      <c r="A442" t="inlineStr">
        <is>
          <t>No</t>
        </is>
      </c>
      <c r="B442" t="inlineStr">
        <is>
          <t>HN65 .S565 1990</t>
        </is>
      </c>
      <c r="C442" t="inlineStr">
        <is>
          <t>0                      HN 0065000S  565         1990</t>
        </is>
      </c>
      <c r="D442" t="inlineStr">
        <is>
          <t>The pursuit of loneliness : American culture at the breaking point / Philip Slater ; with a new introduction by Todd Gitlin.</t>
        </is>
      </c>
      <c r="F442" t="inlineStr">
        <is>
          <t>No</t>
        </is>
      </c>
      <c r="G442" t="inlineStr">
        <is>
          <t>1</t>
        </is>
      </c>
      <c r="H442" t="inlineStr">
        <is>
          <t>No</t>
        </is>
      </c>
      <c r="I442" t="inlineStr">
        <is>
          <t>Yes</t>
        </is>
      </c>
      <c r="J442" t="inlineStr">
        <is>
          <t>0</t>
        </is>
      </c>
      <c r="K442" t="inlineStr">
        <is>
          <t>Slater, Philip E. (Philip Elliot), 1927-2013.</t>
        </is>
      </c>
      <c r="L442" t="inlineStr">
        <is>
          <t>Boston : Beacon Press, 1990.</t>
        </is>
      </c>
      <c r="M442" t="inlineStr">
        <is>
          <t>1990</t>
        </is>
      </c>
      <c r="N442" t="inlineStr">
        <is>
          <t>3rd Beacon pbk. ed.</t>
        </is>
      </c>
      <c r="O442" t="inlineStr">
        <is>
          <t>eng</t>
        </is>
      </c>
      <c r="P442" t="inlineStr">
        <is>
          <t>mau</t>
        </is>
      </c>
      <c r="R442" t="inlineStr">
        <is>
          <t xml:space="preserve">HN </t>
        </is>
      </c>
      <c r="S442" t="n">
        <v>10</v>
      </c>
      <c r="T442" t="n">
        <v>10</v>
      </c>
      <c r="U442" t="inlineStr">
        <is>
          <t>2005-02-20</t>
        </is>
      </c>
      <c r="V442" t="inlineStr">
        <is>
          <t>2005-02-20</t>
        </is>
      </c>
      <c r="W442" t="inlineStr">
        <is>
          <t>1991-01-30</t>
        </is>
      </c>
      <c r="X442" t="inlineStr">
        <is>
          <t>1991-01-30</t>
        </is>
      </c>
      <c r="Y442" t="n">
        <v>218</v>
      </c>
      <c r="Z442" t="n">
        <v>192</v>
      </c>
      <c r="AA442" t="n">
        <v>1684</v>
      </c>
      <c r="AB442" t="n">
        <v>1</v>
      </c>
      <c r="AC442" t="n">
        <v>10</v>
      </c>
      <c r="AD442" t="n">
        <v>6</v>
      </c>
      <c r="AE442" t="n">
        <v>55</v>
      </c>
      <c r="AF442" t="n">
        <v>5</v>
      </c>
      <c r="AG442" t="n">
        <v>25</v>
      </c>
      <c r="AH442" t="n">
        <v>0</v>
      </c>
      <c r="AI442" t="n">
        <v>11</v>
      </c>
      <c r="AJ442" t="n">
        <v>2</v>
      </c>
      <c r="AK442" t="n">
        <v>26</v>
      </c>
      <c r="AL442" t="n">
        <v>0</v>
      </c>
      <c r="AM442" t="n">
        <v>7</v>
      </c>
      <c r="AN442" t="n">
        <v>0</v>
      </c>
      <c r="AO442" t="n">
        <v>0</v>
      </c>
      <c r="AP442" t="inlineStr">
        <is>
          <t>No</t>
        </is>
      </c>
      <c r="AQ442" t="inlineStr">
        <is>
          <t>No</t>
        </is>
      </c>
      <c r="AS442">
        <f>HYPERLINK("https://creighton-primo.hosted.exlibrisgroup.com/primo-explore/search?tab=default_tab&amp;search_scope=EVERYTHING&amp;vid=01CRU&amp;lang=en_US&amp;offset=0&amp;query=any,contains,991001553069702656","Catalog Record")</f>
        <v/>
      </c>
      <c r="AT442">
        <f>HYPERLINK("http://www.worldcat.org/oclc/20258984","WorldCat Record")</f>
        <v/>
      </c>
      <c r="AU442" t="inlineStr">
        <is>
          <t>1230927:eng</t>
        </is>
      </c>
      <c r="AV442" t="inlineStr">
        <is>
          <t>20258984</t>
        </is>
      </c>
      <c r="AW442" t="inlineStr">
        <is>
          <t>991001553069702656</t>
        </is>
      </c>
      <c r="AX442" t="inlineStr">
        <is>
          <t>991001553069702656</t>
        </is>
      </c>
      <c r="AY442" t="inlineStr">
        <is>
          <t>2262554420002656</t>
        </is>
      </c>
      <c r="AZ442" t="inlineStr">
        <is>
          <t>BOOK</t>
        </is>
      </c>
      <c r="BB442" t="inlineStr">
        <is>
          <t>9780807042014</t>
        </is>
      </c>
      <c r="BC442" t="inlineStr">
        <is>
          <t>32285000462456</t>
        </is>
      </c>
      <c r="BD442" t="inlineStr">
        <is>
          <t>893509683</t>
        </is>
      </c>
    </row>
    <row r="443">
      <c r="A443" t="inlineStr">
        <is>
          <t>No</t>
        </is>
      </c>
      <c r="B443" t="inlineStr">
        <is>
          <t>HN65 .S717 1993</t>
        </is>
      </c>
      <c r="C443" t="inlineStr">
        <is>
          <t>0                      HN 0065000S  717         1993</t>
        </is>
      </c>
      <c r="D443" t="inlineStr">
        <is>
          <t>State policy problems / Fred A. Meyer, Jr., and Ralph Baker, editors.</t>
        </is>
      </c>
      <c r="F443" t="inlineStr">
        <is>
          <t>No</t>
        </is>
      </c>
      <c r="G443" t="inlineStr">
        <is>
          <t>1</t>
        </is>
      </c>
      <c r="H443" t="inlineStr">
        <is>
          <t>No</t>
        </is>
      </c>
      <c r="I443" t="inlineStr">
        <is>
          <t>No</t>
        </is>
      </c>
      <c r="J443" t="inlineStr">
        <is>
          <t>0</t>
        </is>
      </c>
      <c r="L443" t="inlineStr">
        <is>
          <t>Chicago : Nelson-Hall Publishers, c1993.</t>
        </is>
      </c>
      <c r="M443" t="inlineStr">
        <is>
          <t>1993</t>
        </is>
      </c>
      <c r="O443" t="inlineStr">
        <is>
          <t>eng</t>
        </is>
      </c>
      <c r="P443" t="inlineStr">
        <is>
          <t>ilu</t>
        </is>
      </c>
      <c r="R443" t="inlineStr">
        <is>
          <t xml:space="preserve">HN </t>
        </is>
      </c>
      <c r="S443" t="n">
        <v>6</v>
      </c>
      <c r="T443" t="n">
        <v>6</v>
      </c>
      <c r="U443" t="inlineStr">
        <is>
          <t>1994-11-13</t>
        </is>
      </c>
      <c r="V443" t="inlineStr">
        <is>
          <t>1994-11-13</t>
        </is>
      </c>
      <c r="W443" t="inlineStr">
        <is>
          <t>1994-03-04</t>
        </is>
      </c>
      <c r="X443" t="inlineStr">
        <is>
          <t>1994-03-04</t>
        </is>
      </c>
      <c r="Y443" t="n">
        <v>82</v>
      </c>
      <c r="Z443" t="n">
        <v>74</v>
      </c>
      <c r="AA443" t="n">
        <v>76</v>
      </c>
      <c r="AB443" t="n">
        <v>1</v>
      </c>
      <c r="AC443" t="n">
        <v>1</v>
      </c>
      <c r="AD443" t="n">
        <v>3</v>
      </c>
      <c r="AE443" t="n">
        <v>3</v>
      </c>
      <c r="AF443" t="n">
        <v>0</v>
      </c>
      <c r="AG443" t="n">
        <v>0</v>
      </c>
      <c r="AH443" t="n">
        <v>2</v>
      </c>
      <c r="AI443" t="n">
        <v>2</v>
      </c>
      <c r="AJ443" t="n">
        <v>2</v>
      </c>
      <c r="AK443" t="n">
        <v>2</v>
      </c>
      <c r="AL443" t="n">
        <v>0</v>
      </c>
      <c r="AM443" t="n">
        <v>0</v>
      </c>
      <c r="AN443" t="n">
        <v>0</v>
      </c>
      <c r="AO443" t="n">
        <v>0</v>
      </c>
      <c r="AP443" t="inlineStr">
        <is>
          <t>No</t>
        </is>
      </c>
      <c r="AQ443" t="inlineStr">
        <is>
          <t>Yes</t>
        </is>
      </c>
      <c r="AR443">
        <f>HYPERLINK("http://catalog.hathitrust.org/Record/002872892","HathiTrust Record")</f>
        <v/>
      </c>
      <c r="AS443">
        <f>HYPERLINK("https://creighton-primo.hosted.exlibrisgroup.com/primo-explore/search?tab=default_tab&amp;search_scope=EVERYTHING&amp;vid=01CRU&amp;lang=en_US&amp;offset=0&amp;query=any,contains,991002171089702656","Catalog Record")</f>
        <v/>
      </c>
      <c r="AT443">
        <f>HYPERLINK("http://www.worldcat.org/oclc/27936676","WorldCat Record")</f>
        <v/>
      </c>
      <c r="AU443" t="inlineStr">
        <is>
          <t>356895:eng</t>
        </is>
      </c>
      <c r="AV443" t="inlineStr">
        <is>
          <t>27936676</t>
        </is>
      </c>
      <c r="AW443" t="inlineStr">
        <is>
          <t>991002171089702656</t>
        </is>
      </c>
      <c r="AX443" t="inlineStr">
        <is>
          <t>991002171089702656</t>
        </is>
      </c>
      <c r="AY443" t="inlineStr">
        <is>
          <t>2259300660002656</t>
        </is>
      </c>
      <c r="AZ443" t="inlineStr">
        <is>
          <t>BOOK</t>
        </is>
      </c>
      <c r="BB443" t="inlineStr">
        <is>
          <t>9780830413379</t>
        </is>
      </c>
      <c r="BC443" t="inlineStr">
        <is>
          <t>32285001844033</t>
        </is>
      </c>
      <c r="BD443" t="inlineStr">
        <is>
          <t>893626988</t>
        </is>
      </c>
    </row>
    <row r="444">
      <c r="A444" t="inlineStr">
        <is>
          <t>No</t>
        </is>
      </c>
      <c r="B444" t="inlineStr">
        <is>
          <t>HN65 .S94 1993</t>
        </is>
      </c>
      <c r="C444" t="inlineStr">
        <is>
          <t>0                      HN 0065000S  94          1993</t>
        </is>
      </c>
      <c r="D444" t="inlineStr">
        <is>
          <t>How to save our country : a nonpartisan vision for change / Mike Szilagyi ; [foreword by Gordon Tullock].</t>
        </is>
      </c>
      <c r="F444" t="inlineStr">
        <is>
          <t>No</t>
        </is>
      </c>
      <c r="G444" t="inlineStr">
        <is>
          <t>1</t>
        </is>
      </c>
      <c r="H444" t="inlineStr">
        <is>
          <t>No</t>
        </is>
      </c>
      <c r="I444" t="inlineStr">
        <is>
          <t>No</t>
        </is>
      </c>
      <c r="J444" t="inlineStr">
        <is>
          <t>0</t>
        </is>
      </c>
      <c r="K444" t="inlineStr">
        <is>
          <t>Szilágyi, Miklós, 1936-</t>
        </is>
      </c>
      <c r="L444" t="inlineStr">
        <is>
          <t>Tuscon, AZ : Pallas Press, c1993.</t>
        </is>
      </c>
      <c r="M444" t="inlineStr">
        <is>
          <t>1993</t>
        </is>
      </c>
      <c r="O444" t="inlineStr">
        <is>
          <t>eng</t>
        </is>
      </c>
      <c r="P444" t="inlineStr">
        <is>
          <t>azu</t>
        </is>
      </c>
      <c r="R444" t="inlineStr">
        <is>
          <t xml:space="preserve">HN </t>
        </is>
      </c>
      <c r="S444" t="n">
        <v>8</v>
      </c>
      <c r="T444" t="n">
        <v>8</v>
      </c>
      <c r="U444" t="inlineStr">
        <is>
          <t>1997-10-04</t>
        </is>
      </c>
      <c r="V444" t="inlineStr">
        <is>
          <t>1997-10-04</t>
        </is>
      </c>
      <c r="W444" t="inlineStr">
        <is>
          <t>1993-09-28</t>
        </is>
      </c>
      <c r="X444" t="inlineStr">
        <is>
          <t>1993-09-28</t>
        </is>
      </c>
      <c r="Y444" t="n">
        <v>38</v>
      </c>
      <c r="Z444" t="n">
        <v>37</v>
      </c>
      <c r="AA444" t="n">
        <v>37</v>
      </c>
      <c r="AB444" t="n">
        <v>1</v>
      </c>
      <c r="AC444" t="n">
        <v>1</v>
      </c>
      <c r="AD444" t="n">
        <v>2</v>
      </c>
      <c r="AE444" t="n">
        <v>2</v>
      </c>
      <c r="AF444" t="n">
        <v>0</v>
      </c>
      <c r="AG444" t="n">
        <v>0</v>
      </c>
      <c r="AH444" t="n">
        <v>2</v>
      </c>
      <c r="AI444" t="n">
        <v>2</v>
      </c>
      <c r="AJ444" t="n">
        <v>0</v>
      </c>
      <c r="AK444" t="n">
        <v>0</v>
      </c>
      <c r="AL444" t="n">
        <v>0</v>
      </c>
      <c r="AM444" t="n">
        <v>0</v>
      </c>
      <c r="AN444" t="n">
        <v>0</v>
      </c>
      <c r="AO444" t="n">
        <v>0</v>
      </c>
      <c r="AP444" t="inlineStr">
        <is>
          <t>No</t>
        </is>
      </c>
      <c r="AQ444" t="inlineStr">
        <is>
          <t>No</t>
        </is>
      </c>
      <c r="AS444">
        <f>HYPERLINK("https://creighton-primo.hosted.exlibrisgroup.com/primo-explore/search?tab=default_tab&amp;search_scope=EVERYTHING&amp;vid=01CRU&amp;lang=en_US&amp;offset=0&amp;query=any,contains,991002224119702656","Catalog Record")</f>
        <v/>
      </c>
      <c r="AT444">
        <f>HYPERLINK("http://www.worldcat.org/oclc/28643111","WorldCat Record")</f>
        <v/>
      </c>
      <c r="AU444" t="inlineStr">
        <is>
          <t>5611485776:eng</t>
        </is>
      </c>
      <c r="AV444" t="inlineStr">
        <is>
          <t>28643111</t>
        </is>
      </c>
      <c r="AW444" t="inlineStr">
        <is>
          <t>991002224119702656</t>
        </is>
      </c>
      <c r="AX444" t="inlineStr">
        <is>
          <t>991002224119702656</t>
        </is>
      </c>
      <c r="AY444" t="inlineStr">
        <is>
          <t>2270727450002656</t>
        </is>
      </c>
      <c r="AZ444" t="inlineStr">
        <is>
          <t>BOOK</t>
        </is>
      </c>
      <c r="BB444" t="inlineStr">
        <is>
          <t>9781882969173</t>
        </is>
      </c>
      <c r="BC444" t="inlineStr">
        <is>
          <t>32285001768844</t>
        </is>
      </c>
      <c r="BD444" t="inlineStr">
        <is>
          <t>893341176</t>
        </is>
      </c>
    </row>
    <row r="445">
      <c r="A445" t="inlineStr">
        <is>
          <t>No</t>
        </is>
      </c>
      <c r="B445" t="inlineStr">
        <is>
          <t>HN65 .T465 1988</t>
        </is>
      </c>
      <c r="C445" t="inlineStr">
        <is>
          <t>0                      HN 0065000T  465         1988</t>
        </is>
      </c>
      <c r="D445" t="inlineStr">
        <is>
          <t>The death of ethics in America / Cal Thomas.</t>
        </is>
      </c>
      <c r="F445" t="inlineStr">
        <is>
          <t>No</t>
        </is>
      </c>
      <c r="G445" t="inlineStr">
        <is>
          <t>1</t>
        </is>
      </c>
      <c r="H445" t="inlineStr">
        <is>
          <t>No</t>
        </is>
      </c>
      <c r="I445" t="inlineStr">
        <is>
          <t>No</t>
        </is>
      </c>
      <c r="J445" t="inlineStr">
        <is>
          <t>0</t>
        </is>
      </c>
      <c r="K445" t="inlineStr">
        <is>
          <t>Thomas, Cal.</t>
        </is>
      </c>
      <c r="L445" t="inlineStr">
        <is>
          <t>Waco, Tex. : Word Books Publisher, c1988.</t>
        </is>
      </c>
      <c r="M445" t="inlineStr">
        <is>
          <t>1988</t>
        </is>
      </c>
      <c r="O445" t="inlineStr">
        <is>
          <t>eng</t>
        </is>
      </c>
      <c r="P445" t="inlineStr">
        <is>
          <t>txu</t>
        </is>
      </c>
      <c r="R445" t="inlineStr">
        <is>
          <t xml:space="preserve">HN </t>
        </is>
      </c>
      <c r="S445" t="n">
        <v>8</v>
      </c>
      <c r="T445" t="n">
        <v>8</v>
      </c>
      <c r="U445" t="inlineStr">
        <is>
          <t>2004-11-14</t>
        </is>
      </c>
      <c r="V445" t="inlineStr">
        <is>
          <t>2004-11-14</t>
        </is>
      </c>
      <c r="W445" t="inlineStr">
        <is>
          <t>1990-07-02</t>
        </is>
      </c>
      <c r="X445" t="inlineStr">
        <is>
          <t>1990-07-02</t>
        </is>
      </c>
      <c r="Y445" t="n">
        <v>284</v>
      </c>
      <c r="Z445" t="n">
        <v>274</v>
      </c>
      <c r="AA445" t="n">
        <v>274</v>
      </c>
      <c r="AB445" t="n">
        <v>2</v>
      </c>
      <c r="AC445" t="n">
        <v>2</v>
      </c>
      <c r="AD445" t="n">
        <v>6</v>
      </c>
      <c r="AE445" t="n">
        <v>6</v>
      </c>
      <c r="AF445" t="n">
        <v>2</v>
      </c>
      <c r="AG445" t="n">
        <v>2</v>
      </c>
      <c r="AH445" t="n">
        <v>1</v>
      </c>
      <c r="AI445" t="n">
        <v>1</v>
      </c>
      <c r="AJ445" t="n">
        <v>1</v>
      </c>
      <c r="AK445" t="n">
        <v>1</v>
      </c>
      <c r="AL445" t="n">
        <v>1</v>
      </c>
      <c r="AM445" t="n">
        <v>1</v>
      </c>
      <c r="AN445" t="n">
        <v>1</v>
      </c>
      <c r="AO445" t="n">
        <v>1</v>
      </c>
      <c r="AP445" t="inlineStr">
        <is>
          <t>No</t>
        </is>
      </c>
      <c r="AQ445" t="inlineStr">
        <is>
          <t>No</t>
        </is>
      </c>
      <c r="AS445">
        <f>HYPERLINK("https://creighton-primo.hosted.exlibrisgroup.com/primo-explore/search?tab=default_tab&amp;search_scope=EVERYTHING&amp;vid=01CRU&amp;lang=en_US&amp;offset=0&amp;query=any,contains,991001269139702656","Catalog Record")</f>
        <v/>
      </c>
      <c r="AT445">
        <f>HYPERLINK("http://www.worldcat.org/oclc/17840501","WorldCat Record")</f>
        <v/>
      </c>
      <c r="AU445" t="inlineStr">
        <is>
          <t>1780616292:eng</t>
        </is>
      </c>
      <c r="AV445" t="inlineStr">
        <is>
          <t>17840501</t>
        </is>
      </c>
      <c r="AW445" t="inlineStr">
        <is>
          <t>991001269139702656</t>
        </is>
      </c>
      <c r="AX445" t="inlineStr">
        <is>
          <t>991001269139702656</t>
        </is>
      </c>
      <c r="AY445" t="inlineStr">
        <is>
          <t>2269519340002656</t>
        </is>
      </c>
      <c r="AZ445" t="inlineStr">
        <is>
          <t>BOOK</t>
        </is>
      </c>
      <c r="BB445" t="inlineStr">
        <is>
          <t>9780849906381</t>
        </is>
      </c>
      <c r="BC445" t="inlineStr">
        <is>
          <t>32285000219526</t>
        </is>
      </c>
      <c r="BD445" t="inlineStr">
        <is>
          <t>893432746</t>
        </is>
      </c>
    </row>
    <row r="446">
      <c r="A446" t="inlineStr">
        <is>
          <t>No</t>
        </is>
      </c>
      <c r="B446" t="inlineStr">
        <is>
          <t>HN65 .W38</t>
        </is>
      </c>
      <c r="C446" t="inlineStr">
        <is>
          <t>0                      HN 0065000W  38</t>
        </is>
      </c>
      <c r="D446" t="inlineStr">
        <is>
          <t>We, the people : American character and social change / edited by Gordon J. DiRenzo.</t>
        </is>
      </c>
      <c r="F446" t="inlineStr">
        <is>
          <t>No</t>
        </is>
      </c>
      <c r="G446" t="inlineStr">
        <is>
          <t>1</t>
        </is>
      </c>
      <c r="H446" t="inlineStr">
        <is>
          <t>No</t>
        </is>
      </c>
      <c r="I446" t="inlineStr">
        <is>
          <t>No</t>
        </is>
      </c>
      <c r="J446" t="inlineStr">
        <is>
          <t>0</t>
        </is>
      </c>
      <c r="L446" t="inlineStr">
        <is>
          <t>Westport, Conn. : Greenwood Press, 1977.</t>
        </is>
      </c>
      <c r="M446" t="inlineStr">
        <is>
          <t>1977</t>
        </is>
      </c>
      <c r="O446" t="inlineStr">
        <is>
          <t>eng</t>
        </is>
      </c>
      <c r="P446" t="inlineStr">
        <is>
          <t>ctu</t>
        </is>
      </c>
      <c r="Q446" t="inlineStr">
        <is>
          <t>Contributions in sociology, 0084-9278 ; no. 24</t>
        </is>
      </c>
      <c r="R446" t="inlineStr">
        <is>
          <t xml:space="preserve">HN </t>
        </is>
      </c>
      <c r="S446" t="n">
        <v>3</v>
      </c>
      <c r="T446" t="n">
        <v>3</v>
      </c>
      <c r="U446" t="inlineStr">
        <is>
          <t>1999-09-27</t>
        </is>
      </c>
      <c r="V446" t="inlineStr">
        <is>
          <t>1999-09-27</t>
        </is>
      </c>
      <c r="W446" t="inlineStr">
        <is>
          <t>1997-08-06</t>
        </is>
      </c>
      <c r="X446" t="inlineStr">
        <is>
          <t>1997-08-06</t>
        </is>
      </c>
      <c r="Y446" t="n">
        <v>446</v>
      </c>
      <c r="Z446" t="n">
        <v>373</v>
      </c>
      <c r="AA446" t="n">
        <v>378</v>
      </c>
      <c r="AB446" t="n">
        <v>4</v>
      </c>
      <c r="AC446" t="n">
        <v>4</v>
      </c>
      <c r="AD446" t="n">
        <v>20</v>
      </c>
      <c r="AE446" t="n">
        <v>20</v>
      </c>
      <c r="AF446" t="n">
        <v>5</v>
      </c>
      <c r="AG446" t="n">
        <v>5</v>
      </c>
      <c r="AH446" t="n">
        <v>5</v>
      </c>
      <c r="AI446" t="n">
        <v>5</v>
      </c>
      <c r="AJ446" t="n">
        <v>10</v>
      </c>
      <c r="AK446" t="n">
        <v>10</v>
      </c>
      <c r="AL446" t="n">
        <v>3</v>
      </c>
      <c r="AM446" t="n">
        <v>3</v>
      </c>
      <c r="AN446" t="n">
        <v>1</v>
      </c>
      <c r="AO446" t="n">
        <v>1</v>
      </c>
      <c r="AP446" t="inlineStr">
        <is>
          <t>No</t>
        </is>
      </c>
      <c r="AQ446" t="inlineStr">
        <is>
          <t>No</t>
        </is>
      </c>
      <c r="AS446">
        <f>HYPERLINK("https://creighton-primo.hosted.exlibrisgroup.com/primo-explore/search?tab=default_tab&amp;search_scope=EVERYTHING&amp;vid=01CRU&amp;lang=en_US&amp;offset=0&amp;query=any,contains,991004305539702656","Catalog Record")</f>
        <v/>
      </c>
      <c r="AT446">
        <f>HYPERLINK("http://www.worldcat.org/oclc/2983329","WorldCat Record")</f>
        <v/>
      </c>
      <c r="AU446" t="inlineStr">
        <is>
          <t>836679804:eng</t>
        </is>
      </c>
      <c r="AV446" t="inlineStr">
        <is>
          <t>2983329</t>
        </is>
      </c>
      <c r="AW446" t="inlineStr">
        <is>
          <t>991004305539702656</t>
        </is>
      </c>
      <c r="AX446" t="inlineStr">
        <is>
          <t>991004305539702656</t>
        </is>
      </c>
      <c r="AY446" t="inlineStr">
        <is>
          <t>2261373990002656</t>
        </is>
      </c>
      <c r="AZ446" t="inlineStr">
        <is>
          <t>BOOK</t>
        </is>
      </c>
      <c r="BB446" t="inlineStr">
        <is>
          <t>9780837194813</t>
        </is>
      </c>
      <c r="BC446" t="inlineStr">
        <is>
          <t>32285003043543</t>
        </is>
      </c>
      <c r="BD446" t="inlineStr">
        <is>
          <t>893259567</t>
        </is>
      </c>
    </row>
    <row r="447">
      <c r="A447" t="inlineStr">
        <is>
          <t>No</t>
        </is>
      </c>
      <c r="B447" t="inlineStr">
        <is>
          <t>HN65 .W43</t>
        </is>
      </c>
      <c r="C447" t="inlineStr">
        <is>
          <t>0                      HN 0065000W  43</t>
        </is>
      </c>
      <c r="D447" t="inlineStr">
        <is>
          <t>Pieces of a dream; the ethnic worker's crisis with America. Edited by Michael Wenk, S. M. Tomasi [and] Geno Baroni.</t>
        </is>
      </c>
      <c r="F447" t="inlineStr">
        <is>
          <t>No</t>
        </is>
      </c>
      <c r="G447" t="inlineStr">
        <is>
          <t>1</t>
        </is>
      </c>
      <c r="H447" t="inlineStr">
        <is>
          <t>No</t>
        </is>
      </c>
      <c r="I447" t="inlineStr">
        <is>
          <t>No</t>
        </is>
      </c>
      <c r="J447" t="inlineStr">
        <is>
          <t>0</t>
        </is>
      </c>
      <c r="K447" t="inlineStr">
        <is>
          <t>Wenk, Michael G.</t>
        </is>
      </c>
      <c r="L447" t="inlineStr">
        <is>
          <t>New York, Center for Migration Studies [c1972]</t>
        </is>
      </c>
      <c r="M447" t="inlineStr">
        <is>
          <t>1972</t>
        </is>
      </c>
      <c r="O447" t="inlineStr">
        <is>
          <t>eng</t>
        </is>
      </c>
      <c r="P447" t="inlineStr">
        <is>
          <t>nyu</t>
        </is>
      </c>
      <c r="R447" t="inlineStr">
        <is>
          <t xml:space="preserve">HN </t>
        </is>
      </c>
      <c r="S447" t="n">
        <v>2</v>
      </c>
      <c r="T447" t="n">
        <v>2</v>
      </c>
      <c r="U447" t="inlineStr">
        <is>
          <t>1999-05-03</t>
        </is>
      </c>
      <c r="V447" t="inlineStr">
        <is>
          <t>1999-05-03</t>
        </is>
      </c>
      <c r="W447" t="inlineStr">
        <is>
          <t>1997-08-06</t>
        </is>
      </c>
      <c r="X447" t="inlineStr">
        <is>
          <t>1997-08-06</t>
        </is>
      </c>
      <c r="Y447" t="n">
        <v>335</v>
      </c>
      <c r="Z447" t="n">
        <v>296</v>
      </c>
      <c r="AA447" t="n">
        <v>309</v>
      </c>
      <c r="AB447" t="n">
        <v>1</v>
      </c>
      <c r="AC447" t="n">
        <v>1</v>
      </c>
      <c r="AD447" t="n">
        <v>19</v>
      </c>
      <c r="AE447" t="n">
        <v>19</v>
      </c>
      <c r="AF447" t="n">
        <v>5</v>
      </c>
      <c r="AG447" t="n">
        <v>5</v>
      </c>
      <c r="AH447" t="n">
        <v>7</v>
      </c>
      <c r="AI447" t="n">
        <v>7</v>
      </c>
      <c r="AJ447" t="n">
        <v>11</v>
      </c>
      <c r="AK447" t="n">
        <v>11</v>
      </c>
      <c r="AL447" t="n">
        <v>0</v>
      </c>
      <c r="AM447" t="n">
        <v>0</v>
      </c>
      <c r="AN447" t="n">
        <v>0</v>
      </c>
      <c r="AO447" t="n">
        <v>0</v>
      </c>
      <c r="AP447" t="inlineStr">
        <is>
          <t>No</t>
        </is>
      </c>
      <c r="AQ447" t="inlineStr">
        <is>
          <t>Yes</t>
        </is>
      </c>
      <c r="AR447">
        <f>HYPERLINK("http://catalog.hathitrust.org/Record/001108185","HathiTrust Record")</f>
        <v/>
      </c>
      <c r="AS447">
        <f>HYPERLINK("https://creighton-primo.hosted.exlibrisgroup.com/primo-explore/search?tab=default_tab&amp;search_scope=EVERYTHING&amp;vid=01CRU&amp;lang=en_US&amp;offset=0&amp;query=any,contains,991003027539702656","Catalog Record")</f>
        <v/>
      </c>
      <c r="AT447">
        <f>HYPERLINK("http://www.worldcat.org/oclc/590998","WorldCat Record")</f>
        <v/>
      </c>
      <c r="AU447" t="inlineStr">
        <is>
          <t>1780042:eng</t>
        </is>
      </c>
      <c r="AV447" t="inlineStr">
        <is>
          <t>590998</t>
        </is>
      </c>
      <c r="AW447" t="inlineStr">
        <is>
          <t>991003027539702656</t>
        </is>
      </c>
      <c r="AX447" t="inlineStr">
        <is>
          <t>991003027539702656</t>
        </is>
      </c>
      <c r="AY447" t="inlineStr">
        <is>
          <t>2265603000002656</t>
        </is>
      </c>
      <c r="AZ447" t="inlineStr">
        <is>
          <t>BOOK</t>
        </is>
      </c>
      <c r="BC447" t="inlineStr">
        <is>
          <t>32285003043550</t>
        </is>
      </c>
      <c r="BD447" t="inlineStr">
        <is>
          <t>893511502</t>
        </is>
      </c>
    </row>
    <row r="448">
      <c r="A448" t="inlineStr">
        <is>
          <t>No</t>
        </is>
      </c>
      <c r="B448" t="inlineStr">
        <is>
          <t>HN65 .W53</t>
        </is>
      </c>
      <c r="C448" t="inlineStr">
        <is>
          <t>0                      HN 0065000W  53</t>
        </is>
      </c>
      <c r="D448" t="inlineStr">
        <is>
          <t>Social problems : the contemporary debates / edited by John B. Williamson, Jerry F. Boren, Linda Evans. --</t>
        </is>
      </c>
      <c r="F448" t="inlineStr">
        <is>
          <t>No</t>
        </is>
      </c>
      <c r="G448" t="inlineStr">
        <is>
          <t>1</t>
        </is>
      </c>
      <c r="H448" t="inlineStr">
        <is>
          <t>No</t>
        </is>
      </c>
      <c r="I448" t="inlineStr">
        <is>
          <t>No</t>
        </is>
      </c>
      <c r="J448" t="inlineStr">
        <is>
          <t>0</t>
        </is>
      </c>
      <c r="K448" t="inlineStr">
        <is>
          <t>Williamson, John B., compiler.</t>
        </is>
      </c>
      <c r="L448" t="inlineStr">
        <is>
          <t>Boston : Little, Brown, [1974]</t>
        </is>
      </c>
      <c r="M448" t="inlineStr">
        <is>
          <t>1974</t>
        </is>
      </c>
      <c r="O448" t="inlineStr">
        <is>
          <t>eng</t>
        </is>
      </c>
      <c r="P448" t="inlineStr">
        <is>
          <t>mau</t>
        </is>
      </c>
      <c r="R448" t="inlineStr">
        <is>
          <t xml:space="preserve">HN </t>
        </is>
      </c>
      <c r="S448" t="n">
        <v>2</v>
      </c>
      <c r="T448" t="n">
        <v>2</v>
      </c>
      <c r="U448" t="inlineStr">
        <is>
          <t>1998-02-17</t>
        </is>
      </c>
      <c r="V448" t="inlineStr">
        <is>
          <t>1998-02-17</t>
        </is>
      </c>
      <c r="W448" t="inlineStr">
        <is>
          <t>1990-07-02</t>
        </is>
      </c>
      <c r="X448" t="inlineStr">
        <is>
          <t>1990-07-02</t>
        </is>
      </c>
      <c r="Y448" t="n">
        <v>162</v>
      </c>
      <c r="Z448" t="n">
        <v>135</v>
      </c>
      <c r="AA448" t="n">
        <v>343</v>
      </c>
      <c r="AB448" t="n">
        <v>4</v>
      </c>
      <c r="AC448" t="n">
        <v>5</v>
      </c>
      <c r="AD448" t="n">
        <v>8</v>
      </c>
      <c r="AE448" t="n">
        <v>16</v>
      </c>
      <c r="AF448" t="n">
        <v>2</v>
      </c>
      <c r="AG448" t="n">
        <v>4</v>
      </c>
      <c r="AH448" t="n">
        <v>1</v>
      </c>
      <c r="AI448" t="n">
        <v>3</v>
      </c>
      <c r="AJ448" t="n">
        <v>5</v>
      </c>
      <c r="AK448" t="n">
        <v>10</v>
      </c>
      <c r="AL448" t="n">
        <v>2</v>
      </c>
      <c r="AM448" t="n">
        <v>3</v>
      </c>
      <c r="AN448" t="n">
        <v>0</v>
      </c>
      <c r="AO448" t="n">
        <v>0</v>
      </c>
      <c r="AP448" t="inlineStr">
        <is>
          <t>No</t>
        </is>
      </c>
      <c r="AQ448" t="inlineStr">
        <is>
          <t>Yes</t>
        </is>
      </c>
      <c r="AR448">
        <f>HYPERLINK("http://catalog.hathitrust.org/Record/000032148","HathiTrust Record")</f>
        <v/>
      </c>
      <c r="AS448">
        <f>HYPERLINK("https://creighton-primo.hosted.exlibrisgroup.com/primo-explore/search?tab=default_tab&amp;search_scope=EVERYTHING&amp;vid=01CRU&amp;lang=en_US&amp;offset=0&amp;query=any,contains,991003537469702656","Catalog Record")</f>
        <v/>
      </c>
      <c r="AT448">
        <f>HYPERLINK("http://www.worldcat.org/oclc/1102945","WorldCat Record")</f>
        <v/>
      </c>
      <c r="AU448" t="inlineStr">
        <is>
          <t>497114887:eng</t>
        </is>
      </c>
      <c r="AV448" t="inlineStr">
        <is>
          <t>1102945</t>
        </is>
      </c>
      <c r="AW448" t="inlineStr">
        <is>
          <t>991003537469702656</t>
        </is>
      </c>
      <c r="AX448" t="inlineStr">
        <is>
          <t>991003537469702656</t>
        </is>
      </c>
      <c r="AY448" t="inlineStr">
        <is>
          <t>2270251830002656</t>
        </is>
      </c>
      <c r="AZ448" t="inlineStr">
        <is>
          <t>BOOK</t>
        </is>
      </c>
      <c r="BC448" t="inlineStr">
        <is>
          <t>32285000219534</t>
        </is>
      </c>
      <c r="BD448" t="inlineStr">
        <is>
          <t>893535500</t>
        </is>
      </c>
    </row>
    <row r="449">
      <c r="A449" t="inlineStr">
        <is>
          <t>No</t>
        </is>
      </c>
      <c r="B449" t="inlineStr">
        <is>
          <t>HN65 .Z36 1990</t>
        </is>
      </c>
      <c r="C449" t="inlineStr">
        <is>
          <t>0                      HN 0065000Z  36          1990</t>
        </is>
      </c>
      <c r="D449" t="inlineStr">
        <is>
          <t>Effective social action by community groups / Alvin Zander.</t>
        </is>
      </c>
      <c r="F449" t="inlineStr">
        <is>
          <t>No</t>
        </is>
      </c>
      <c r="G449" t="inlineStr">
        <is>
          <t>1</t>
        </is>
      </c>
      <c r="H449" t="inlineStr">
        <is>
          <t>No</t>
        </is>
      </c>
      <c r="I449" t="inlineStr">
        <is>
          <t>No</t>
        </is>
      </c>
      <c r="J449" t="inlineStr">
        <is>
          <t>0</t>
        </is>
      </c>
      <c r="K449" t="inlineStr">
        <is>
          <t>Zander, Alvin, 1913-1998.</t>
        </is>
      </c>
      <c r="L449" t="inlineStr">
        <is>
          <t>San Francisco : Jossey-Bass Publishers, 1990.</t>
        </is>
      </c>
      <c r="M449" t="inlineStr">
        <is>
          <t>1990</t>
        </is>
      </c>
      <c r="N449" t="inlineStr">
        <is>
          <t>1st ed.</t>
        </is>
      </c>
      <c r="O449" t="inlineStr">
        <is>
          <t>eng</t>
        </is>
      </c>
      <c r="P449" t="inlineStr">
        <is>
          <t>cau</t>
        </is>
      </c>
      <c r="Q449" t="inlineStr">
        <is>
          <t>The Jossey-Bass management series</t>
        </is>
      </c>
      <c r="R449" t="inlineStr">
        <is>
          <t xml:space="preserve">HN </t>
        </is>
      </c>
      <c r="S449" t="n">
        <v>10</v>
      </c>
      <c r="T449" t="n">
        <v>10</v>
      </c>
      <c r="U449" t="inlineStr">
        <is>
          <t>2000-05-10</t>
        </is>
      </c>
      <c r="V449" t="inlineStr">
        <is>
          <t>2000-05-10</t>
        </is>
      </c>
      <c r="W449" t="inlineStr">
        <is>
          <t>1990-11-14</t>
        </is>
      </c>
      <c r="X449" t="inlineStr">
        <is>
          <t>1990-11-14</t>
        </is>
      </c>
      <c r="Y449" t="n">
        <v>545</v>
      </c>
      <c r="Z449" t="n">
        <v>453</v>
      </c>
      <c r="AA449" t="n">
        <v>457</v>
      </c>
      <c r="AB449" t="n">
        <v>6</v>
      </c>
      <c r="AC449" t="n">
        <v>6</v>
      </c>
      <c r="AD449" t="n">
        <v>24</v>
      </c>
      <c r="AE449" t="n">
        <v>24</v>
      </c>
      <c r="AF449" t="n">
        <v>6</v>
      </c>
      <c r="AG449" t="n">
        <v>6</v>
      </c>
      <c r="AH449" t="n">
        <v>6</v>
      </c>
      <c r="AI449" t="n">
        <v>6</v>
      </c>
      <c r="AJ449" t="n">
        <v>12</v>
      </c>
      <c r="AK449" t="n">
        <v>12</v>
      </c>
      <c r="AL449" t="n">
        <v>5</v>
      </c>
      <c r="AM449" t="n">
        <v>5</v>
      </c>
      <c r="AN449" t="n">
        <v>0</v>
      </c>
      <c r="AO449" t="n">
        <v>0</v>
      </c>
      <c r="AP449" t="inlineStr">
        <is>
          <t>No</t>
        </is>
      </c>
      <c r="AQ449" t="inlineStr">
        <is>
          <t>Yes</t>
        </is>
      </c>
      <c r="AR449">
        <f>HYPERLINK("http://catalog.hathitrust.org/Record/002058903","HathiTrust Record")</f>
        <v/>
      </c>
      <c r="AS449">
        <f>HYPERLINK("https://creighton-primo.hosted.exlibrisgroup.com/primo-explore/search?tab=default_tab&amp;search_scope=EVERYTHING&amp;vid=01CRU&amp;lang=en_US&amp;offset=0&amp;query=any,contains,991001632559702656","Catalog Record")</f>
        <v/>
      </c>
      <c r="AT449">
        <f>HYPERLINK("http://www.worldcat.org/oclc/20931910","WorldCat Record")</f>
        <v/>
      </c>
      <c r="AU449" t="inlineStr">
        <is>
          <t>22531501:eng</t>
        </is>
      </c>
      <c r="AV449" t="inlineStr">
        <is>
          <t>20931910</t>
        </is>
      </c>
      <c r="AW449" t="inlineStr">
        <is>
          <t>991001632559702656</t>
        </is>
      </c>
      <c r="AX449" t="inlineStr">
        <is>
          <t>991001632559702656</t>
        </is>
      </c>
      <c r="AY449" t="inlineStr">
        <is>
          <t>2266095850002656</t>
        </is>
      </c>
      <c r="AZ449" t="inlineStr">
        <is>
          <t>BOOK</t>
        </is>
      </c>
      <c r="BB449" t="inlineStr">
        <is>
          <t>9781555422233</t>
        </is>
      </c>
      <c r="BC449" t="inlineStr">
        <is>
          <t>32285000355122</t>
        </is>
      </c>
      <c r="BD449" t="inlineStr">
        <is>
          <t>893340556</t>
        </is>
      </c>
    </row>
    <row r="450">
      <c r="A450" t="inlineStr">
        <is>
          <t>No</t>
        </is>
      </c>
      <c r="B450" t="inlineStr">
        <is>
          <t>HN650.5.A8 F86 1984</t>
        </is>
      </c>
      <c r="C450" t="inlineStr">
        <is>
          <t>0                      HN 0650500A  8                  F  86          1984</t>
        </is>
      </c>
      <c r="D450" t="inlineStr">
        <is>
          <t>Social conflict in ancient Greece / by Alexander Fuks.</t>
        </is>
      </c>
      <c r="F450" t="inlineStr">
        <is>
          <t>No</t>
        </is>
      </c>
      <c r="G450" t="inlineStr">
        <is>
          <t>1</t>
        </is>
      </c>
      <c r="H450" t="inlineStr">
        <is>
          <t>No</t>
        </is>
      </c>
      <c r="I450" t="inlineStr">
        <is>
          <t>No</t>
        </is>
      </c>
      <c r="J450" t="inlineStr">
        <is>
          <t>0</t>
        </is>
      </c>
      <c r="K450" t="inlineStr">
        <is>
          <t>Fuks, Alexander, 1917-1978.</t>
        </is>
      </c>
      <c r="L450" t="inlineStr">
        <is>
          <t>Jerusalem : Magnes Press, Hebrew University ; Leiden : Brill, 1984.</t>
        </is>
      </c>
      <c r="M450" t="inlineStr">
        <is>
          <t>1984</t>
        </is>
      </c>
      <c r="O450" t="inlineStr">
        <is>
          <t>eng</t>
        </is>
      </c>
      <c r="P450" t="inlineStr">
        <is>
          <t xml:space="preserve">is </t>
        </is>
      </c>
      <c r="R450" t="inlineStr">
        <is>
          <t xml:space="preserve">HN </t>
        </is>
      </c>
      <c r="S450" t="n">
        <v>2</v>
      </c>
      <c r="T450" t="n">
        <v>2</v>
      </c>
      <c r="U450" t="inlineStr">
        <is>
          <t>2009-10-16</t>
        </is>
      </c>
      <c r="V450" t="inlineStr">
        <is>
          <t>2009-10-16</t>
        </is>
      </c>
      <c r="W450" t="inlineStr">
        <is>
          <t>1992-10-14</t>
        </is>
      </c>
      <c r="X450" t="inlineStr">
        <is>
          <t>1992-10-14</t>
        </is>
      </c>
      <c r="Y450" t="n">
        <v>240</v>
      </c>
      <c r="Z450" t="n">
        <v>145</v>
      </c>
      <c r="AA450" t="n">
        <v>148</v>
      </c>
      <c r="AB450" t="n">
        <v>1</v>
      </c>
      <c r="AC450" t="n">
        <v>1</v>
      </c>
      <c r="AD450" t="n">
        <v>9</v>
      </c>
      <c r="AE450" t="n">
        <v>9</v>
      </c>
      <c r="AF450" t="n">
        <v>2</v>
      </c>
      <c r="AG450" t="n">
        <v>2</v>
      </c>
      <c r="AH450" t="n">
        <v>4</v>
      </c>
      <c r="AI450" t="n">
        <v>4</v>
      </c>
      <c r="AJ450" t="n">
        <v>7</v>
      </c>
      <c r="AK450" t="n">
        <v>7</v>
      </c>
      <c r="AL450" t="n">
        <v>0</v>
      </c>
      <c r="AM450" t="n">
        <v>0</v>
      </c>
      <c r="AN450" t="n">
        <v>0</v>
      </c>
      <c r="AO450" t="n">
        <v>0</v>
      </c>
      <c r="AP450" t="inlineStr">
        <is>
          <t>No</t>
        </is>
      </c>
      <c r="AQ450" t="inlineStr">
        <is>
          <t>Yes</t>
        </is>
      </c>
      <c r="AR450">
        <f>HYPERLINK("http://catalog.hathitrust.org/Record/000249794","HathiTrust Record")</f>
        <v/>
      </c>
      <c r="AS450">
        <f>HYPERLINK("https://creighton-primo.hosted.exlibrisgroup.com/primo-explore/search?tab=default_tab&amp;search_scope=EVERYTHING&amp;vid=01CRU&amp;lang=en_US&amp;offset=0&amp;query=any,contains,991000536509702656","Catalog Record")</f>
        <v/>
      </c>
      <c r="AT450">
        <f>HYPERLINK("http://www.worldcat.org/oclc/13394765","WorldCat Record")</f>
        <v/>
      </c>
      <c r="AU450" t="inlineStr">
        <is>
          <t>637097:eng</t>
        </is>
      </c>
      <c r="AV450" t="inlineStr">
        <is>
          <t>13394765</t>
        </is>
      </c>
      <c r="AW450" t="inlineStr">
        <is>
          <t>991000536509702656</t>
        </is>
      </c>
      <c r="AX450" t="inlineStr">
        <is>
          <t>991000536509702656</t>
        </is>
      </c>
      <c r="AY450" t="inlineStr">
        <is>
          <t>2268408630002656</t>
        </is>
      </c>
      <c r="AZ450" t="inlineStr">
        <is>
          <t>BOOK</t>
        </is>
      </c>
      <c r="BB450" t="inlineStr">
        <is>
          <t>9789652234667</t>
        </is>
      </c>
      <c r="BC450" t="inlineStr">
        <is>
          <t>32285001357549</t>
        </is>
      </c>
      <c r="BD450" t="inlineStr">
        <is>
          <t>893683518</t>
        </is>
      </c>
    </row>
    <row r="451">
      <c r="A451" t="inlineStr">
        <is>
          <t>No</t>
        </is>
      </c>
      <c r="B451" t="inlineStr">
        <is>
          <t>HN650.5.A8 H36 1998</t>
        </is>
      </c>
      <c r="C451" t="inlineStr">
        <is>
          <t>0                      HN 0650500A  8                  H  36          1998</t>
        </is>
      </c>
      <c r="D451" t="inlineStr">
        <is>
          <t>Polis and city-state : an ancient concept and its modern equivalent : symposium January 9, 1998 / by Mogens Herman Hansen.</t>
        </is>
      </c>
      <c r="F451" t="inlineStr">
        <is>
          <t>No</t>
        </is>
      </c>
      <c r="G451" t="inlineStr">
        <is>
          <t>1</t>
        </is>
      </c>
      <c r="H451" t="inlineStr">
        <is>
          <t>No</t>
        </is>
      </c>
      <c r="I451" t="inlineStr">
        <is>
          <t>No</t>
        </is>
      </c>
      <c r="J451" t="inlineStr">
        <is>
          <t>0</t>
        </is>
      </c>
      <c r="K451" t="inlineStr">
        <is>
          <t>Hansen, Mogens Herman, 1940-</t>
        </is>
      </c>
      <c r="L451" t="inlineStr">
        <is>
          <t>Copenhagen : Munksgaard, 1998.</t>
        </is>
      </c>
      <c r="M451" t="inlineStr">
        <is>
          <t>1998</t>
        </is>
      </c>
      <c r="O451" t="inlineStr">
        <is>
          <t>eng</t>
        </is>
      </c>
      <c r="P451" t="inlineStr">
        <is>
          <t xml:space="preserve">dk </t>
        </is>
      </c>
      <c r="Q451" t="inlineStr">
        <is>
          <t>Acts of the Copenhagen Polis Centre ; vol. 5</t>
        </is>
      </c>
      <c r="R451" t="inlineStr">
        <is>
          <t xml:space="preserve">HN </t>
        </is>
      </c>
      <c r="S451" t="n">
        <v>3</v>
      </c>
      <c r="T451" t="n">
        <v>3</v>
      </c>
      <c r="U451" t="inlineStr">
        <is>
          <t>2009-10-16</t>
        </is>
      </c>
      <c r="V451" t="inlineStr">
        <is>
          <t>2009-10-16</t>
        </is>
      </c>
      <c r="W451" t="inlineStr">
        <is>
          <t>2004-09-30</t>
        </is>
      </c>
      <c r="X451" t="inlineStr">
        <is>
          <t>2004-09-30</t>
        </is>
      </c>
      <c r="Y451" t="n">
        <v>145</v>
      </c>
      <c r="Z451" t="n">
        <v>74</v>
      </c>
      <c r="AA451" t="n">
        <v>76</v>
      </c>
      <c r="AB451" t="n">
        <v>1</v>
      </c>
      <c r="AC451" t="n">
        <v>1</v>
      </c>
      <c r="AD451" t="n">
        <v>2</v>
      </c>
      <c r="AE451" t="n">
        <v>2</v>
      </c>
      <c r="AF451" t="n">
        <v>1</v>
      </c>
      <c r="AG451" t="n">
        <v>1</v>
      </c>
      <c r="AH451" t="n">
        <v>0</v>
      </c>
      <c r="AI451" t="n">
        <v>0</v>
      </c>
      <c r="AJ451" t="n">
        <v>2</v>
      </c>
      <c r="AK451" t="n">
        <v>2</v>
      </c>
      <c r="AL451" t="n">
        <v>0</v>
      </c>
      <c r="AM451" t="n">
        <v>0</v>
      </c>
      <c r="AN451" t="n">
        <v>0</v>
      </c>
      <c r="AO451" t="n">
        <v>0</v>
      </c>
      <c r="AP451" t="inlineStr">
        <is>
          <t>No</t>
        </is>
      </c>
      <c r="AQ451" t="inlineStr">
        <is>
          <t>Yes</t>
        </is>
      </c>
      <c r="AR451">
        <f>HYPERLINK("http://catalog.hathitrust.org/Record/003335783","HathiTrust Record")</f>
        <v/>
      </c>
      <c r="AS451">
        <f>HYPERLINK("https://creighton-primo.hosted.exlibrisgroup.com/primo-explore/search?tab=default_tab&amp;search_scope=EVERYTHING&amp;vid=01CRU&amp;lang=en_US&amp;offset=0&amp;query=any,contains,991004374879702656","Catalog Record")</f>
        <v/>
      </c>
      <c r="AT451">
        <f>HYPERLINK("http://www.worldcat.org/oclc/39779228","WorldCat Record")</f>
        <v/>
      </c>
      <c r="AU451" t="inlineStr">
        <is>
          <t>808928041:eng</t>
        </is>
      </c>
      <c r="AV451" t="inlineStr">
        <is>
          <t>39779228</t>
        </is>
      </c>
      <c r="AW451" t="inlineStr">
        <is>
          <t>991004374879702656</t>
        </is>
      </c>
      <c r="AX451" t="inlineStr">
        <is>
          <t>991004374879702656</t>
        </is>
      </c>
      <c r="AY451" t="inlineStr">
        <is>
          <t>2271745230002656</t>
        </is>
      </c>
      <c r="AZ451" t="inlineStr">
        <is>
          <t>BOOK</t>
        </is>
      </c>
      <c r="BB451" t="inlineStr">
        <is>
          <t>9788773042939</t>
        </is>
      </c>
      <c r="BC451" t="inlineStr">
        <is>
          <t>32285005000194</t>
        </is>
      </c>
      <c r="BD451" t="inlineStr">
        <is>
          <t>893882400</t>
        </is>
      </c>
    </row>
    <row r="452">
      <c r="A452" t="inlineStr">
        <is>
          <t>No</t>
        </is>
      </c>
      <c r="B452" t="inlineStr">
        <is>
          <t>HN650.5.A8 M33 1978</t>
        </is>
      </c>
      <c r="C452" t="inlineStr">
        <is>
          <t>0                      HN 0650500A  8                  M  33          1978</t>
        </is>
      </c>
      <c r="D452" t="inlineStr">
        <is>
          <t>The metamorphosis of Greece since World War II / William H. McNeill.</t>
        </is>
      </c>
      <c r="F452" t="inlineStr">
        <is>
          <t>No</t>
        </is>
      </c>
      <c r="G452" t="inlineStr">
        <is>
          <t>1</t>
        </is>
      </c>
      <c r="H452" t="inlineStr">
        <is>
          <t>No</t>
        </is>
      </c>
      <c r="I452" t="inlineStr">
        <is>
          <t>No</t>
        </is>
      </c>
      <c r="J452" t="inlineStr">
        <is>
          <t>0</t>
        </is>
      </c>
      <c r="K452" t="inlineStr">
        <is>
          <t>McNeill, William Hardy, 1917-2016.</t>
        </is>
      </c>
      <c r="L452" t="inlineStr">
        <is>
          <t>Chicago : University of Chicago Press, 1978.</t>
        </is>
      </c>
      <c r="M452" t="inlineStr">
        <is>
          <t>1978</t>
        </is>
      </c>
      <c r="O452" t="inlineStr">
        <is>
          <t>eng</t>
        </is>
      </c>
      <c r="P452" t="inlineStr">
        <is>
          <t>ilu</t>
        </is>
      </c>
      <c r="R452" t="inlineStr">
        <is>
          <t xml:space="preserve">HN </t>
        </is>
      </c>
      <c r="S452" t="n">
        <v>1</v>
      </c>
      <c r="T452" t="n">
        <v>1</v>
      </c>
      <c r="U452" t="inlineStr">
        <is>
          <t>2002-12-01</t>
        </is>
      </c>
      <c r="V452" t="inlineStr">
        <is>
          <t>2002-12-01</t>
        </is>
      </c>
      <c r="W452" t="inlineStr">
        <is>
          <t>1992-10-14</t>
        </is>
      </c>
      <c r="X452" t="inlineStr">
        <is>
          <t>1992-10-14</t>
        </is>
      </c>
      <c r="Y452" t="n">
        <v>707</v>
      </c>
      <c r="Z452" t="n">
        <v>617</v>
      </c>
      <c r="AA452" t="n">
        <v>623</v>
      </c>
      <c r="AB452" t="n">
        <v>3</v>
      </c>
      <c r="AC452" t="n">
        <v>3</v>
      </c>
      <c r="AD452" t="n">
        <v>26</v>
      </c>
      <c r="AE452" t="n">
        <v>26</v>
      </c>
      <c r="AF452" t="n">
        <v>8</v>
      </c>
      <c r="AG452" t="n">
        <v>8</v>
      </c>
      <c r="AH452" t="n">
        <v>6</v>
      </c>
      <c r="AI452" t="n">
        <v>6</v>
      </c>
      <c r="AJ452" t="n">
        <v>16</v>
      </c>
      <c r="AK452" t="n">
        <v>16</v>
      </c>
      <c r="AL452" t="n">
        <v>2</v>
      </c>
      <c r="AM452" t="n">
        <v>2</v>
      </c>
      <c r="AN452" t="n">
        <v>0</v>
      </c>
      <c r="AO452" t="n">
        <v>0</v>
      </c>
      <c r="AP452" t="inlineStr">
        <is>
          <t>No</t>
        </is>
      </c>
      <c r="AQ452" t="inlineStr">
        <is>
          <t>No</t>
        </is>
      </c>
      <c r="AS452">
        <f>HYPERLINK("https://creighton-primo.hosted.exlibrisgroup.com/primo-explore/search?tab=default_tab&amp;search_scope=EVERYTHING&amp;vid=01CRU&amp;lang=en_US&amp;offset=0&amp;query=any,contains,991004454079702656","Catalog Record")</f>
        <v/>
      </c>
      <c r="AT452">
        <f>HYPERLINK("http://www.worldcat.org/oclc/3516981","WorldCat Record")</f>
        <v/>
      </c>
      <c r="AU452" t="inlineStr">
        <is>
          <t>10710602:eng</t>
        </is>
      </c>
      <c r="AV452" t="inlineStr">
        <is>
          <t>3516981</t>
        </is>
      </c>
      <c r="AW452" t="inlineStr">
        <is>
          <t>991004454079702656</t>
        </is>
      </c>
      <c r="AX452" t="inlineStr">
        <is>
          <t>991004454079702656</t>
        </is>
      </c>
      <c r="AY452" t="inlineStr">
        <is>
          <t>2272367660002656</t>
        </is>
      </c>
      <c r="AZ452" t="inlineStr">
        <is>
          <t>BOOK</t>
        </is>
      </c>
      <c r="BB452" t="inlineStr">
        <is>
          <t>9780226561561</t>
        </is>
      </c>
      <c r="BC452" t="inlineStr">
        <is>
          <t>32285001357556</t>
        </is>
      </c>
      <c r="BD452" t="inlineStr">
        <is>
          <t>893436302</t>
        </is>
      </c>
    </row>
    <row r="453">
      <c r="A453" t="inlineStr">
        <is>
          <t>No</t>
        </is>
      </c>
      <c r="B453" t="inlineStr">
        <is>
          <t>HN650.5.A8 M43 1989</t>
        </is>
      </c>
      <c r="C453" t="inlineStr">
        <is>
          <t>0                      HN 0650500A  8                  M  43          1989</t>
        </is>
      </c>
      <c r="D453" t="inlineStr">
        <is>
          <t>Outsiders in the Greek cities in the fourth century B.C. / Paul McKechnie.</t>
        </is>
      </c>
      <c r="F453" t="inlineStr">
        <is>
          <t>No</t>
        </is>
      </c>
      <c r="G453" t="inlineStr">
        <is>
          <t>1</t>
        </is>
      </c>
      <c r="H453" t="inlineStr">
        <is>
          <t>No</t>
        </is>
      </c>
      <c r="I453" t="inlineStr">
        <is>
          <t>No</t>
        </is>
      </c>
      <c r="J453" t="inlineStr">
        <is>
          <t>0</t>
        </is>
      </c>
      <c r="K453" t="inlineStr">
        <is>
          <t>McKechnie, Paul, 1957-</t>
        </is>
      </c>
      <c r="L453" t="inlineStr">
        <is>
          <t>London ; New York : Routledge, 1989.</t>
        </is>
      </c>
      <c r="M453" t="inlineStr">
        <is>
          <t>1989</t>
        </is>
      </c>
      <c r="O453" t="inlineStr">
        <is>
          <t>eng</t>
        </is>
      </c>
      <c r="P453" t="inlineStr">
        <is>
          <t>enk</t>
        </is>
      </c>
      <c r="R453" t="inlineStr">
        <is>
          <t xml:space="preserve">HN </t>
        </is>
      </c>
      <c r="S453" t="n">
        <v>6</v>
      </c>
      <c r="T453" t="n">
        <v>6</v>
      </c>
      <c r="U453" t="inlineStr">
        <is>
          <t>2002-10-25</t>
        </is>
      </c>
      <c r="V453" t="inlineStr">
        <is>
          <t>2002-10-25</t>
        </is>
      </c>
      <c r="W453" t="inlineStr">
        <is>
          <t>1990-03-27</t>
        </is>
      </c>
      <c r="X453" t="inlineStr">
        <is>
          <t>1990-03-27</t>
        </is>
      </c>
      <c r="Y453" t="n">
        <v>316</v>
      </c>
      <c r="Z453" t="n">
        <v>213</v>
      </c>
      <c r="AA453" t="n">
        <v>214</v>
      </c>
      <c r="AB453" t="n">
        <v>2</v>
      </c>
      <c r="AC453" t="n">
        <v>2</v>
      </c>
      <c r="AD453" t="n">
        <v>13</v>
      </c>
      <c r="AE453" t="n">
        <v>13</v>
      </c>
      <c r="AF453" t="n">
        <v>3</v>
      </c>
      <c r="AG453" t="n">
        <v>3</v>
      </c>
      <c r="AH453" t="n">
        <v>4</v>
      </c>
      <c r="AI453" t="n">
        <v>4</v>
      </c>
      <c r="AJ453" t="n">
        <v>8</v>
      </c>
      <c r="AK453" t="n">
        <v>8</v>
      </c>
      <c r="AL453" t="n">
        <v>1</v>
      </c>
      <c r="AM453" t="n">
        <v>1</v>
      </c>
      <c r="AN453" t="n">
        <v>0</v>
      </c>
      <c r="AO453" t="n">
        <v>0</v>
      </c>
      <c r="AP453" t="inlineStr">
        <is>
          <t>No</t>
        </is>
      </c>
      <c r="AQ453" t="inlineStr">
        <is>
          <t>Yes</t>
        </is>
      </c>
      <c r="AR453">
        <f>HYPERLINK("http://catalog.hathitrust.org/Record/001292222","HathiTrust Record")</f>
        <v/>
      </c>
      <c r="AS453">
        <f>HYPERLINK("https://creighton-primo.hosted.exlibrisgroup.com/primo-explore/search?tab=default_tab&amp;search_scope=EVERYTHING&amp;vid=01CRU&amp;lang=en_US&amp;offset=0&amp;query=any,contains,991001334989702656","Catalog Record")</f>
        <v/>
      </c>
      <c r="AT453">
        <f>HYPERLINK("http://www.worldcat.org/oclc/18350471","WorldCat Record")</f>
        <v/>
      </c>
      <c r="AU453" t="inlineStr">
        <is>
          <t>17162585:eng</t>
        </is>
      </c>
      <c r="AV453" t="inlineStr">
        <is>
          <t>18350471</t>
        </is>
      </c>
      <c r="AW453" t="inlineStr">
        <is>
          <t>991001334989702656</t>
        </is>
      </c>
      <c r="AX453" t="inlineStr">
        <is>
          <t>991001334989702656</t>
        </is>
      </c>
      <c r="AY453" t="inlineStr">
        <is>
          <t>2262725990002656</t>
        </is>
      </c>
      <c r="AZ453" t="inlineStr">
        <is>
          <t>BOOK</t>
        </is>
      </c>
      <c r="BB453" t="inlineStr">
        <is>
          <t>9780415003407</t>
        </is>
      </c>
      <c r="BC453" t="inlineStr">
        <is>
          <t>32285000085000</t>
        </is>
      </c>
      <c r="BD453" t="inlineStr">
        <is>
          <t>893897715</t>
        </is>
      </c>
    </row>
    <row r="454">
      <c r="A454" t="inlineStr">
        <is>
          <t>No</t>
        </is>
      </c>
      <c r="B454" t="inlineStr">
        <is>
          <t>HN650.O48 K53 1993</t>
        </is>
      </c>
      <c r="C454" t="inlineStr">
        <is>
          <t>0                      HN 0650000O  48                 K  53          1993</t>
        </is>
      </c>
      <c r="D454" t="inlineStr">
        <is>
          <t>The solitude of collectivism : Romanian villagers to the revolution and beyond / David A. Kideckel.</t>
        </is>
      </c>
      <c r="F454" t="inlineStr">
        <is>
          <t>No</t>
        </is>
      </c>
      <c r="G454" t="inlineStr">
        <is>
          <t>1</t>
        </is>
      </c>
      <c r="H454" t="inlineStr">
        <is>
          <t>No</t>
        </is>
      </c>
      <c r="I454" t="inlineStr">
        <is>
          <t>No</t>
        </is>
      </c>
      <c r="J454" t="inlineStr">
        <is>
          <t>0</t>
        </is>
      </c>
      <c r="K454" t="inlineStr">
        <is>
          <t>Kideckel, David A., 1948-</t>
        </is>
      </c>
      <c r="L454" t="inlineStr">
        <is>
          <t>Ithaca : Cornell University Press, 1993.</t>
        </is>
      </c>
      <c r="M454" t="inlineStr">
        <is>
          <t>1993</t>
        </is>
      </c>
      <c r="O454" t="inlineStr">
        <is>
          <t>eng</t>
        </is>
      </c>
      <c r="P454" t="inlineStr">
        <is>
          <t>nyu</t>
        </is>
      </c>
      <c r="Q454" t="inlineStr">
        <is>
          <t>Anthropology of contemporary issues</t>
        </is>
      </c>
      <c r="R454" t="inlineStr">
        <is>
          <t xml:space="preserve">HN </t>
        </is>
      </c>
      <c r="S454" t="n">
        <v>5</v>
      </c>
      <c r="T454" t="n">
        <v>5</v>
      </c>
      <c r="U454" t="inlineStr">
        <is>
          <t>2002-02-17</t>
        </is>
      </c>
      <c r="V454" t="inlineStr">
        <is>
          <t>2002-02-17</t>
        </is>
      </c>
      <c r="W454" t="inlineStr">
        <is>
          <t>1993-08-12</t>
        </is>
      </c>
      <c r="X454" t="inlineStr">
        <is>
          <t>1993-08-12</t>
        </is>
      </c>
      <c r="Y454" t="n">
        <v>304</v>
      </c>
      <c r="Z454" t="n">
        <v>245</v>
      </c>
      <c r="AA454" t="n">
        <v>251</v>
      </c>
      <c r="AB454" t="n">
        <v>2</v>
      </c>
      <c r="AC454" t="n">
        <v>2</v>
      </c>
      <c r="AD454" t="n">
        <v>13</v>
      </c>
      <c r="AE454" t="n">
        <v>13</v>
      </c>
      <c r="AF454" t="n">
        <v>4</v>
      </c>
      <c r="AG454" t="n">
        <v>4</v>
      </c>
      <c r="AH454" t="n">
        <v>5</v>
      </c>
      <c r="AI454" t="n">
        <v>5</v>
      </c>
      <c r="AJ454" t="n">
        <v>7</v>
      </c>
      <c r="AK454" t="n">
        <v>7</v>
      </c>
      <c r="AL454" t="n">
        <v>1</v>
      </c>
      <c r="AM454" t="n">
        <v>1</v>
      </c>
      <c r="AN454" t="n">
        <v>0</v>
      </c>
      <c r="AO454" t="n">
        <v>0</v>
      </c>
      <c r="AP454" t="inlineStr">
        <is>
          <t>No</t>
        </is>
      </c>
      <c r="AQ454" t="inlineStr">
        <is>
          <t>No</t>
        </is>
      </c>
      <c r="AS454">
        <f>HYPERLINK("https://creighton-primo.hosted.exlibrisgroup.com/primo-explore/search?tab=default_tab&amp;search_scope=EVERYTHING&amp;vid=01CRU&amp;lang=en_US&amp;offset=0&amp;query=any,contains,991002080629702656","Catalog Record")</f>
        <v/>
      </c>
      <c r="AT454">
        <f>HYPERLINK("http://www.worldcat.org/oclc/26674487","WorldCat Record")</f>
        <v/>
      </c>
      <c r="AU454" t="inlineStr">
        <is>
          <t>29522605:eng</t>
        </is>
      </c>
      <c r="AV454" t="inlineStr">
        <is>
          <t>26674487</t>
        </is>
      </c>
      <c r="AW454" t="inlineStr">
        <is>
          <t>991002080629702656</t>
        </is>
      </c>
      <c r="AX454" t="inlineStr">
        <is>
          <t>991002080629702656</t>
        </is>
      </c>
      <c r="AY454" t="inlineStr">
        <is>
          <t>2267046130002656</t>
        </is>
      </c>
      <c r="AZ454" t="inlineStr">
        <is>
          <t>BOOK</t>
        </is>
      </c>
      <c r="BB454" t="inlineStr">
        <is>
          <t>9780801427466</t>
        </is>
      </c>
      <c r="BC454" t="inlineStr">
        <is>
          <t>32285001726156</t>
        </is>
      </c>
      <c r="BD454" t="inlineStr">
        <is>
          <t>893898361</t>
        </is>
      </c>
    </row>
    <row r="455">
      <c r="A455" t="inlineStr">
        <is>
          <t>No</t>
        </is>
      </c>
      <c r="B455" t="inlineStr">
        <is>
          <t>HN652.5 .B87 2000</t>
        </is>
      </c>
      <c r="C455" t="inlineStr">
        <is>
          <t>0                      HN 0652500B  87          2000</t>
        </is>
      </c>
      <c r="D455" t="inlineStr">
        <is>
          <t>The missionary and the libertine : love and war in East and West / Ian Buruma.</t>
        </is>
      </c>
      <c r="F455" t="inlineStr">
        <is>
          <t>No</t>
        </is>
      </c>
      <c r="G455" t="inlineStr">
        <is>
          <t>1</t>
        </is>
      </c>
      <c r="H455" t="inlineStr">
        <is>
          <t>No</t>
        </is>
      </c>
      <c r="I455" t="inlineStr">
        <is>
          <t>No</t>
        </is>
      </c>
      <c r="J455" t="inlineStr">
        <is>
          <t>0</t>
        </is>
      </c>
      <c r="K455" t="inlineStr">
        <is>
          <t>Buruma, Ian.</t>
        </is>
      </c>
      <c r="L455" t="inlineStr">
        <is>
          <t>New York : Random House, c2000.</t>
        </is>
      </c>
      <c r="M455" t="inlineStr">
        <is>
          <t>2000</t>
        </is>
      </c>
      <c r="N455" t="inlineStr">
        <is>
          <t>1st U.S. ed.</t>
        </is>
      </c>
      <c r="O455" t="inlineStr">
        <is>
          <t>eng</t>
        </is>
      </c>
      <c r="P455" t="inlineStr">
        <is>
          <t>nyu</t>
        </is>
      </c>
      <c r="R455" t="inlineStr">
        <is>
          <t xml:space="preserve">HN </t>
        </is>
      </c>
      <c r="S455" t="n">
        <v>2</v>
      </c>
      <c r="T455" t="n">
        <v>2</v>
      </c>
      <c r="U455" t="inlineStr">
        <is>
          <t>2000-12-19</t>
        </is>
      </c>
      <c r="V455" t="inlineStr">
        <is>
          <t>2000-12-19</t>
        </is>
      </c>
      <c r="W455" t="inlineStr">
        <is>
          <t>2000-10-26</t>
        </is>
      </c>
      <c r="X455" t="inlineStr">
        <is>
          <t>2000-10-26</t>
        </is>
      </c>
      <c r="Y455" t="n">
        <v>315</v>
      </c>
      <c r="Z455" t="n">
        <v>288</v>
      </c>
      <c r="AA455" t="n">
        <v>398</v>
      </c>
      <c r="AB455" t="n">
        <v>1</v>
      </c>
      <c r="AC455" t="n">
        <v>2</v>
      </c>
      <c r="AD455" t="n">
        <v>11</v>
      </c>
      <c r="AE455" t="n">
        <v>15</v>
      </c>
      <c r="AF455" t="n">
        <v>4</v>
      </c>
      <c r="AG455" t="n">
        <v>5</v>
      </c>
      <c r="AH455" t="n">
        <v>4</v>
      </c>
      <c r="AI455" t="n">
        <v>4</v>
      </c>
      <c r="AJ455" t="n">
        <v>6</v>
      </c>
      <c r="AK455" t="n">
        <v>8</v>
      </c>
      <c r="AL455" t="n">
        <v>0</v>
      </c>
      <c r="AM455" t="n">
        <v>1</v>
      </c>
      <c r="AN455" t="n">
        <v>0</v>
      </c>
      <c r="AO455" t="n">
        <v>0</v>
      </c>
      <c r="AP455" t="inlineStr">
        <is>
          <t>No</t>
        </is>
      </c>
      <c r="AQ455" t="inlineStr">
        <is>
          <t>Yes</t>
        </is>
      </c>
      <c r="AR455">
        <f>HYPERLINK("http://catalog.hathitrust.org/Record/007139167","HathiTrust Record")</f>
        <v/>
      </c>
      <c r="AS455">
        <f>HYPERLINK("https://creighton-primo.hosted.exlibrisgroup.com/primo-explore/search?tab=default_tab&amp;search_scope=EVERYTHING&amp;vid=01CRU&amp;lang=en_US&amp;offset=0&amp;query=any,contains,991003316049702656","Catalog Record")</f>
        <v/>
      </c>
      <c r="AT455">
        <f>HYPERLINK("http://www.worldcat.org/oclc/42717020","WorldCat Record")</f>
        <v/>
      </c>
      <c r="AU455" t="inlineStr">
        <is>
          <t>20937866:eng</t>
        </is>
      </c>
      <c r="AV455" t="inlineStr">
        <is>
          <t>42717020</t>
        </is>
      </c>
      <c r="AW455" t="inlineStr">
        <is>
          <t>991003316049702656</t>
        </is>
      </c>
      <c r="AX455" t="inlineStr">
        <is>
          <t>991003316049702656</t>
        </is>
      </c>
      <c r="AY455" t="inlineStr">
        <is>
          <t>2261127200002656</t>
        </is>
      </c>
      <c r="AZ455" t="inlineStr">
        <is>
          <t>BOOK</t>
        </is>
      </c>
      <c r="BB455" t="inlineStr">
        <is>
          <t>9780375502224</t>
        </is>
      </c>
      <c r="BC455" t="inlineStr">
        <is>
          <t>32285004261169</t>
        </is>
      </c>
      <c r="BD455" t="inlineStr">
        <is>
          <t>893518370</t>
        </is>
      </c>
    </row>
    <row r="456">
      <c r="A456" t="inlineStr">
        <is>
          <t>No</t>
        </is>
      </c>
      <c r="B456" t="inlineStr">
        <is>
          <t>HN655.2.I56 C92 2005</t>
        </is>
      </c>
      <c r="C456" t="inlineStr">
        <is>
          <t>0                      HN 0655200I  56                 C  92          2005</t>
        </is>
      </c>
      <c r="D456" t="inlineStr">
        <is>
          <t>CyberAsia : the Internet and society in Asia / edited by Zaheer Baber.</t>
        </is>
      </c>
      <c r="F456" t="inlineStr">
        <is>
          <t>No</t>
        </is>
      </c>
      <c r="G456" t="inlineStr">
        <is>
          <t>1</t>
        </is>
      </c>
      <c r="H456" t="inlineStr">
        <is>
          <t>No</t>
        </is>
      </c>
      <c r="I456" t="inlineStr">
        <is>
          <t>No</t>
        </is>
      </c>
      <c r="J456" t="inlineStr">
        <is>
          <t>0</t>
        </is>
      </c>
      <c r="L456" t="inlineStr">
        <is>
          <t>Leiden ; Boston : Brill, 2005.</t>
        </is>
      </c>
      <c r="M456" t="inlineStr">
        <is>
          <t>2005</t>
        </is>
      </c>
      <c r="O456" t="inlineStr">
        <is>
          <t>eng</t>
        </is>
      </c>
      <c r="P456" t="inlineStr">
        <is>
          <t xml:space="preserve">ne </t>
        </is>
      </c>
      <c r="Q456" t="inlineStr">
        <is>
          <t>Social sciences in Asia, 1567-2794 ; v. 5</t>
        </is>
      </c>
      <c r="R456" t="inlineStr">
        <is>
          <t xml:space="preserve">HN </t>
        </is>
      </c>
      <c r="S456" t="n">
        <v>1</v>
      </c>
      <c r="T456" t="n">
        <v>1</v>
      </c>
      <c r="U456" t="inlineStr">
        <is>
          <t>2007-01-10</t>
        </is>
      </c>
      <c r="V456" t="inlineStr">
        <is>
          <t>2007-01-10</t>
        </is>
      </c>
      <c r="W456" t="inlineStr">
        <is>
          <t>2007-01-10</t>
        </is>
      </c>
      <c r="X456" t="inlineStr">
        <is>
          <t>2007-01-10</t>
        </is>
      </c>
      <c r="Y456" t="n">
        <v>188</v>
      </c>
      <c r="Z456" t="n">
        <v>128</v>
      </c>
      <c r="AA456" t="n">
        <v>128</v>
      </c>
      <c r="AB456" t="n">
        <v>2</v>
      </c>
      <c r="AC456" t="n">
        <v>2</v>
      </c>
      <c r="AD456" t="n">
        <v>5</v>
      </c>
      <c r="AE456" t="n">
        <v>5</v>
      </c>
      <c r="AF456" t="n">
        <v>2</v>
      </c>
      <c r="AG456" t="n">
        <v>2</v>
      </c>
      <c r="AH456" t="n">
        <v>1</v>
      </c>
      <c r="AI456" t="n">
        <v>1</v>
      </c>
      <c r="AJ456" t="n">
        <v>3</v>
      </c>
      <c r="AK456" t="n">
        <v>3</v>
      </c>
      <c r="AL456" t="n">
        <v>1</v>
      </c>
      <c r="AM456" t="n">
        <v>1</v>
      </c>
      <c r="AN456" t="n">
        <v>0</v>
      </c>
      <c r="AO456" t="n">
        <v>0</v>
      </c>
      <c r="AP456" t="inlineStr">
        <is>
          <t>No</t>
        </is>
      </c>
      <c r="AQ456" t="inlineStr">
        <is>
          <t>No</t>
        </is>
      </c>
      <c r="AS456">
        <f>HYPERLINK("https://creighton-primo.hosted.exlibrisgroup.com/primo-explore/search?tab=default_tab&amp;search_scope=EVERYTHING&amp;vid=01CRU&amp;lang=en_US&amp;offset=0&amp;query=any,contains,991004992109702656","Catalog Record")</f>
        <v/>
      </c>
      <c r="AT456">
        <f>HYPERLINK("http://www.worldcat.org/oclc/60516621","WorldCat Record")</f>
        <v/>
      </c>
      <c r="AU456" t="inlineStr">
        <is>
          <t>1078203:eng</t>
        </is>
      </c>
      <c r="AV456" t="inlineStr">
        <is>
          <t>60516621</t>
        </is>
      </c>
      <c r="AW456" t="inlineStr">
        <is>
          <t>991004992109702656</t>
        </is>
      </c>
      <c r="AX456" t="inlineStr">
        <is>
          <t>991004992109702656</t>
        </is>
      </c>
      <c r="AY456" t="inlineStr">
        <is>
          <t>2267964940002656</t>
        </is>
      </c>
      <c r="AZ456" t="inlineStr">
        <is>
          <t>BOOK</t>
        </is>
      </c>
      <c r="BB456" t="inlineStr">
        <is>
          <t>9789004146259</t>
        </is>
      </c>
      <c r="BC456" t="inlineStr">
        <is>
          <t>32285005270433</t>
        </is>
      </c>
      <c r="BD456" t="inlineStr">
        <is>
          <t>893789302</t>
        </is>
      </c>
    </row>
    <row r="457">
      <c r="A457" t="inlineStr">
        <is>
          <t>No</t>
        </is>
      </c>
      <c r="B457" t="inlineStr">
        <is>
          <t>HN656 .G47 1987</t>
        </is>
      </c>
      <c r="C457" t="inlineStr">
        <is>
          <t>0                      HN 0656000G  47          1987</t>
        </is>
      </c>
      <c r="D457" t="inlineStr">
        <is>
          <t>The social origins of the modern Middle East / Haim Gerber.</t>
        </is>
      </c>
      <c r="F457" t="inlineStr">
        <is>
          <t>No</t>
        </is>
      </c>
      <c r="G457" t="inlineStr">
        <is>
          <t>1</t>
        </is>
      </c>
      <c r="H457" t="inlineStr">
        <is>
          <t>No</t>
        </is>
      </c>
      <c r="I457" t="inlineStr">
        <is>
          <t>No</t>
        </is>
      </c>
      <c r="J457" t="inlineStr">
        <is>
          <t>0</t>
        </is>
      </c>
      <c r="K457" t="inlineStr">
        <is>
          <t>Gerber, Haim.</t>
        </is>
      </c>
      <c r="L457" t="inlineStr">
        <is>
          <t>Boulder, Colo. : L. Rienner ; London, England : Mansell, 1987.</t>
        </is>
      </c>
      <c r="M457" t="inlineStr">
        <is>
          <t>1987</t>
        </is>
      </c>
      <c r="O457" t="inlineStr">
        <is>
          <t>eng</t>
        </is>
      </c>
      <c r="P457" t="inlineStr">
        <is>
          <t>cou</t>
        </is>
      </c>
      <c r="R457" t="inlineStr">
        <is>
          <t xml:space="preserve">HN </t>
        </is>
      </c>
      <c r="S457" t="n">
        <v>2</v>
      </c>
      <c r="T457" t="n">
        <v>2</v>
      </c>
      <c r="U457" t="inlineStr">
        <is>
          <t>2007-04-25</t>
        </is>
      </c>
      <c r="V457" t="inlineStr">
        <is>
          <t>2007-04-25</t>
        </is>
      </c>
      <c r="W457" t="inlineStr">
        <is>
          <t>1992-10-14</t>
        </is>
      </c>
      <c r="X457" t="inlineStr">
        <is>
          <t>1992-10-14</t>
        </is>
      </c>
      <c r="Y457" t="n">
        <v>643</v>
      </c>
      <c r="Z457" t="n">
        <v>515</v>
      </c>
      <c r="AA457" t="n">
        <v>693</v>
      </c>
      <c r="AB457" t="n">
        <v>2</v>
      </c>
      <c r="AC457" t="n">
        <v>5</v>
      </c>
      <c r="AD457" t="n">
        <v>24</v>
      </c>
      <c r="AE457" t="n">
        <v>38</v>
      </c>
      <c r="AF457" t="n">
        <v>12</v>
      </c>
      <c r="AG457" t="n">
        <v>19</v>
      </c>
      <c r="AH457" t="n">
        <v>5</v>
      </c>
      <c r="AI457" t="n">
        <v>7</v>
      </c>
      <c r="AJ457" t="n">
        <v>14</v>
      </c>
      <c r="AK457" t="n">
        <v>18</v>
      </c>
      <c r="AL457" t="n">
        <v>1</v>
      </c>
      <c r="AM457" t="n">
        <v>4</v>
      </c>
      <c r="AN457" t="n">
        <v>0</v>
      </c>
      <c r="AO457" t="n">
        <v>0</v>
      </c>
      <c r="AP457" t="inlineStr">
        <is>
          <t>No</t>
        </is>
      </c>
      <c r="AQ457" t="inlineStr">
        <is>
          <t>No</t>
        </is>
      </c>
      <c r="AS457">
        <f>HYPERLINK("https://creighton-primo.hosted.exlibrisgroup.com/primo-explore/search?tab=default_tab&amp;search_scope=EVERYTHING&amp;vid=01CRU&amp;lang=en_US&amp;offset=0&amp;query=any,contains,991000914709702656","Catalog Record")</f>
        <v/>
      </c>
      <c r="AT457">
        <f>HYPERLINK("http://www.worldcat.org/oclc/14166690","WorldCat Record")</f>
        <v/>
      </c>
      <c r="AU457" t="inlineStr">
        <is>
          <t>7201479:eng</t>
        </is>
      </c>
      <c r="AV457" t="inlineStr">
        <is>
          <t>14166690</t>
        </is>
      </c>
      <c r="AW457" t="inlineStr">
        <is>
          <t>991000914709702656</t>
        </is>
      </c>
      <c r="AX457" t="inlineStr">
        <is>
          <t>991000914709702656</t>
        </is>
      </c>
      <c r="AY457" t="inlineStr">
        <is>
          <t>2267425280002656</t>
        </is>
      </c>
      <c r="AZ457" t="inlineStr">
        <is>
          <t>BOOK</t>
        </is>
      </c>
      <c r="BB457" t="inlineStr">
        <is>
          <t>9780931477638</t>
        </is>
      </c>
      <c r="BC457" t="inlineStr">
        <is>
          <t>32285001357572</t>
        </is>
      </c>
      <c r="BD457" t="inlineStr">
        <is>
          <t>893346087</t>
        </is>
      </c>
    </row>
    <row r="458">
      <c r="A458" t="inlineStr">
        <is>
          <t>No</t>
        </is>
      </c>
      <c r="B458" t="inlineStr">
        <is>
          <t>HN660.8.A8 F5 1968</t>
        </is>
      </c>
      <c r="C458" t="inlineStr">
        <is>
          <t>0                      HN 0660800A  8                  F  5           1968</t>
        </is>
      </c>
      <c r="D458" t="inlineStr">
        <is>
          <t>Social forces in the Middle East. [Papers presented at a conference sponsored by the Committee on the Near and Middle East of the Social Science Research Council]</t>
        </is>
      </c>
      <c r="F458" t="inlineStr">
        <is>
          <t>No</t>
        </is>
      </c>
      <c r="G458" t="inlineStr">
        <is>
          <t>1</t>
        </is>
      </c>
      <c r="H458" t="inlineStr">
        <is>
          <t>No</t>
        </is>
      </c>
      <c r="I458" t="inlineStr">
        <is>
          <t>No</t>
        </is>
      </c>
      <c r="J458" t="inlineStr">
        <is>
          <t>0</t>
        </is>
      </c>
      <c r="K458" t="inlineStr">
        <is>
          <t>Fisher, Sydney Nettleton, 1906-1987, editor.</t>
        </is>
      </c>
      <c r="L458" t="inlineStr">
        <is>
          <t>New York, Greenwood Press, 1968 [c1955]</t>
        </is>
      </c>
      <c r="M458" t="inlineStr">
        <is>
          <t>1968</t>
        </is>
      </c>
      <c r="O458" t="inlineStr">
        <is>
          <t>eng</t>
        </is>
      </c>
      <c r="P458" t="inlineStr">
        <is>
          <t>nyu</t>
        </is>
      </c>
      <c r="R458" t="inlineStr">
        <is>
          <t xml:space="preserve">HN </t>
        </is>
      </c>
      <c r="S458" t="n">
        <v>2</v>
      </c>
      <c r="T458" t="n">
        <v>2</v>
      </c>
      <c r="U458" t="inlineStr">
        <is>
          <t>1997-10-30</t>
        </is>
      </c>
      <c r="V458" t="inlineStr">
        <is>
          <t>1997-10-30</t>
        </is>
      </c>
      <c r="W458" t="inlineStr">
        <is>
          <t>1997-08-07</t>
        </is>
      </c>
      <c r="X458" t="inlineStr">
        <is>
          <t>1997-08-07</t>
        </is>
      </c>
      <c r="Y458" t="n">
        <v>246</v>
      </c>
      <c r="Z458" t="n">
        <v>217</v>
      </c>
      <c r="AA458" t="n">
        <v>583</v>
      </c>
      <c r="AB458" t="n">
        <v>2</v>
      </c>
      <c r="AC458" t="n">
        <v>2</v>
      </c>
      <c r="AD458" t="n">
        <v>10</v>
      </c>
      <c r="AE458" t="n">
        <v>25</v>
      </c>
      <c r="AF458" t="n">
        <v>3</v>
      </c>
      <c r="AG458" t="n">
        <v>9</v>
      </c>
      <c r="AH458" t="n">
        <v>3</v>
      </c>
      <c r="AI458" t="n">
        <v>8</v>
      </c>
      <c r="AJ458" t="n">
        <v>6</v>
      </c>
      <c r="AK458" t="n">
        <v>16</v>
      </c>
      <c r="AL458" t="n">
        <v>1</v>
      </c>
      <c r="AM458" t="n">
        <v>1</v>
      </c>
      <c r="AN458" t="n">
        <v>0</v>
      </c>
      <c r="AO458" t="n">
        <v>0</v>
      </c>
      <c r="AP458" t="inlineStr">
        <is>
          <t>No</t>
        </is>
      </c>
      <c r="AQ458" t="inlineStr">
        <is>
          <t>Yes</t>
        </is>
      </c>
      <c r="AR458">
        <f>HYPERLINK("http://catalog.hathitrust.org/Record/000976009","HathiTrust Record")</f>
        <v/>
      </c>
      <c r="AS458">
        <f>HYPERLINK("https://creighton-primo.hosted.exlibrisgroup.com/primo-explore/search?tab=default_tab&amp;search_scope=EVERYTHING&amp;vid=01CRU&amp;lang=en_US&amp;offset=0&amp;query=any,contains,991002032149702656","Catalog Record")</f>
        <v/>
      </c>
      <c r="AT458">
        <f>HYPERLINK("http://www.worldcat.org/oclc/260229","WorldCat Record")</f>
        <v/>
      </c>
      <c r="AU458" t="inlineStr">
        <is>
          <t>3268100:eng</t>
        </is>
      </c>
      <c r="AV458" t="inlineStr">
        <is>
          <t>260229</t>
        </is>
      </c>
      <c r="AW458" t="inlineStr">
        <is>
          <t>991002032149702656</t>
        </is>
      </c>
      <c r="AX458" t="inlineStr">
        <is>
          <t>991002032149702656</t>
        </is>
      </c>
      <c r="AY458" t="inlineStr">
        <is>
          <t>2266142030002656</t>
        </is>
      </c>
      <c r="AZ458" t="inlineStr">
        <is>
          <t>BOOK</t>
        </is>
      </c>
      <c r="BC458" t="inlineStr">
        <is>
          <t>32285003086468</t>
        </is>
      </c>
      <c r="BD458" t="inlineStr">
        <is>
          <t>893226376</t>
        </is>
      </c>
    </row>
    <row r="459">
      <c r="A459" t="inlineStr">
        <is>
          <t>No</t>
        </is>
      </c>
      <c r="B459" t="inlineStr">
        <is>
          <t>HN660.A8 G65 2002</t>
        </is>
      </c>
      <c r="C459" t="inlineStr">
        <is>
          <t>0                      HN 0660000A  8                  G  65          2002</t>
        </is>
      </c>
      <c r="D459" t="inlineStr">
        <is>
          <t>Israel's changing society : population, ethnicity, and development / Calvin Goldscheider.</t>
        </is>
      </c>
      <c r="F459" t="inlineStr">
        <is>
          <t>No</t>
        </is>
      </c>
      <c r="G459" t="inlineStr">
        <is>
          <t>1</t>
        </is>
      </c>
      <c r="H459" t="inlineStr">
        <is>
          <t>No</t>
        </is>
      </c>
      <c r="I459" t="inlineStr">
        <is>
          <t>No</t>
        </is>
      </c>
      <c r="J459" t="inlineStr">
        <is>
          <t>0</t>
        </is>
      </c>
      <c r="K459" t="inlineStr">
        <is>
          <t>Goldscheider, Calvin.</t>
        </is>
      </c>
      <c r="L459" t="inlineStr">
        <is>
          <t>Cambridge, Mass. : Westview Press, c2002.</t>
        </is>
      </c>
      <c r="M459" t="inlineStr">
        <is>
          <t>2002</t>
        </is>
      </c>
      <c r="N459" t="inlineStr">
        <is>
          <t>2nd ed.</t>
        </is>
      </c>
      <c r="O459" t="inlineStr">
        <is>
          <t>eng</t>
        </is>
      </c>
      <c r="P459" t="inlineStr">
        <is>
          <t>mau</t>
        </is>
      </c>
      <c r="R459" t="inlineStr">
        <is>
          <t xml:space="preserve">HN </t>
        </is>
      </c>
      <c r="S459" t="n">
        <v>3</v>
      </c>
      <c r="T459" t="n">
        <v>3</v>
      </c>
      <c r="U459" t="inlineStr">
        <is>
          <t>2003-03-19</t>
        </is>
      </c>
      <c r="V459" t="inlineStr">
        <is>
          <t>2003-03-19</t>
        </is>
      </c>
      <c r="W459" t="inlineStr">
        <is>
          <t>2002-10-22</t>
        </is>
      </c>
      <c r="X459" t="inlineStr">
        <is>
          <t>2002-10-22</t>
        </is>
      </c>
      <c r="Y459" t="n">
        <v>79</v>
      </c>
      <c r="Z459" t="n">
        <v>73</v>
      </c>
      <c r="AA459" t="n">
        <v>610</v>
      </c>
      <c r="AB459" t="n">
        <v>2</v>
      </c>
      <c r="AC459" t="n">
        <v>4</v>
      </c>
      <c r="AD459" t="n">
        <v>3</v>
      </c>
      <c r="AE459" t="n">
        <v>20</v>
      </c>
      <c r="AF459" t="n">
        <v>0</v>
      </c>
      <c r="AG459" t="n">
        <v>7</v>
      </c>
      <c r="AH459" t="n">
        <v>2</v>
      </c>
      <c r="AI459" t="n">
        <v>6</v>
      </c>
      <c r="AJ459" t="n">
        <v>1</v>
      </c>
      <c r="AK459" t="n">
        <v>11</v>
      </c>
      <c r="AL459" t="n">
        <v>1</v>
      </c>
      <c r="AM459" t="n">
        <v>3</v>
      </c>
      <c r="AN459" t="n">
        <v>0</v>
      </c>
      <c r="AO459" t="n">
        <v>0</v>
      </c>
      <c r="AP459" t="inlineStr">
        <is>
          <t>No</t>
        </is>
      </c>
      <c r="AQ459" t="inlineStr">
        <is>
          <t>No</t>
        </is>
      </c>
      <c r="AS459">
        <f>HYPERLINK("https://creighton-primo.hosted.exlibrisgroup.com/primo-explore/search?tab=default_tab&amp;search_scope=EVERYTHING&amp;vid=01CRU&amp;lang=en_US&amp;offset=0&amp;query=any,contains,991003924119702656","Catalog Record")</f>
        <v/>
      </c>
      <c r="AT459">
        <f>HYPERLINK("http://www.worldcat.org/oclc/50255248","WorldCat Record")</f>
        <v/>
      </c>
      <c r="AU459" t="inlineStr">
        <is>
          <t>1012816:eng</t>
        </is>
      </c>
      <c r="AV459" t="inlineStr">
        <is>
          <t>50255248</t>
        </is>
      </c>
      <c r="AW459" t="inlineStr">
        <is>
          <t>991003924119702656</t>
        </is>
      </c>
      <c r="AX459" t="inlineStr">
        <is>
          <t>991003924119702656</t>
        </is>
      </c>
      <c r="AY459" t="inlineStr">
        <is>
          <t>2265481550002656</t>
        </is>
      </c>
      <c r="AZ459" t="inlineStr">
        <is>
          <t>BOOK</t>
        </is>
      </c>
      <c r="BB459" t="inlineStr">
        <is>
          <t>9780813339702</t>
        </is>
      </c>
      <c r="BC459" t="inlineStr">
        <is>
          <t>32285004657077</t>
        </is>
      </c>
      <c r="BD459" t="inlineStr">
        <is>
          <t>893429443</t>
        </is>
      </c>
    </row>
    <row r="460">
      <c r="A460" t="inlineStr">
        <is>
          <t>No</t>
        </is>
      </c>
      <c r="B460" t="inlineStr">
        <is>
          <t>HN663.A8 Y36 2000</t>
        </is>
      </c>
      <c r="C460" t="inlineStr">
        <is>
          <t>0                      HN 0663000A  8                  Y  36          2000</t>
        </is>
      </c>
      <c r="D460" t="inlineStr">
        <is>
          <t>Changed identities : the challenge of the new generation in Saudi Arabia / Mai Yamani.</t>
        </is>
      </c>
      <c r="F460" t="inlineStr">
        <is>
          <t>No</t>
        </is>
      </c>
      <c r="G460" t="inlineStr">
        <is>
          <t>1</t>
        </is>
      </c>
      <c r="H460" t="inlineStr">
        <is>
          <t>No</t>
        </is>
      </c>
      <c r="I460" t="inlineStr">
        <is>
          <t>No</t>
        </is>
      </c>
      <c r="J460" t="inlineStr">
        <is>
          <t>0</t>
        </is>
      </c>
      <c r="K460" t="inlineStr">
        <is>
          <t>Yamani, Mai.</t>
        </is>
      </c>
      <c r="L460" t="inlineStr">
        <is>
          <t>London : Royal Institute of International Affairs ; Washington, DC : distributed by the Brookings Institution, c2000.</t>
        </is>
      </c>
      <c r="M460" t="inlineStr">
        <is>
          <t>2000</t>
        </is>
      </c>
      <c r="O460" t="inlineStr">
        <is>
          <t>eng</t>
        </is>
      </c>
      <c r="P460" t="inlineStr">
        <is>
          <t>enk</t>
        </is>
      </c>
      <c r="R460" t="inlineStr">
        <is>
          <t xml:space="preserve">HN </t>
        </is>
      </c>
      <c r="S460" t="n">
        <v>4</v>
      </c>
      <c r="T460" t="n">
        <v>4</v>
      </c>
      <c r="U460" t="inlineStr">
        <is>
          <t>2004-02-20</t>
        </is>
      </c>
      <c r="V460" t="inlineStr">
        <is>
          <t>2004-02-20</t>
        </is>
      </c>
      <c r="W460" t="inlineStr">
        <is>
          <t>2002-04-16</t>
        </is>
      </c>
      <c r="X460" t="inlineStr">
        <is>
          <t>2002-04-16</t>
        </is>
      </c>
      <c r="Y460" t="n">
        <v>242</v>
      </c>
      <c r="Z460" t="n">
        <v>182</v>
      </c>
      <c r="AA460" t="n">
        <v>185</v>
      </c>
      <c r="AB460" t="n">
        <v>1</v>
      </c>
      <c r="AC460" t="n">
        <v>1</v>
      </c>
      <c r="AD460" t="n">
        <v>11</v>
      </c>
      <c r="AE460" t="n">
        <v>11</v>
      </c>
      <c r="AF460" t="n">
        <v>7</v>
      </c>
      <c r="AG460" t="n">
        <v>7</v>
      </c>
      <c r="AH460" t="n">
        <v>1</v>
      </c>
      <c r="AI460" t="n">
        <v>1</v>
      </c>
      <c r="AJ460" t="n">
        <v>5</v>
      </c>
      <c r="AK460" t="n">
        <v>5</v>
      </c>
      <c r="AL460" t="n">
        <v>0</v>
      </c>
      <c r="AM460" t="n">
        <v>0</v>
      </c>
      <c r="AN460" t="n">
        <v>1</v>
      </c>
      <c r="AO460" t="n">
        <v>1</v>
      </c>
      <c r="AP460" t="inlineStr">
        <is>
          <t>No</t>
        </is>
      </c>
      <c r="AQ460" t="inlineStr">
        <is>
          <t>Yes</t>
        </is>
      </c>
      <c r="AR460">
        <f>HYPERLINK("http://catalog.hathitrust.org/Record/003505778","HathiTrust Record")</f>
        <v/>
      </c>
      <c r="AS460">
        <f>HYPERLINK("https://creighton-primo.hosted.exlibrisgroup.com/primo-explore/search?tab=default_tab&amp;search_scope=EVERYTHING&amp;vid=01CRU&amp;lang=en_US&amp;offset=0&amp;query=any,contains,991003716559702656","Catalog Record")</f>
        <v/>
      </c>
      <c r="AT460">
        <f>HYPERLINK("http://www.worldcat.org/oclc/44564010","WorldCat Record")</f>
        <v/>
      </c>
      <c r="AU460" t="inlineStr">
        <is>
          <t>291234347:eng</t>
        </is>
      </c>
      <c r="AV460" t="inlineStr">
        <is>
          <t>44564010</t>
        </is>
      </c>
      <c r="AW460" t="inlineStr">
        <is>
          <t>991003716559702656</t>
        </is>
      </c>
      <c r="AX460" t="inlineStr">
        <is>
          <t>991003716559702656</t>
        </is>
      </c>
      <c r="AY460" t="inlineStr">
        <is>
          <t>2268830190002656</t>
        </is>
      </c>
      <c r="AZ460" t="inlineStr">
        <is>
          <t>BOOK</t>
        </is>
      </c>
      <c r="BB460" t="inlineStr">
        <is>
          <t>9781862030886</t>
        </is>
      </c>
      <c r="BC460" t="inlineStr">
        <is>
          <t>32285004480355</t>
        </is>
      </c>
      <c r="BD460" t="inlineStr">
        <is>
          <t>893617665</t>
        </is>
      </c>
    </row>
    <row r="461">
      <c r="A461" t="inlineStr">
        <is>
          <t>No</t>
        </is>
      </c>
      <c r="B461" t="inlineStr">
        <is>
          <t>HN670.2.A8 R44 1994</t>
        </is>
      </c>
      <c r="C461" t="inlineStr">
        <is>
          <t>0                      HN 0670200A  8                  R  44          1994</t>
        </is>
      </c>
      <c r="D461" t="inlineStr">
        <is>
          <t>Persian postcards : Iran after Khomeini / Fred A. Reed.</t>
        </is>
      </c>
      <c r="F461" t="inlineStr">
        <is>
          <t>No</t>
        </is>
      </c>
      <c r="G461" t="inlineStr">
        <is>
          <t>1</t>
        </is>
      </c>
      <c r="H461" t="inlineStr">
        <is>
          <t>No</t>
        </is>
      </c>
      <c r="I461" t="inlineStr">
        <is>
          <t>No</t>
        </is>
      </c>
      <c r="J461" t="inlineStr">
        <is>
          <t>0</t>
        </is>
      </c>
      <c r="K461" t="inlineStr">
        <is>
          <t>Reed, Fred A., 1939-</t>
        </is>
      </c>
      <c r="L461" t="inlineStr">
        <is>
          <t>Vancouver : Talonbooks, 1994.</t>
        </is>
      </c>
      <c r="M461" t="inlineStr">
        <is>
          <t>1994</t>
        </is>
      </c>
      <c r="O461" t="inlineStr">
        <is>
          <t>eng</t>
        </is>
      </c>
      <c r="P461" t="inlineStr">
        <is>
          <t>bcc</t>
        </is>
      </c>
      <c r="R461" t="inlineStr">
        <is>
          <t xml:space="preserve">HN </t>
        </is>
      </c>
      <c r="S461" t="n">
        <v>3</v>
      </c>
      <c r="T461" t="n">
        <v>3</v>
      </c>
      <c r="U461" t="inlineStr">
        <is>
          <t>1996-08-28</t>
        </is>
      </c>
      <c r="V461" t="inlineStr">
        <is>
          <t>1996-08-28</t>
        </is>
      </c>
      <c r="W461" t="inlineStr">
        <is>
          <t>1995-05-24</t>
        </is>
      </c>
      <c r="X461" t="inlineStr">
        <is>
          <t>1995-05-24</t>
        </is>
      </c>
      <c r="Y461" t="n">
        <v>123</v>
      </c>
      <c r="Z461" t="n">
        <v>94</v>
      </c>
      <c r="AA461" t="n">
        <v>98</v>
      </c>
      <c r="AB461" t="n">
        <v>2</v>
      </c>
      <c r="AC461" t="n">
        <v>2</v>
      </c>
      <c r="AD461" t="n">
        <v>6</v>
      </c>
      <c r="AE461" t="n">
        <v>6</v>
      </c>
      <c r="AF461" t="n">
        <v>1</v>
      </c>
      <c r="AG461" t="n">
        <v>1</v>
      </c>
      <c r="AH461" t="n">
        <v>3</v>
      </c>
      <c r="AI461" t="n">
        <v>3</v>
      </c>
      <c r="AJ461" t="n">
        <v>4</v>
      </c>
      <c r="AK461" t="n">
        <v>4</v>
      </c>
      <c r="AL461" t="n">
        <v>1</v>
      </c>
      <c r="AM461" t="n">
        <v>1</v>
      </c>
      <c r="AN461" t="n">
        <v>0</v>
      </c>
      <c r="AO461" t="n">
        <v>0</v>
      </c>
      <c r="AP461" t="inlineStr">
        <is>
          <t>No</t>
        </is>
      </c>
      <c r="AQ461" t="inlineStr">
        <is>
          <t>No</t>
        </is>
      </c>
      <c r="AS461">
        <f>HYPERLINK("https://creighton-primo.hosted.exlibrisgroup.com/primo-explore/search?tab=default_tab&amp;search_scope=EVERYTHING&amp;vid=01CRU&amp;lang=en_US&amp;offset=0&amp;query=any,contains,991002381789702656","Catalog Record")</f>
        <v/>
      </c>
      <c r="AT461">
        <f>HYPERLINK("http://www.worldcat.org/oclc/30970661","WorldCat Record")</f>
        <v/>
      </c>
      <c r="AU461" t="inlineStr">
        <is>
          <t>32875562:eng</t>
        </is>
      </c>
      <c r="AV461" t="inlineStr">
        <is>
          <t>30970661</t>
        </is>
      </c>
      <c r="AW461" t="inlineStr">
        <is>
          <t>991002381789702656</t>
        </is>
      </c>
      <c r="AX461" t="inlineStr">
        <is>
          <t>991002381789702656</t>
        </is>
      </c>
      <c r="AY461" t="inlineStr">
        <is>
          <t>2263412580002656</t>
        </is>
      </c>
      <c r="AZ461" t="inlineStr">
        <is>
          <t>BOOK</t>
        </is>
      </c>
      <c r="BB461" t="inlineStr">
        <is>
          <t>9780889223516</t>
        </is>
      </c>
      <c r="BC461" t="inlineStr">
        <is>
          <t>32285002046828</t>
        </is>
      </c>
      <c r="BD461" t="inlineStr">
        <is>
          <t>893779746</t>
        </is>
      </c>
    </row>
    <row r="462">
      <c r="A462" t="inlineStr">
        <is>
          <t>No</t>
        </is>
      </c>
      <c r="B462" t="inlineStr">
        <is>
          <t>HN670.22.A8 T73 2004</t>
        </is>
      </c>
      <c r="C462" t="inlineStr">
        <is>
          <t>0                      HN 0670220A  8                  T  73          2004</t>
        </is>
      </c>
      <c r="D462" t="inlineStr">
        <is>
          <t>The transformation of Central Asia : states and societies from Soviet rule to independence / edited by Pauline Jones Luong.</t>
        </is>
      </c>
      <c r="F462" t="inlineStr">
        <is>
          <t>No</t>
        </is>
      </c>
      <c r="G462" t="inlineStr">
        <is>
          <t>1</t>
        </is>
      </c>
      <c r="H462" t="inlineStr">
        <is>
          <t>No</t>
        </is>
      </c>
      <c r="I462" t="inlineStr">
        <is>
          <t>No</t>
        </is>
      </c>
      <c r="J462" t="inlineStr">
        <is>
          <t>0</t>
        </is>
      </c>
      <c r="L462" t="inlineStr">
        <is>
          <t>Ithaca : Cornell University Press, 2004.</t>
        </is>
      </c>
      <c r="M462" t="inlineStr">
        <is>
          <t>2004</t>
        </is>
      </c>
      <c r="O462" t="inlineStr">
        <is>
          <t>eng</t>
        </is>
      </c>
      <c r="P462" t="inlineStr">
        <is>
          <t>nyu</t>
        </is>
      </c>
      <c r="R462" t="inlineStr">
        <is>
          <t xml:space="preserve">HN </t>
        </is>
      </c>
      <c r="S462" t="n">
        <v>1</v>
      </c>
      <c r="T462" t="n">
        <v>1</v>
      </c>
      <c r="U462" t="inlineStr">
        <is>
          <t>2005-11-07</t>
        </is>
      </c>
      <c r="V462" t="inlineStr">
        <is>
          <t>2005-11-07</t>
        </is>
      </c>
      <c r="W462" t="inlineStr">
        <is>
          <t>2005-11-07</t>
        </is>
      </c>
      <c r="X462" t="inlineStr">
        <is>
          <t>2005-11-07</t>
        </is>
      </c>
      <c r="Y462" t="n">
        <v>471</v>
      </c>
      <c r="Z462" t="n">
        <v>375</v>
      </c>
      <c r="AA462" t="n">
        <v>567</v>
      </c>
      <c r="AB462" t="n">
        <v>4</v>
      </c>
      <c r="AC462" t="n">
        <v>4</v>
      </c>
      <c r="AD462" t="n">
        <v>25</v>
      </c>
      <c r="AE462" t="n">
        <v>32</v>
      </c>
      <c r="AF462" t="n">
        <v>13</v>
      </c>
      <c r="AG462" t="n">
        <v>17</v>
      </c>
      <c r="AH462" t="n">
        <v>6</v>
      </c>
      <c r="AI462" t="n">
        <v>9</v>
      </c>
      <c r="AJ462" t="n">
        <v>12</v>
      </c>
      <c r="AK462" t="n">
        <v>14</v>
      </c>
      <c r="AL462" t="n">
        <v>3</v>
      </c>
      <c r="AM462" t="n">
        <v>3</v>
      </c>
      <c r="AN462" t="n">
        <v>0</v>
      </c>
      <c r="AO462" t="n">
        <v>0</v>
      </c>
      <c r="AP462" t="inlineStr">
        <is>
          <t>No</t>
        </is>
      </c>
      <c r="AQ462" t="inlineStr">
        <is>
          <t>No</t>
        </is>
      </c>
      <c r="AS462">
        <f>HYPERLINK("https://creighton-primo.hosted.exlibrisgroup.com/primo-explore/search?tab=default_tab&amp;search_scope=EVERYTHING&amp;vid=01CRU&amp;lang=en_US&amp;offset=0&amp;query=any,contains,991004683439702656","Catalog Record")</f>
        <v/>
      </c>
      <c r="AT462">
        <f>HYPERLINK("http://www.worldcat.org/oclc/52348842","WorldCat Record")</f>
        <v/>
      </c>
      <c r="AU462" t="inlineStr">
        <is>
          <t>839306235:eng</t>
        </is>
      </c>
      <c r="AV462" t="inlineStr">
        <is>
          <t>52348842</t>
        </is>
      </c>
      <c r="AW462" t="inlineStr">
        <is>
          <t>991004683439702656</t>
        </is>
      </c>
      <c r="AX462" t="inlineStr">
        <is>
          <t>991004683439702656</t>
        </is>
      </c>
      <c r="AY462" t="inlineStr">
        <is>
          <t>2261977790002656</t>
        </is>
      </c>
      <c r="AZ462" t="inlineStr">
        <is>
          <t>BOOK</t>
        </is>
      </c>
      <c r="BB462" t="inlineStr">
        <is>
          <t>9780801441516</t>
        </is>
      </c>
      <c r="BC462" t="inlineStr">
        <is>
          <t>32285005144711</t>
        </is>
      </c>
      <c r="BD462" t="inlineStr">
        <is>
          <t>893722551</t>
        </is>
      </c>
    </row>
    <row r="463">
      <c r="A463" t="inlineStr">
        <is>
          <t>No</t>
        </is>
      </c>
      <c r="B463" t="inlineStr">
        <is>
          <t>HN673 .C48 1969</t>
        </is>
      </c>
      <c r="C463" t="inlineStr">
        <is>
          <t>0                      HN 0673000C  48          1969</t>
        </is>
      </c>
      <c r="D463" t="inlineStr">
        <is>
          <t>The changing society of China, by Chʻu Chai and Winberg Chai.</t>
        </is>
      </c>
      <c r="F463" t="inlineStr">
        <is>
          <t>No</t>
        </is>
      </c>
      <c r="G463" t="inlineStr">
        <is>
          <t>1</t>
        </is>
      </c>
      <c r="H463" t="inlineStr">
        <is>
          <t>No</t>
        </is>
      </c>
      <c r="I463" t="inlineStr">
        <is>
          <t>No</t>
        </is>
      </c>
      <c r="J463" t="inlineStr">
        <is>
          <t>0</t>
        </is>
      </c>
      <c r="K463" t="inlineStr">
        <is>
          <t>Chai, Chʻu, 1906-1986.</t>
        </is>
      </c>
      <c r="L463" t="inlineStr">
        <is>
          <t>New York, New American Library [1969]</t>
        </is>
      </c>
      <c r="M463" t="inlineStr">
        <is>
          <t>1969</t>
        </is>
      </c>
      <c r="N463" t="inlineStr">
        <is>
          <t>New rev. ed.</t>
        </is>
      </c>
      <c r="O463" t="inlineStr">
        <is>
          <t>eng</t>
        </is>
      </c>
      <c r="P463" t="inlineStr">
        <is>
          <t>nyu</t>
        </is>
      </c>
      <c r="Q463" t="inlineStr">
        <is>
          <t>A Mentor book, M4938</t>
        </is>
      </c>
      <c r="R463" t="inlineStr">
        <is>
          <t xml:space="preserve">HN </t>
        </is>
      </c>
      <c r="S463" t="n">
        <v>1</v>
      </c>
      <c r="T463" t="n">
        <v>1</v>
      </c>
      <c r="U463" t="inlineStr">
        <is>
          <t>2000-09-30</t>
        </is>
      </c>
      <c r="V463" t="inlineStr">
        <is>
          <t>2000-09-30</t>
        </is>
      </c>
      <c r="W463" t="inlineStr">
        <is>
          <t>1997-08-07</t>
        </is>
      </c>
      <c r="X463" t="inlineStr">
        <is>
          <t>1997-08-07</t>
        </is>
      </c>
      <c r="Y463" t="n">
        <v>227</v>
      </c>
      <c r="Z463" t="n">
        <v>180</v>
      </c>
      <c r="AA463" t="n">
        <v>444</v>
      </c>
      <c r="AB463" t="n">
        <v>1</v>
      </c>
      <c r="AC463" t="n">
        <v>3</v>
      </c>
      <c r="AD463" t="n">
        <v>10</v>
      </c>
      <c r="AE463" t="n">
        <v>22</v>
      </c>
      <c r="AF463" t="n">
        <v>3</v>
      </c>
      <c r="AG463" t="n">
        <v>6</v>
      </c>
      <c r="AH463" t="n">
        <v>3</v>
      </c>
      <c r="AI463" t="n">
        <v>5</v>
      </c>
      <c r="AJ463" t="n">
        <v>7</v>
      </c>
      <c r="AK463" t="n">
        <v>16</v>
      </c>
      <c r="AL463" t="n">
        <v>0</v>
      </c>
      <c r="AM463" t="n">
        <v>2</v>
      </c>
      <c r="AN463" t="n">
        <v>0</v>
      </c>
      <c r="AO463" t="n">
        <v>1</v>
      </c>
      <c r="AP463" t="inlineStr">
        <is>
          <t>No</t>
        </is>
      </c>
      <c r="AQ463" t="inlineStr">
        <is>
          <t>Yes</t>
        </is>
      </c>
      <c r="AR463">
        <f>HYPERLINK("http://catalog.hathitrust.org/Record/000976037","HathiTrust Record")</f>
        <v/>
      </c>
      <c r="AS463">
        <f>HYPERLINK("https://creighton-primo.hosted.exlibrisgroup.com/primo-explore/search?tab=default_tab&amp;search_scope=EVERYTHING&amp;vid=01CRU&amp;lang=en_US&amp;offset=0&amp;query=any,contains,991000082509702656","Catalog Record")</f>
        <v/>
      </c>
      <c r="AT463">
        <f>HYPERLINK("http://www.worldcat.org/oclc/32309","WorldCat Record")</f>
        <v/>
      </c>
      <c r="AU463" t="inlineStr">
        <is>
          <t>149504883:eng</t>
        </is>
      </c>
      <c r="AV463" t="inlineStr">
        <is>
          <t>32309</t>
        </is>
      </c>
      <c r="AW463" t="inlineStr">
        <is>
          <t>991000082509702656</t>
        </is>
      </c>
      <c r="AX463" t="inlineStr">
        <is>
          <t>991000082509702656</t>
        </is>
      </c>
      <c r="AY463" t="inlineStr">
        <is>
          <t>2258340620002656</t>
        </is>
      </c>
      <c r="AZ463" t="inlineStr">
        <is>
          <t>BOOK</t>
        </is>
      </c>
      <c r="BC463" t="inlineStr">
        <is>
          <t>32285003086559</t>
        </is>
      </c>
      <c r="BD463" t="inlineStr">
        <is>
          <t>893890389</t>
        </is>
      </c>
    </row>
    <row r="464">
      <c r="A464" t="inlineStr">
        <is>
          <t>No</t>
        </is>
      </c>
      <c r="B464" t="inlineStr">
        <is>
          <t>HN673 .H75</t>
        </is>
      </c>
      <c r="C464" t="inlineStr">
        <is>
          <t>0                      HN 0673000H  75</t>
        </is>
      </c>
      <c r="D464" t="inlineStr">
        <is>
          <t>Ancient China in transition; an analysis of social mobility, 722-222 B.C.</t>
        </is>
      </c>
      <c r="F464" t="inlineStr">
        <is>
          <t>No</t>
        </is>
      </c>
      <c r="G464" t="inlineStr">
        <is>
          <t>1</t>
        </is>
      </c>
      <c r="H464" t="inlineStr">
        <is>
          <t>No</t>
        </is>
      </c>
      <c r="I464" t="inlineStr">
        <is>
          <t>No</t>
        </is>
      </c>
      <c r="J464" t="inlineStr">
        <is>
          <t>0</t>
        </is>
      </c>
      <c r="K464" t="inlineStr">
        <is>
          <t>Xu, Zhuoyun, 1930-</t>
        </is>
      </c>
      <c r="L464" t="inlineStr">
        <is>
          <t>Stanford, Calif., Stanford University Press, 1965.</t>
        </is>
      </c>
      <c r="M464" t="inlineStr">
        <is>
          <t>1965</t>
        </is>
      </c>
      <c r="O464" t="inlineStr">
        <is>
          <t>eng</t>
        </is>
      </c>
      <c r="P464" t="inlineStr">
        <is>
          <t>cau</t>
        </is>
      </c>
      <c r="Q464" t="inlineStr">
        <is>
          <t>Stanford studies in the civilizations of eastern Asia</t>
        </is>
      </c>
      <c r="R464" t="inlineStr">
        <is>
          <t xml:space="preserve">HN </t>
        </is>
      </c>
      <c r="S464" t="n">
        <v>2</v>
      </c>
      <c r="T464" t="n">
        <v>2</v>
      </c>
      <c r="U464" t="inlineStr">
        <is>
          <t>1994-12-01</t>
        </is>
      </c>
      <c r="V464" t="inlineStr">
        <is>
          <t>1994-12-01</t>
        </is>
      </c>
      <c r="W464" t="inlineStr">
        <is>
          <t>1992-02-19</t>
        </is>
      </c>
      <c r="X464" t="inlineStr">
        <is>
          <t>1992-02-19</t>
        </is>
      </c>
      <c r="Y464" t="n">
        <v>762</v>
      </c>
      <c r="Z464" t="n">
        <v>669</v>
      </c>
      <c r="AA464" t="n">
        <v>714</v>
      </c>
      <c r="AB464" t="n">
        <v>8</v>
      </c>
      <c r="AC464" t="n">
        <v>8</v>
      </c>
      <c r="AD464" t="n">
        <v>34</v>
      </c>
      <c r="AE464" t="n">
        <v>36</v>
      </c>
      <c r="AF464" t="n">
        <v>10</v>
      </c>
      <c r="AG464" t="n">
        <v>12</v>
      </c>
      <c r="AH464" t="n">
        <v>8</v>
      </c>
      <c r="AI464" t="n">
        <v>8</v>
      </c>
      <c r="AJ464" t="n">
        <v>16</v>
      </c>
      <c r="AK464" t="n">
        <v>18</v>
      </c>
      <c r="AL464" t="n">
        <v>7</v>
      </c>
      <c r="AM464" t="n">
        <v>7</v>
      </c>
      <c r="AN464" t="n">
        <v>1</v>
      </c>
      <c r="AO464" t="n">
        <v>1</v>
      </c>
      <c r="AP464" t="inlineStr">
        <is>
          <t>No</t>
        </is>
      </c>
      <c r="AQ464" t="inlineStr">
        <is>
          <t>Yes</t>
        </is>
      </c>
      <c r="AR464">
        <f>HYPERLINK("http://catalog.hathitrust.org/Record/000003839","HathiTrust Record")</f>
        <v/>
      </c>
      <c r="AS464">
        <f>HYPERLINK("https://creighton-primo.hosted.exlibrisgroup.com/primo-explore/search?tab=default_tab&amp;search_scope=EVERYTHING&amp;vid=01CRU&amp;lang=en_US&amp;offset=0&amp;query=any,contains,991002085529702656","Catalog Record")</f>
        <v/>
      </c>
      <c r="AT464">
        <f>HYPERLINK("http://www.worldcat.org/oclc/265103","WorldCat Record")</f>
        <v/>
      </c>
      <c r="AU464" t="inlineStr">
        <is>
          <t>1104145746:eng</t>
        </is>
      </c>
      <c r="AV464" t="inlineStr">
        <is>
          <t>265103</t>
        </is>
      </c>
      <c r="AW464" t="inlineStr">
        <is>
          <t>991002085529702656</t>
        </is>
      </c>
      <c r="AX464" t="inlineStr">
        <is>
          <t>991002085529702656</t>
        </is>
      </c>
      <c r="AY464" t="inlineStr">
        <is>
          <t>2267675230002656</t>
        </is>
      </c>
      <c r="AZ464" t="inlineStr">
        <is>
          <t>BOOK</t>
        </is>
      </c>
      <c r="BC464" t="inlineStr">
        <is>
          <t>32285000947944</t>
        </is>
      </c>
      <c r="BD464" t="inlineStr">
        <is>
          <t>893866780</t>
        </is>
      </c>
    </row>
    <row r="465">
      <c r="A465" t="inlineStr">
        <is>
          <t>No</t>
        </is>
      </c>
      <c r="B465" t="inlineStr">
        <is>
          <t>HN683 .M3</t>
        </is>
      </c>
      <c r="C465" t="inlineStr">
        <is>
          <t>0                      HN 0683000M  3</t>
        </is>
      </c>
      <c r="D465" t="inlineStr">
        <is>
          <t>Village India : studies in the little community / papers by Alan R. Beals [and others.</t>
        </is>
      </c>
      <c r="F465" t="inlineStr">
        <is>
          <t>No</t>
        </is>
      </c>
      <c r="G465" t="inlineStr">
        <is>
          <t>1</t>
        </is>
      </c>
      <c r="H465" t="inlineStr">
        <is>
          <t>No</t>
        </is>
      </c>
      <c r="I465" t="inlineStr">
        <is>
          <t>No</t>
        </is>
      </c>
      <c r="J465" t="inlineStr">
        <is>
          <t>0</t>
        </is>
      </c>
      <c r="K465" t="inlineStr">
        <is>
          <t>Marriott, McKim, editor.</t>
        </is>
      </c>
      <c r="L465" t="inlineStr">
        <is>
          <t>Chicago] : University of Chicago Press, [1955]</t>
        </is>
      </c>
      <c r="M465" t="inlineStr">
        <is>
          <t>1955</t>
        </is>
      </c>
      <c r="O465" t="inlineStr">
        <is>
          <t>eng</t>
        </is>
      </c>
      <c r="P465" t="inlineStr">
        <is>
          <t>ilu</t>
        </is>
      </c>
      <c r="Q465" t="inlineStr">
        <is>
          <t>Comparative studies of cultures and civilizations</t>
        </is>
      </c>
      <c r="R465" t="inlineStr">
        <is>
          <t xml:space="preserve">HN </t>
        </is>
      </c>
      <c r="S465" t="n">
        <v>8</v>
      </c>
      <c r="T465" t="n">
        <v>8</v>
      </c>
      <c r="U465" t="inlineStr">
        <is>
          <t>1998-10-27</t>
        </is>
      </c>
      <c r="V465" t="inlineStr">
        <is>
          <t>1998-10-27</t>
        </is>
      </c>
      <c r="W465" t="inlineStr">
        <is>
          <t>1994-05-06</t>
        </is>
      </c>
      <c r="X465" t="inlineStr">
        <is>
          <t>1994-05-06</t>
        </is>
      </c>
      <c r="Y465" t="n">
        <v>792</v>
      </c>
      <c r="Z465" t="n">
        <v>670</v>
      </c>
      <c r="AA465" t="n">
        <v>816</v>
      </c>
      <c r="AB465" t="n">
        <v>6</v>
      </c>
      <c r="AC465" t="n">
        <v>6</v>
      </c>
      <c r="AD465" t="n">
        <v>29</v>
      </c>
      <c r="AE465" t="n">
        <v>30</v>
      </c>
      <c r="AF465" t="n">
        <v>8</v>
      </c>
      <c r="AG465" t="n">
        <v>9</v>
      </c>
      <c r="AH465" t="n">
        <v>8</v>
      </c>
      <c r="AI465" t="n">
        <v>8</v>
      </c>
      <c r="AJ465" t="n">
        <v>13</v>
      </c>
      <c r="AK465" t="n">
        <v>14</v>
      </c>
      <c r="AL465" t="n">
        <v>5</v>
      </c>
      <c r="AM465" t="n">
        <v>5</v>
      </c>
      <c r="AN465" t="n">
        <v>0</v>
      </c>
      <c r="AO465" t="n">
        <v>0</v>
      </c>
      <c r="AP465" t="inlineStr">
        <is>
          <t>No</t>
        </is>
      </c>
      <c r="AQ465" t="inlineStr">
        <is>
          <t>No</t>
        </is>
      </c>
      <c r="AR465">
        <f>HYPERLINK("http://catalog.hathitrust.org/Record/001109766","HathiTrust Record")</f>
        <v/>
      </c>
      <c r="AS465">
        <f>HYPERLINK("https://creighton-primo.hosted.exlibrisgroup.com/primo-explore/search?tab=default_tab&amp;search_scope=EVERYTHING&amp;vid=01CRU&amp;lang=en_US&amp;offset=0&amp;query=any,contains,991003425549702656","Catalog Record")</f>
        <v/>
      </c>
      <c r="AT465">
        <f>HYPERLINK("http://www.worldcat.org/oclc/964510","WorldCat Record")</f>
        <v/>
      </c>
      <c r="AU465" t="inlineStr">
        <is>
          <t>889785552:eng</t>
        </is>
      </c>
      <c r="AV465" t="inlineStr">
        <is>
          <t>964510</t>
        </is>
      </c>
      <c r="AW465" t="inlineStr">
        <is>
          <t>991003425549702656</t>
        </is>
      </c>
      <c r="AX465" t="inlineStr">
        <is>
          <t>991003425549702656</t>
        </is>
      </c>
      <c r="AY465" t="inlineStr">
        <is>
          <t>2261774860002656</t>
        </is>
      </c>
      <c r="AZ465" t="inlineStr">
        <is>
          <t>BOOK</t>
        </is>
      </c>
      <c r="BC465" t="inlineStr">
        <is>
          <t>32285001907533</t>
        </is>
      </c>
      <c r="BD465" t="inlineStr">
        <is>
          <t>893499276</t>
        </is>
      </c>
    </row>
    <row r="466">
      <c r="A466" t="inlineStr">
        <is>
          <t>No</t>
        </is>
      </c>
      <c r="B466" t="inlineStr">
        <is>
          <t>HN683.5 .D34</t>
        </is>
      </c>
      <c r="C466" t="inlineStr">
        <is>
          <t>0                      HN 0683500D  34</t>
        </is>
      </c>
      <c r="D466" t="inlineStr">
        <is>
          <t>Social work and social change; a case study in Indian village development.</t>
        </is>
      </c>
      <c r="F466" t="inlineStr">
        <is>
          <t>No</t>
        </is>
      </c>
      <c r="G466" t="inlineStr">
        <is>
          <t>1</t>
        </is>
      </c>
      <c r="H466" t="inlineStr">
        <is>
          <t>No</t>
        </is>
      </c>
      <c r="I466" t="inlineStr">
        <is>
          <t>No</t>
        </is>
      </c>
      <c r="J466" t="inlineStr">
        <is>
          <t>0</t>
        </is>
      </c>
      <c r="K466" t="inlineStr">
        <is>
          <t>Dasgupta, Sugata, 1926-1984.</t>
        </is>
      </c>
      <c r="L466" t="inlineStr">
        <is>
          <t>Boston, P. Sargent [1968]</t>
        </is>
      </c>
      <c r="M466" t="inlineStr">
        <is>
          <t>1968</t>
        </is>
      </c>
      <c r="O466" t="inlineStr">
        <is>
          <t>eng</t>
        </is>
      </c>
      <c r="P466" t="inlineStr">
        <is>
          <t>mau</t>
        </is>
      </c>
      <c r="Q466" t="inlineStr">
        <is>
          <t>Extending horizons books</t>
        </is>
      </c>
      <c r="R466" t="inlineStr">
        <is>
          <t xml:space="preserve">HN </t>
        </is>
      </c>
      <c r="S466" t="n">
        <v>2</v>
      </c>
      <c r="T466" t="n">
        <v>2</v>
      </c>
      <c r="U466" t="inlineStr">
        <is>
          <t>1998-11-19</t>
        </is>
      </c>
      <c r="V466" t="inlineStr">
        <is>
          <t>1998-11-19</t>
        </is>
      </c>
      <c r="W466" t="inlineStr">
        <is>
          <t>1997-08-07</t>
        </is>
      </c>
      <c r="X466" t="inlineStr">
        <is>
          <t>1997-08-07</t>
        </is>
      </c>
      <c r="Y466" t="n">
        <v>455</v>
      </c>
      <c r="Z466" t="n">
        <v>397</v>
      </c>
      <c r="AA466" t="n">
        <v>401</v>
      </c>
      <c r="AB466" t="n">
        <v>4</v>
      </c>
      <c r="AC466" t="n">
        <v>4</v>
      </c>
      <c r="AD466" t="n">
        <v>27</v>
      </c>
      <c r="AE466" t="n">
        <v>27</v>
      </c>
      <c r="AF466" t="n">
        <v>11</v>
      </c>
      <c r="AG466" t="n">
        <v>11</v>
      </c>
      <c r="AH466" t="n">
        <v>6</v>
      </c>
      <c r="AI466" t="n">
        <v>6</v>
      </c>
      <c r="AJ466" t="n">
        <v>15</v>
      </c>
      <c r="AK466" t="n">
        <v>15</v>
      </c>
      <c r="AL466" t="n">
        <v>3</v>
      </c>
      <c r="AM466" t="n">
        <v>3</v>
      </c>
      <c r="AN466" t="n">
        <v>0</v>
      </c>
      <c r="AO466" t="n">
        <v>0</v>
      </c>
      <c r="AP466" t="inlineStr">
        <is>
          <t>No</t>
        </is>
      </c>
      <c r="AQ466" t="inlineStr">
        <is>
          <t>Yes</t>
        </is>
      </c>
      <c r="AR466">
        <f>HYPERLINK("http://catalog.hathitrust.org/Record/000976143","HathiTrust Record")</f>
        <v/>
      </c>
      <c r="AS466">
        <f>HYPERLINK("https://creighton-primo.hosted.exlibrisgroup.com/primo-explore/search?tab=default_tab&amp;search_scope=EVERYTHING&amp;vid=01CRU&amp;lang=en_US&amp;offset=0&amp;query=any,contains,991001992899702656","Catalog Record")</f>
        <v/>
      </c>
      <c r="AT466">
        <f>HYPERLINK("http://www.worldcat.org/oclc/255769","WorldCat Record")</f>
        <v/>
      </c>
      <c r="AU466" t="inlineStr">
        <is>
          <t>1353130:eng</t>
        </is>
      </c>
      <c r="AV466" t="inlineStr">
        <is>
          <t>255769</t>
        </is>
      </c>
      <c r="AW466" t="inlineStr">
        <is>
          <t>991001992899702656</t>
        </is>
      </c>
      <c r="AX466" t="inlineStr">
        <is>
          <t>991001992899702656</t>
        </is>
      </c>
      <c r="AY466" t="inlineStr">
        <is>
          <t>2270766730002656</t>
        </is>
      </c>
      <c r="AZ466" t="inlineStr">
        <is>
          <t>BOOK</t>
        </is>
      </c>
      <c r="BC466" t="inlineStr">
        <is>
          <t>32285003086708</t>
        </is>
      </c>
      <c r="BD466" t="inlineStr">
        <is>
          <t>893510159</t>
        </is>
      </c>
    </row>
    <row r="467">
      <c r="A467" t="inlineStr">
        <is>
          <t>No</t>
        </is>
      </c>
      <c r="B467" t="inlineStr">
        <is>
          <t>HN683.5 .K236 2007</t>
        </is>
      </c>
      <c r="C467" t="inlineStr">
        <is>
          <t>0                      HN 0683500K  236         2007</t>
        </is>
      </c>
      <c r="D467" t="inlineStr">
        <is>
          <t>Planet India : how the fastest-growing democracy is transforming America and the world / Mira Kamdar.</t>
        </is>
      </c>
      <c r="F467" t="inlineStr">
        <is>
          <t>No</t>
        </is>
      </c>
      <c r="G467" t="inlineStr">
        <is>
          <t>1</t>
        </is>
      </c>
      <c r="H467" t="inlineStr">
        <is>
          <t>No</t>
        </is>
      </c>
      <c r="I467" t="inlineStr">
        <is>
          <t>No</t>
        </is>
      </c>
      <c r="J467" t="inlineStr">
        <is>
          <t>0</t>
        </is>
      </c>
      <c r="K467" t="inlineStr">
        <is>
          <t>Kamdar, Mira.</t>
        </is>
      </c>
      <c r="L467" t="inlineStr">
        <is>
          <t>New York : Scribner, c2007.</t>
        </is>
      </c>
      <c r="M467" t="inlineStr">
        <is>
          <t>2007</t>
        </is>
      </c>
      <c r="O467" t="inlineStr">
        <is>
          <t>eng</t>
        </is>
      </c>
      <c r="P467" t="inlineStr">
        <is>
          <t>nyu</t>
        </is>
      </c>
      <c r="R467" t="inlineStr">
        <is>
          <t xml:space="preserve">HN </t>
        </is>
      </c>
      <c r="S467" t="n">
        <v>2</v>
      </c>
      <c r="T467" t="n">
        <v>2</v>
      </c>
      <c r="U467" t="inlineStr">
        <is>
          <t>2010-10-07</t>
        </is>
      </c>
      <c r="V467" t="inlineStr">
        <is>
          <t>2010-10-07</t>
        </is>
      </c>
      <c r="W467" t="inlineStr">
        <is>
          <t>2007-06-05</t>
        </is>
      </c>
      <c r="X467" t="inlineStr">
        <is>
          <t>2007-06-05</t>
        </is>
      </c>
      <c r="Y467" t="n">
        <v>975</v>
      </c>
      <c r="Z467" t="n">
        <v>839</v>
      </c>
      <c r="AA467" t="n">
        <v>854</v>
      </c>
      <c r="AB467" t="n">
        <v>3</v>
      </c>
      <c r="AC467" t="n">
        <v>3</v>
      </c>
      <c r="AD467" t="n">
        <v>18</v>
      </c>
      <c r="AE467" t="n">
        <v>18</v>
      </c>
      <c r="AF467" t="n">
        <v>8</v>
      </c>
      <c r="AG467" t="n">
        <v>8</v>
      </c>
      <c r="AH467" t="n">
        <v>5</v>
      </c>
      <c r="AI467" t="n">
        <v>5</v>
      </c>
      <c r="AJ467" t="n">
        <v>9</v>
      </c>
      <c r="AK467" t="n">
        <v>9</v>
      </c>
      <c r="AL467" t="n">
        <v>1</v>
      </c>
      <c r="AM467" t="n">
        <v>1</v>
      </c>
      <c r="AN467" t="n">
        <v>0</v>
      </c>
      <c r="AO467" t="n">
        <v>0</v>
      </c>
      <c r="AP467" t="inlineStr">
        <is>
          <t>No</t>
        </is>
      </c>
      <c r="AQ467" t="inlineStr">
        <is>
          <t>No</t>
        </is>
      </c>
      <c r="AS467">
        <f>HYPERLINK("https://creighton-primo.hosted.exlibrisgroup.com/primo-explore/search?tab=default_tab&amp;search_scope=EVERYTHING&amp;vid=01CRU&amp;lang=en_US&amp;offset=0&amp;query=any,contains,991005082979702656","Catalog Record")</f>
        <v/>
      </c>
      <c r="AT467">
        <f>HYPERLINK("http://www.worldcat.org/oclc/76925133","WorldCat Record")</f>
        <v/>
      </c>
      <c r="AU467" t="inlineStr">
        <is>
          <t>908739042:eng</t>
        </is>
      </c>
      <c r="AV467" t="inlineStr">
        <is>
          <t>76925133</t>
        </is>
      </c>
      <c r="AW467" t="inlineStr">
        <is>
          <t>991005082979702656</t>
        </is>
      </c>
      <c r="AX467" t="inlineStr">
        <is>
          <t>991005082979702656</t>
        </is>
      </c>
      <c r="AY467" t="inlineStr">
        <is>
          <t>2267578070002656</t>
        </is>
      </c>
      <c r="AZ467" t="inlineStr">
        <is>
          <t>BOOK</t>
        </is>
      </c>
      <c r="BB467" t="inlineStr">
        <is>
          <t>9780743296854</t>
        </is>
      </c>
      <c r="BC467" t="inlineStr">
        <is>
          <t>32285005315071</t>
        </is>
      </c>
      <c r="BD467" t="inlineStr">
        <is>
          <t>893424517</t>
        </is>
      </c>
    </row>
    <row r="468">
      <c r="A468" t="inlineStr">
        <is>
          <t>No</t>
        </is>
      </c>
      <c r="B468" t="inlineStr">
        <is>
          <t>HN683.5 .K78</t>
        </is>
      </c>
      <c r="C468" t="inlineStr">
        <is>
          <t>0                      HN 0683500K  78</t>
        </is>
      </c>
      <c r="D468" t="inlineStr">
        <is>
          <t>Social change in India [by] B. Kuppuswamy.</t>
        </is>
      </c>
      <c r="F468" t="inlineStr">
        <is>
          <t>No</t>
        </is>
      </c>
      <c r="G468" t="inlineStr">
        <is>
          <t>1</t>
        </is>
      </c>
      <c r="H468" t="inlineStr">
        <is>
          <t>No</t>
        </is>
      </c>
      <c r="I468" t="inlineStr">
        <is>
          <t>No</t>
        </is>
      </c>
      <c r="J468" t="inlineStr">
        <is>
          <t>0</t>
        </is>
      </c>
      <c r="K468" t="inlineStr">
        <is>
          <t>Kuppuswamy, Bangalore.</t>
        </is>
      </c>
      <c r="L468" t="inlineStr">
        <is>
          <t>Delhi, Vikas Publications [1972]</t>
        </is>
      </c>
      <c r="M468" t="inlineStr">
        <is>
          <t>1972</t>
        </is>
      </c>
      <c r="O468" t="inlineStr">
        <is>
          <t>eng</t>
        </is>
      </c>
      <c r="P468" t="inlineStr">
        <is>
          <t xml:space="preserve">ii </t>
        </is>
      </c>
      <c r="R468" t="inlineStr">
        <is>
          <t xml:space="preserve">HN </t>
        </is>
      </c>
      <c r="S468" t="n">
        <v>2</v>
      </c>
      <c r="T468" t="n">
        <v>2</v>
      </c>
      <c r="U468" t="inlineStr">
        <is>
          <t>2000-03-20</t>
        </is>
      </c>
      <c r="V468" t="inlineStr">
        <is>
          <t>2000-03-20</t>
        </is>
      </c>
      <c r="W468" t="inlineStr">
        <is>
          <t>1997-08-07</t>
        </is>
      </c>
      <c r="X468" t="inlineStr">
        <is>
          <t>1997-08-07</t>
        </is>
      </c>
      <c r="Y468" t="n">
        <v>355</v>
      </c>
      <c r="Z468" t="n">
        <v>281</v>
      </c>
      <c r="AA468" t="n">
        <v>333</v>
      </c>
      <c r="AB468" t="n">
        <v>3</v>
      </c>
      <c r="AC468" t="n">
        <v>4</v>
      </c>
      <c r="AD468" t="n">
        <v>14</v>
      </c>
      <c r="AE468" t="n">
        <v>15</v>
      </c>
      <c r="AF468" t="n">
        <v>3</v>
      </c>
      <c r="AG468" t="n">
        <v>3</v>
      </c>
      <c r="AH468" t="n">
        <v>5</v>
      </c>
      <c r="AI468" t="n">
        <v>5</v>
      </c>
      <c r="AJ468" t="n">
        <v>7</v>
      </c>
      <c r="AK468" t="n">
        <v>7</v>
      </c>
      <c r="AL468" t="n">
        <v>2</v>
      </c>
      <c r="AM468" t="n">
        <v>3</v>
      </c>
      <c r="AN468" t="n">
        <v>0</v>
      </c>
      <c r="AO468" t="n">
        <v>0</v>
      </c>
      <c r="AP468" t="inlineStr">
        <is>
          <t>No</t>
        </is>
      </c>
      <c r="AQ468" t="inlineStr">
        <is>
          <t>Yes</t>
        </is>
      </c>
      <c r="AR468">
        <f>HYPERLINK("http://catalog.hathitrust.org/Record/000976164","HathiTrust Record")</f>
        <v/>
      </c>
      <c r="AS468">
        <f>HYPERLINK("https://creighton-primo.hosted.exlibrisgroup.com/primo-explore/search?tab=default_tab&amp;search_scope=EVERYTHING&amp;vid=01CRU&amp;lang=en_US&amp;offset=0&amp;query=any,contains,991002924099702656","Catalog Record")</f>
        <v/>
      </c>
      <c r="AT468">
        <f>HYPERLINK("http://www.worldcat.org/oclc/528202","WorldCat Record")</f>
        <v/>
      </c>
      <c r="AU468" t="inlineStr">
        <is>
          <t>1537319:eng</t>
        </is>
      </c>
      <c r="AV468" t="inlineStr">
        <is>
          <t>528202</t>
        </is>
      </c>
      <c r="AW468" t="inlineStr">
        <is>
          <t>991002924099702656</t>
        </is>
      </c>
      <c r="AX468" t="inlineStr">
        <is>
          <t>991002924099702656</t>
        </is>
      </c>
      <c r="AY468" t="inlineStr">
        <is>
          <t>2263296730002656</t>
        </is>
      </c>
      <c r="AZ468" t="inlineStr">
        <is>
          <t>BOOK</t>
        </is>
      </c>
      <c r="BC468" t="inlineStr">
        <is>
          <t>32285003086716</t>
        </is>
      </c>
      <c r="BD468" t="inlineStr">
        <is>
          <t>893348103</t>
        </is>
      </c>
    </row>
    <row r="469">
      <c r="A469" t="inlineStr">
        <is>
          <t>No</t>
        </is>
      </c>
      <c r="B469" t="inlineStr">
        <is>
          <t>HN683.5 .M344</t>
        </is>
      </c>
      <c r="C469" t="inlineStr">
        <is>
          <t>0                      HN 0683500M  344</t>
        </is>
      </c>
      <c r="D469" t="inlineStr">
        <is>
          <t>Society in India [by] David G. Mandelbaum.</t>
        </is>
      </c>
      <c r="F469" t="inlineStr">
        <is>
          <t>Yes</t>
        </is>
      </c>
      <c r="G469" t="inlineStr">
        <is>
          <t>1</t>
        </is>
      </c>
      <c r="H469" t="inlineStr">
        <is>
          <t>Yes</t>
        </is>
      </c>
      <c r="I469" t="inlineStr">
        <is>
          <t>No</t>
        </is>
      </c>
      <c r="J469" t="inlineStr">
        <is>
          <t>0</t>
        </is>
      </c>
      <c r="K469" t="inlineStr">
        <is>
          <t>Mandelbaum, David Goodman, 1911-1987.</t>
        </is>
      </c>
      <c r="L469" t="inlineStr">
        <is>
          <t>Berkeley, University of California Press, 1970.</t>
        </is>
      </c>
      <c r="M469" t="inlineStr">
        <is>
          <t>1970</t>
        </is>
      </c>
      <c r="O469" t="inlineStr">
        <is>
          <t>eng</t>
        </is>
      </c>
      <c r="P469" t="inlineStr">
        <is>
          <t>cau</t>
        </is>
      </c>
      <c r="R469" t="inlineStr">
        <is>
          <t xml:space="preserve">HN </t>
        </is>
      </c>
      <c r="S469" t="n">
        <v>10</v>
      </c>
      <c r="T469" t="n">
        <v>12</v>
      </c>
      <c r="U469" t="inlineStr">
        <is>
          <t>2000-03-20</t>
        </is>
      </c>
      <c r="V469" t="inlineStr">
        <is>
          <t>2000-03-20</t>
        </is>
      </c>
      <c r="W469" t="inlineStr">
        <is>
          <t>1997-08-07</t>
        </is>
      </c>
      <c r="X469" t="inlineStr">
        <is>
          <t>1997-08-07</t>
        </is>
      </c>
      <c r="Y469" t="n">
        <v>923</v>
      </c>
      <c r="Z469" t="n">
        <v>763</v>
      </c>
      <c r="AA469" t="n">
        <v>789</v>
      </c>
      <c r="AB469" t="n">
        <v>6</v>
      </c>
      <c r="AC469" t="n">
        <v>6</v>
      </c>
      <c r="AD469" t="n">
        <v>34</v>
      </c>
      <c r="AE469" t="n">
        <v>35</v>
      </c>
      <c r="AF469" t="n">
        <v>12</v>
      </c>
      <c r="AG469" t="n">
        <v>12</v>
      </c>
      <c r="AH469" t="n">
        <v>7</v>
      </c>
      <c r="AI469" t="n">
        <v>8</v>
      </c>
      <c r="AJ469" t="n">
        <v>17</v>
      </c>
      <c r="AK469" t="n">
        <v>17</v>
      </c>
      <c r="AL469" t="n">
        <v>5</v>
      </c>
      <c r="AM469" t="n">
        <v>5</v>
      </c>
      <c r="AN469" t="n">
        <v>0</v>
      </c>
      <c r="AO469" t="n">
        <v>0</v>
      </c>
      <c r="AP469" t="inlineStr">
        <is>
          <t>No</t>
        </is>
      </c>
      <c r="AQ469" t="inlineStr">
        <is>
          <t>Yes</t>
        </is>
      </c>
      <c r="AR469">
        <f>HYPERLINK("http://catalog.hathitrust.org/Record/000696680","HathiTrust Record")</f>
        <v/>
      </c>
      <c r="AS469">
        <f>HYPERLINK("https://creighton-primo.hosted.exlibrisgroup.com/primo-explore/search?tab=default_tab&amp;search_scope=EVERYTHING&amp;vid=01CRU&amp;lang=en_US&amp;offset=0&amp;query=any,contains,991000609089702656","Catalog Record")</f>
        <v/>
      </c>
      <c r="AT469">
        <f>HYPERLINK("http://www.worldcat.org/oclc/100119","WorldCat Record")</f>
        <v/>
      </c>
      <c r="AU469" t="inlineStr">
        <is>
          <t>64209165:eng</t>
        </is>
      </c>
      <c r="AV469" t="inlineStr">
        <is>
          <t>100119</t>
        </is>
      </c>
      <c r="AW469" t="inlineStr">
        <is>
          <t>991000609089702656</t>
        </is>
      </c>
      <c r="AX469" t="inlineStr">
        <is>
          <t>991000609089702656</t>
        </is>
      </c>
      <c r="AY469" t="inlineStr">
        <is>
          <t>2258231680002656</t>
        </is>
      </c>
      <c r="AZ469" t="inlineStr">
        <is>
          <t>BOOK</t>
        </is>
      </c>
      <c r="BB469" t="inlineStr">
        <is>
          <t>9780520016231</t>
        </is>
      </c>
      <c r="BC469" t="inlineStr">
        <is>
          <t>32285003086732</t>
        </is>
      </c>
      <c r="BD469" t="inlineStr">
        <is>
          <t>893595710</t>
        </is>
      </c>
    </row>
    <row r="470">
      <c r="A470" t="inlineStr">
        <is>
          <t>No</t>
        </is>
      </c>
      <c r="B470" t="inlineStr">
        <is>
          <t>HN683.5 .M344 V. 2</t>
        </is>
      </c>
      <c r="C470" t="inlineStr">
        <is>
          <t>0                      HN 0683500M  344                                                     V. 2</t>
        </is>
      </c>
      <c r="D470" t="inlineStr">
        <is>
          <t>Society in India [by] David G. Mandelbaum.</t>
        </is>
      </c>
      <c r="E470" t="inlineStr">
        <is>
          <t>V. 2*</t>
        </is>
      </c>
      <c r="F470" t="inlineStr">
        <is>
          <t>Yes</t>
        </is>
      </c>
      <c r="G470" t="inlineStr">
        <is>
          <t>1</t>
        </is>
      </c>
      <c r="H470" t="inlineStr">
        <is>
          <t>No</t>
        </is>
      </c>
      <c r="I470" t="inlineStr">
        <is>
          <t>No</t>
        </is>
      </c>
      <c r="J470" t="inlineStr">
        <is>
          <t>0</t>
        </is>
      </c>
      <c r="K470" t="inlineStr">
        <is>
          <t>Mandelbaum, David Goodman, 1911-1987.</t>
        </is>
      </c>
      <c r="L470" t="inlineStr">
        <is>
          <t>Berkeley, University of California Press, 1970.</t>
        </is>
      </c>
      <c r="M470" t="inlineStr">
        <is>
          <t>1970</t>
        </is>
      </c>
      <c r="O470" t="inlineStr">
        <is>
          <t>eng</t>
        </is>
      </c>
      <c r="P470" t="inlineStr">
        <is>
          <t>cau</t>
        </is>
      </c>
      <c r="R470" t="inlineStr">
        <is>
          <t xml:space="preserve">HN </t>
        </is>
      </c>
      <c r="S470" t="n">
        <v>2</v>
      </c>
      <c r="T470" t="n">
        <v>12</v>
      </c>
      <c r="U470" t="inlineStr">
        <is>
          <t>1998-04-06</t>
        </is>
      </c>
      <c r="V470" t="inlineStr">
        <is>
          <t>2000-03-20</t>
        </is>
      </c>
      <c r="W470" t="inlineStr">
        <is>
          <t>1997-08-07</t>
        </is>
      </c>
      <c r="X470" t="inlineStr">
        <is>
          <t>1997-08-07</t>
        </is>
      </c>
      <c r="Y470" t="n">
        <v>923</v>
      </c>
      <c r="Z470" t="n">
        <v>763</v>
      </c>
      <c r="AA470" t="n">
        <v>789</v>
      </c>
      <c r="AB470" t="n">
        <v>6</v>
      </c>
      <c r="AC470" t="n">
        <v>6</v>
      </c>
      <c r="AD470" t="n">
        <v>34</v>
      </c>
      <c r="AE470" t="n">
        <v>35</v>
      </c>
      <c r="AF470" t="n">
        <v>12</v>
      </c>
      <c r="AG470" t="n">
        <v>12</v>
      </c>
      <c r="AH470" t="n">
        <v>7</v>
      </c>
      <c r="AI470" t="n">
        <v>8</v>
      </c>
      <c r="AJ470" t="n">
        <v>17</v>
      </c>
      <c r="AK470" t="n">
        <v>17</v>
      </c>
      <c r="AL470" t="n">
        <v>5</v>
      </c>
      <c r="AM470" t="n">
        <v>5</v>
      </c>
      <c r="AN470" t="n">
        <v>0</v>
      </c>
      <c r="AO470" t="n">
        <v>0</v>
      </c>
      <c r="AP470" t="inlineStr">
        <is>
          <t>No</t>
        </is>
      </c>
      <c r="AQ470" t="inlineStr">
        <is>
          <t>Yes</t>
        </is>
      </c>
      <c r="AR470">
        <f>HYPERLINK("http://catalog.hathitrust.org/Record/000696680","HathiTrust Record")</f>
        <v/>
      </c>
      <c r="AS470">
        <f>HYPERLINK("https://creighton-primo.hosted.exlibrisgroup.com/primo-explore/search?tab=default_tab&amp;search_scope=EVERYTHING&amp;vid=01CRU&amp;lang=en_US&amp;offset=0&amp;query=any,contains,991000609089702656","Catalog Record")</f>
        <v/>
      </c>
      <c r="AT470">
        <f>HYPERLINK("http://www.worldcat.org/oclc/100119","WorldCat Record")</f>
        <v/>
      </c>
      <c r="AU470" t="inlineStr">
        <is>
          <t>64209165:eng</t>
        </is>
      </c>
      <c r="AV470" t="inlineStr">
        <is>
          <t>100119</t>
        </is>
      </c>
      <c r="AW470" t="inlineStr">
        <is>
          <t>991000609089702656</t>
        </is>
      </c>
      <c r="AX470" t="inlineStr">
        <is>
          <t>991000609089702656</t>
        </is>
      </c>
      <c r="AY470" t="inlineStr">
        <is>
          <t>2258231680002656</t>
        </is>
      </c>
      <c r="AZ470" t="inlineStr">
        <is>
          <t>BOOK</t>
        </is>
      </c>
      <c r="BB470" t="inlineStr">
        <is>
          <t>9780520016231</t>
        </is>
      </c>
      <c r="BC470" t="inlineStr">
        <is>
          <t>32285003086724</t>
        </is>
      </c>
      <c r="BD470" t="inlineStr">
        <is>
          <t>893601903</t>
        </is>
      </c>
    </row>
    <row r="471">
      <c r="A471" t="inlineStr">
        <is>
          <t>No</t>
        </is>
      </c>
      <c r="B471" t="inlineStr">
        <is>
          <t>HN683.5 .S527</t>
        </is>
      </c>
      <c r="C471" t="inlineStr">
        <is>
          <t>0                      HN 0683500S  527</t>
        </is>
      </c>
      <c r="D471" t="inlineStr">
        <is>
          <t>Indian society and social institutions / by Ramnath Sharma.</t>
        </is>
      </c>
      <c r="F471" t="inlineStr">
        <is>
          <t>No</t>
        </is>
      </c>
      <c r="G471" t="inlineStr">
        <is>
          <t>1</t>
        </is>
      </c>
      <c r="H471" t="inlineStr">
        <is>
          <t>No</t>
        </is>
      </c>
      <c r="I471" t="inlineStr">
        <is>
          <t>No</t>
        </is>
      </c>
      <c r="J471" t="inlineStr">
        <is>
          <t>0</t>
        </is>
      </c>
      <c r="K471" t="inlineStr">
        <is>
          <t>Sharma, Ram Nath, 1931-</t>
        </is>
      </c>
      <c r="L471" t="inlineStr">
        <is>
          <t>New Delhi : Munshiram Manoharlal, 1981, c1980.</t>
        </is>
      </c>
      <c r="M471" t="inlineStr">
        <is>
          <t>1981</t>
        </is>
      </c>
      <c r="N471" t="inlineStr">
        <is>
          <t>1st ed.</t>
        </is>
      </c>
      <c r="O471" t="inlineStr">
        <is>
          <t>eng</t>
        </is>
      </c>
      <c r="P471" t="inlineStr">
        <is>
          <t xml:space="preserve">ii </t>
        </is>
      </c>
      <c r="R471" t="inlineStr">
        <is>
          <t xml:space="preserve">HN </t>
        </is>
      </c>
      <c r="S471" t="n">
        <v>12</v>
      </c>
      <c r="T471" t="n">
        <v>12</v>
      </c>
      <c r="U471" t="inlineStr">
        <is>
          <t>1998-10-27</t>
        </is>
      </c>
      <c r="V471" t="inlineStr">
        <is>
          <t>1998-10-27</t>
        </is>
      </c>
      <c r="W471" t="inlineStr">
        <is>
          <t>1992-10-14</t>
        </is>
      </c>
      <c r="X471" t="inlineStr">
        <is>
          <t>1992-10-14</t>
        </is>
      </c>
      <c r="Y471" t="n">
        <v>112</v>
      </c>
      <c r="Z471" t="n">
        <v>96</v>
      </c>
      <c r="AA471" t="n">
        <v>109</v>
      </c>
      <c r="AB471" t="n">
        <v>1</v>
      </c>
      <c r="AC471" t="n">
        <v>1</v>
      </c>
      <c r="AD471" t="n">
        <v>2</v>
      </c>
      <c r="AE471" t="n">
        <v>2</v>
      </c>
      <c r="AF471" t="n">
        <v>1</v>
      </c>
      <c r="AG471" t="n">
        <v>1</v>
      </c>
      <c r="AH471" t="n">
        <v>0</v>
      </c>
      <c r="AI471" t="n">
        <v>0</v>
      </c>
      <c r="AJ471" t="n">
        <v>1</v>
      </c>
      <c r="AK471" t="n">
        <v>1</v>
      </c>
      <c r="AL471" t="n">
        <v>0</v>
      </c>
      <c r="AM471" t="n">
        <v>0</v>
      </c>
      <c r="AN471" t="n">
        <v>0</v>
      </c>
      <c r="AO471" t="n">
        <v>0</v>
      </c>
      <c r="AP471" t="inlineStr">
        <is>
          <t>No</t>
        </is>
      </c>
      <c r="AQ471" t="inlineStr">
        <is>
          <t>Yes</t>
        </is>
      </c>
      <c r="AR471">
        <f>HYPERLINK("http://catalog.hathitrust.org/Record/000205152","HathiTrust Record")</f>
        <v/>
      </c>
      <c r="AS471">
        <f>HYPERLINK("https://creighton-primo.hosted.exlibrisgroup.com/primo-explore/search?tab=default_tab&amp;search_scope=EVERYTHING&amp;vid=01CRU&amp;lang=en_US&amp;offset=0&amp;query=any,contains,991000010659702656","Catalog Record")</f>
        <v/>
      </c>
      <c r="AT471">
        <f>HYPERLINK("http://www.worldcat.org/oclc/8535115","WorldCat Record")</f>
        <v/>
      </c>
      <c r="AU471" t="inlineStr">
        <is>
          <t>7081614:eng</t>
        </is>
      </c>
      <c r="AV471" t="inlineStr">
        <is>
          <t>8535115</t>
        </is>
      </c>
      <c r="AW471" t="inlineStr">
        <is>
          <t>991000010659702656</t>
        </is>
      </c>
      <c r="AX471" t="inlineStr">
        <is>
          <t>991000010659702656</t>
        </is>
      </c>
      <c r="AY471" t="inlineStr">
        <is>
          <t>2270402430002656</t>
        </is>
      </c>
      <c r="AZ471" t="inlineStr">
        <is>
          <t>BOOK</t>
        </is>
      </c>
      <c r="BC471" t="inlineStr">
        <is>
          <t>32285001357663</t>
        </is>
      </c>
      <c r="BD471" t="inlineStr">
        <is>
          <t>893437918</t>
        </is>
      </c>
    </row>
    <row r="472">
      <c r="A472" t="inlineStr">
        <is>
          <t>No</t>
        </is>
      </c>
      <c r="B472" t="inlineStr">
        <is>
          <t>HN690.Z9 M67 2000</t>
        </is>
      </c>
      <c r="C472" t="inlineStr">
        <is>
          <t>0                      HN 0690000Z  9                  M  67          2000</t>
        </is>
      </c>
      <c r="D472" t="inlineStr">
        <is>
          <t>Pluralism and equality : values in Indian society and politics / edited by Imtiaz Ahmad, Partha S. Ghosh, Helmut Reifeld.</t>
        </is>
      </c>
      <c r="F472" t="inlineStr">
        <is>
          <t>No</t>
        </is>
      </c>
      <c r="G472" t="inlineStr">
        <is>
          <t>1</t>
        </is>
      </c>
      <c r="H472" t="inlineStr">
        <is>
          <t>No</t>
        </is>
      </c>
      <c r="I472" t="inlineStr">
        <is>
          <t>No</t>
        </is>
      </c>
      <c r="J472" t="inlineStr">
        <is>
          <t>0</t>
        </is>
      </c>
      <c r="L472" t="inlineStr">
        <is>
          <t>New Delhi [India] ; Thousand Oaks, [Calif.] : Sage Publications , 2000.</t>
        </is>
      </c>
      <c r="M472" t="inlineStr">
        <is>
          <t>2000</t>
        </is>
      </c>
      <c r="O472" t="inlineStr">
        <is>
          <t>eng</t>
        </is>
      </c>
      <c r="P472" t="inlineStr">
        <is>
          <t xml:space="preserve">ii </t>
        </is>
      </c>
      <c r="R472" t="inlineStr">
        <is>
          <t xml:space="preserve">HN </t>
        </is>
      </c>
      <c r="S472" t="n">
        <v>1</v>
      </c>
      <c r="T472" t="n">
        <v>1</v>
      </c>
      <c r="U472" t="inlineStr">
        <is>
          <t>2005-10-06</t>
        </is>
      </c>
      <c r="V472" t="inlineStr">
        <is>
          <t>2005-10-06</t>
        </is>
      </c>
      <c r="W472" t="inlineStr">
        <is>
          <t>2005-10-06</t>
        </is>
      </c>
      <c r="X472" t="inlineStr">
        <is>
          <t>2005-10-06</t>
        </is>
      </c>
      <c r="Y472" t="n">
        <v>91</v>
      </c>
      <c r="Z472" t="n">
        <v>55</v>
      </c>
      <c r="AA472" t="n">
        <v>72</v>
      </c>
      <c r="AB472" t="n">
        <v>2</v>
      </c>
      <c r="AC472" t="n">
        <v>2</v>
      </c>
      <c r="AD472" t="n">
        <v>4</v>
      </c>
      <c r="AE472" t="n">
        <v>4</v>
      </c>
      <c r="AF472" t="n">
        <v>1</v>
      </c>
      <c r="AG472" t="n">
        <v>1</v>
      </c>
      <c r="AH472" t="n">
        <v>0</v>
      </c>
      <c r="AI472" t="n">
        <v>0</v>
      </c>
      <c r="AJ472" t="n">
        <v>2</v>
      </c>
      <c r="AK472" t="n">
        <v>2</v>
      </c>
      <c r="AL472" t="n">
        <v>1</v>
      </c>
      <c r="AM472" t="n">
        <v>1</v>
      </c>
      <c r="AN472" t="n">
        <v>0</v>
      </c>
      <c r="AO472" t="n">
        <v>0</v>
      </c>
      <c r="AP472" t="inlineStr">
        <is>
          <t>No</t>
        </is>
      </c>
      <c r="AQ472" t="inlineStr">
        <is>
          <t>Yes</t>
        </is>
      </c>
      <c r="AR472">
        <f>HYPERLINK("http://catalog.hathitrust.org/Record/004294475","HathiTrust Record")</f>
        <v/>
      </c>
      <c r="AS472">
        <f>HYPERLINK("https://creighton-primo.hosted.exlibrisgroup.com/primo-explore/search?tab=default_tab&amp;search_scope=EVERYTHING&amp;vid=01CRU&amp;lang=en_US&amp;offset=0&amp;query=any,contains,991004650999702656","Catalog Record")</f>
        <v/>
      </c>
      <c r="AT472">
        <f>HYPERLINK("http://www.worldcat.org/oclc/44632938","WorldCat Record")</f>
        <v/>
      </c>
      <c r="AU472" t="inlineStr">
        <is>
          <t>837045397:eng</t>
        </is>
      </c>
      <c r="AV472" t="inlineStr">
        <is>
          <t>44632938</t>
        </is>
      </c>
      <c r="AW472" t="inlineStr">
        <is>
          <t>991004650999702656</t>
        </is>
      </c>
      <c r="AX472" t="inlineStr">
        <is>
          <t>991004650999702656</t>
        </is>
      </c>
      <c r="AY472" t="inlineStr">
        <is>
          <t>2255111190002656</t>
        </is>
      </c>
      <c r="AZ472" t="inlineStr">
        <is>
          <t>BOOK</t>
        </is>
      </c>
      <c r="BB472" t="inlineStr">
        <is>
          <t>9780761994787</t>
        </is>
      </c>
      <c r="BC472" t="inlineStr">
        <is>
          <t>32285005088397</t>
        </is>
      </c>
      <c r="BD472" t="inlineStr">
        <is>
          <t>893719176</t>
        </is>
      </c>
    </row>
    <row r="473">
      <c r="A473" t="inlineStr">
        <is>
          <t>No</t>
        </is>
      </c>
      <c r="B473" t="inlineStr">
        <is>
          <t>HN690.Z9 S6438 1997</t>
        </is>
      </c>
      <c r="C473" t="inlineStr">
        <is>
          <t>0                      HN 0690000Z  9                  S  6438        1997</t>
        </is>
      </c>
      <c r="D473" t="inlineStr">
        <is>
          <t>Social stratification in India : issues and themes / K.L. Sharma.</t>
        </is>
      </c>
      <c r="F473" t="inlineStr">
        <is>
          <t>No</t>
        </is>
      </c>
      <c r="G473" t="inlineStr">
        <is>
          <t>1</t>
        </is>
      </c>
      <c r="H473" t="inlineStr">
        <is>
          <t>No</t>
        </is>
      </c>
      <c r="I473" t="inlineStr">
        <is>
          <t>No</t>
        </is>
      </c>
      <c r="J473" t="inlineStr">
        <is>
          <t>0</t>
        </is>
      </c>
      <c r="K473" t="inlineStr">
        <is>
          <t>Śarmā, Kanhaiyālāla.</t>
        </is>
      </c>
      <c r="L473" t="inlineStr">
        <is>
          <t>New Delhi ; Thousand Oaks, Calif. : Sage Publications, 1997.</t>
        </is>
      </c>
      <c r="M473" t="inlineStr">
        <is>
          <t>1997</t>
        </is>
      </c>
      <c r="O473" t="inlineStr">
        <is>
          <t>eng</t>
        </is>
      </c>
      <c r="P473" t="inlineStr">
        <is>
          <t xml:space="preserve">ii </t>
        </is>
      </c>
      <c r="R473" t="inlineStr">
        <is>
          <t xml:space="preserve">HN </t>
        </is>
      </c>
      <c r="S473" t="n">
        <v>5</v>
      </c>
      <c r="T473" t="n">
        <v>5</v>
      </c>
      <c r="U473" t="inlineStr">
        <is>
          <t>2005-10-18</t>
        </is>
      </c>
      <c r="V473" t="inlineStr">
        <is>
          <t>2005-10-18</t>
        </is>
      </c>
      <c r="W473" t="inlineStr">
        <is>
          <t>1997-11-18</t>
        </is>
      </c>
      <c r="X473" t="inlineStr">
        <is>
          <t>1997-11-18</t>
        </is>
      </c>
      <c r="Y473" t="n">
        <v>243</v>
      </c>
      <c r="Z473" t="n">
        <v>190</v>
      </c>
      <c r="AA473" t="n">
        <v>202</v>
      </c>
      <c r="AB473" t="n">
        <v>3</v>
      </c>
      <c r="AC473" t="n">
        <v>3</v>
      </c>
      <c r="AD473" t="n">
        <v>15</v>
      </c>
      <c r="AE473" t="n">
        <v>16</v>
      </c>
      <c r="AF473" t="n">
        <v>4</v>
      </c>
      <c r="AG473" t="n">
        <v>4</v>
      </c>
      <c r="AH473" t="n">
        <v>4</v>
      </c>
      <c r="AI473" t="n">
        <v>4</v>
      </c>
      <c r="AJ473" t="n">
        <v>9</v>
      </c>
      <c r="AK473" t="n">
        <v>10</v>
      </c>
      <c r="AL473" t="n">
        <v>2</v>
      </c>
      <c r="AM473" t="n">
        <v>2</v>
      </c>
      <c r="AN473" t="n">
        <v>0</v>
      </c>
      <c r="AO473" t="n">
        <v>0</v>
      </c>
      <c r="AP473" t="inlineStr">
        <is>
          <t>No</t>
        </is>
      </c>
      <c r="AQ473" t="inlineStr">
        <is>
          <t>Yes</t>
        </is>
      </c>
      <c r="AR473">
        <f>HYPERLINK("http://catalog.hathitrust.org/Record/003204180","HathiTrust Record")</f>
        <v/>
      </c>
      <c r="AS473">
        <f>HYPERLINK("https://creighton-primo.hosted.exlibrisgroup.com/primo-explore/search?tab=default_tab&amp;search_scope=EVERYTHING&amp;vid=01CRU&amp;lang=en_US&amp;offset=0&amp;query=any,contains,991002761379702656","Catalog Record")</f>
        <v/>
      </c>
      <c r="AT473">
        <f>HYPERLINK("http://www.worldcat.org/oclc/36225111","WorldCat Record")</f>
        <v/>
      </c>
      <c r="AU473" t="inlineStr">
        <is>
          <t>366104018:eng</t>
        </is>
      </c>
      <c r="AV473" t="inlineStr">
        <is>
          <t>36225111</t>
        </is>
      </c>
      <c r="AW473" t="inlineStr">
        <is>
          <t>991002761379702656</t>
        </is>
      </c>
      <c r="AX473" t="inlineStr">
        <is>
          <t>991002761379702656</t>
        </is>
      </c>
      <c r="AY473" t="inlineStr">
        <is>
          <t>2272676280002656</t>
        </is>
      </c>
      <c r="AZ473" t="inlineStr">
        <is>
          <t>BOOK</t>
        </is>
      </c>
      <c r="BB473" t="inlineStr">
        <is>
          <t>9780803993624</t>
        </is>
      </c>
      <c r="BC473" t="inlineStr">
        <is>
          <t>32285003271102</t>
        </is>
      </c>
      <c r="BD473" t="inlineStr">
        <is>
          <t>893873977</t>
        </is>
      </c>
    </row>
    <row r="474">
      <c r="A474" t="inlineStr">
        <is>
          <t>No</t>
        </is>
      </c>
      <c r="B474" t="inlineStr">
        <is>
          <t>HN700.55.A8 B37 2008</t>
        </is>
      </c>
      <c r="C474" t="inlineStr">
        <is>
          <t>0                      HN 0700550A  8                  B  37          2008</t>
        </is>
      </c>
      <c r="D474" t="inlineStr">
        <is>
          <t>The gospel of Father Joe : revolutions and revelations in the slums of Bangkok / Greg Barrett ; foreword, Desmond M. Tutu.</t>
        </is>
      </c>
      <c r="F474" t="inlineStr">
        <is>
          <t>No</t>
        </is>
      </c>
      <c r="G474" t="inlineStr">
        <is>
          <t>1</t>
        </is>
      </c>
      <c r="H474" t="inlineStr">
        <is>
          <t>No</t>
        </is>
      </c>
      <c r="I474" t="inlineStr">
        <is>
          <t>No</t>
        </is>
      </c>
      <c r="J474" t="inlineStr">
        <is>
          <t>0</t>
        </is>
      </c>
      <c r="K474" t="inlineStr">
        <is>
          <t>Barrett, Greg, 1961-</t>
        </is>
      </c>
      <c r="L474" t="inlineStr">
        <is>
          <t>San Francisco : Jossey-Bass, c2008.</t>
        </is>
      </c>
      <c r="M474" t="inlineStr">
        <is>
          <t>2008</t>
        </is>
      </c>
      <c r="N474" t="inlineStr">
        <is>
          <t>1st ed.</t>
        </is>
      </c>
      <c r="O474" t="inlineStr">
        <is>
          <t>eng</t>
        </is>
      </c>
      <c r="P474" t="inlineStr">
        <is>
          <t>cau</t>
        </is>
      </c>
      <c r="R474" t="inlineStr">
        <is>
          <t xml:space="preserve">HN </t>
        </is>
      </c>
      <c r="S474" t="n">
        <v>3</v>
      </c>
      <c r="T474" t="n">
        <v>3</v>
      </c>
      <c r="U474" t="inlineStr">
        <is>
          <t>2009-06-09</t>
        </is>
      </c>
      <c r="V474" t="inlineStr">
        <is>
          <t>2009-06-09</t>
        </is>
      </c>
      <c r="W474" t="inlineStr">
        <is>
          <t>2008-05-05</t>
        </is>
      </c>
      <c r="X474" t="inlineStr">
        <is>
          <t>2008-05-05</t>
        </is>
      </c>
      <c r="Y474" t="n">
        <v>168</v>
      </c>
      <c r="Z474" t="n">
        <v>136</v>
      </c>
      <c r="AA474" t="n">
        <v>165</v>
      </c>
      <c r="AB474" t="n">
        <v>1</v>
      </c>
      <c r="AC474" t="n">
        <v>1</v>
      </c>
      <c r="AD474" t="n">
        <v>5</v>
      </c>
      <c r="AE474" t="n">
        <v>6</v>
      </c>
      <c r="AF474" t="n">
        <v>1</v>
      </c>
      <c r="AG474" t="n">
        <v>2</v>
      </c>
      <c r="AH474" t="n">
        <v>2</v>
      </c>
      <c r="AI474" t="n">
        <v>3</v>
      </c>
      <c r="AJ474" t="n">
        <v>5</v>
      </c>
      <c r="AK474" t="n">
        <v>5</v>
      </c>
      <c r="AL474" t="n">
        <v>0</v>
      </c>
      <c r="AM474" t="n">
        <v>0</v>
      </c>
      <c r="AN474" t="n">
        <v>0</v>
      </c>
      <c r="AO474" t="n">
        <v>0</v>
      </c>
      <c r="AP474" t="inlineStr">
        <is>
          <t>No</t>
        </is>
      </c>
      <c r="AQ474" t="inlineStr">
        <is>
          <t>No</t>
        </is>
      </c>
      <c r="AS474">
        <f>HYPERLINK("https://creighton-primo.hosted.exlibrisgroup.com/primo-explore/search?tab=default_tab&amp;search_scope=EVERYTHING&amp;vid=01CRU&amp;lang=en_US&amp;offset=0&amp;query=any,contains,991005215639702656","Catalog Record")</f>
        <v/>
      </c>
      <c r="AT474">
        <f>HYPERLINK("http://www.worldcat.org/oclc/176899077","WorldCat Record")</f>
        <v/>
      </c>
      <c r="AU474" t="inlineStr">
        <is>
          <t>323322579:eng</t>
        </is>
      </c>
      <c r="AV474" t="inlineStr">
        <is>
          <t>176899077</t>
        </is>
      </c>
      <c r="AW474" t="inlineStr">
        <is>
          <t>991005215639702656</t>
        </is>
      </c>
      <c r="AX474" t="inlineStr">
        <is>
          <t>991005215639702656</t>
        </is>
      </c>
      <c r="AY474" t="inlineStr">
        <is>
          <t>2261380840002656</t>
        </is>
      </c>
      <c r="AZ474" t="inlineStr">
        <is>
          <t>BOOK</t>
        </is>
      </c>
      <c r="BB474" t="inlineStr">
        <is>
          <t>9780470258637</t>
        </is>
      </c>
      <c r="BC474" t="inlineStr">
        <is>
          <t>32285005405245</t>
        </is>
      </c>
      <c r="BD474" t="inlineStr">
        <is>
          <t>893254658</t>
        </is>
      </c>
    </row>
    <row r="475">
      <c r="A475" t="inlineStr">
        <is>
          <t>No</t>
        </is>
      </c>
      <c r="B475" t="inlineStr">
        <is>
          <t>HN700.67.A8 M35 2002</t>
        </is>
      </c>
      <c r="C475" t="inlineStr">
        <is>
          <t>0                      HN 0700670A  8                  M  35          2002</t>
        </is>
      </c>
      <c r="D475" t="inlineStr">
        <is>
          <t>The making of Singapore sociology : society and state / Tong Chee Kiong &amp; Lian Kwen Fee, eds.</t>
        </is>
      </c>
      <c r="F475" t="inlineStr">
        <is>
          <t>No</t>
        </is>
      </c>
      <c r="G475" t="inlineStr">
        <is>
          <t>1</t>
        </is>
      </c>
      <c r="H475" t="inlineStr">
        <is>
          <t>No</t>
        </is>
      </c>
      <c r="I475" t="inlineStr">
        <is>
          <t>No</t>
        </is>
      </c>
      <c r="J475" t="inlineStr">
        <is>
          <t>0</t>
        </is>
      </c>
      <c r="L475" t="inlineStr">
        <is>
          <t>Leiden, Netherlands : Brill Academic Publishers ; Singapore : Times Academic Press, 2002.</t>
        </is>
      </c>
      <c r="M475" t="inlineStr">
        <is>
          <t>2002</t>
        </is>
      </c>
      <c r="O475" t="inlineStr">
        <is>
          <t>eng</t>
        </is>
      </c>
      <c r="P475" t="inlineStr">
        <is>
          <t xml:space="preserve">ne </t>
        </is>
      </c>
      <c r="Q475" t="inlineStr">
        <is>
          <t>Asian social science series ; v. 2</t>
        </is>
      </c>
      <c r="R475" t="inlineStr">
        <is>
          <t xml:space="preserve">HN </t>
        </is>
      </c>
      <c r="S475" t="n">
        <v>1</v>
      </c>
      <c r="T475" t="n">
        <v>1</v>
      </c>
      <c r="U475" t="inlineStr">
        <is>
          <t>2004-09-01</t>
        </is>
      </c>
      <c r="V475" t="inlineStr">
        <is>
          <t>2004-09-01</t>
        </is>
      </c>
      <c r="W475" t="inlineStr">
        <is>
          <t>2004-09-01</t>
        </is>
      </c>
      <c r="X475" t="inlineStr">
        <is>
          <t>2004-09-01</t>
        </is>
      </c>
      <c r="Y475" t="n">
        <v>95</v>
      </c>
      <c r="Z475" t="n">
        <v>67</v>
      </c>
      <c r="AA475" t="n">
        <v>105</v>
      </c>
      <c r="AB475" t="n">
        <v>1</v>
      </c>
      <c r="AC475" t="n">
        <v>1</v>
      </c>
      <c r="AD475" t="n">
        <v>2</v>
      </c>
      <c r="AE475" t="n">
        <v>4</v>
      </c>
      <c r="AF475" t="n">
        <v>1</v>
      </c>
      <c r="AG475" t="n">
        <v>1</v>
      </c>
      <c r="AH475" t="n">
        <v>1</v>
      </c>
      <c r="AI475" t="n">
        <v>2</v>
      </c>
      <c r="AJ475" t="n">
        <v>2</v>
      </c>
      <c r="AK475" t="n">
        <v>3</v>
      </c>
      <c r="AL475" t="n">
        <v>0</v>
      </c>
      <c r="AM475" t="n">
        <v>0</v>
      </c>
      <c r="AN475" t="n">
        <v>0</v>
      </c>
      <c r="AO475" t="n">
        <v>0</v>
      </c>
      <c r="AP475" t="inlineStr">
        <is>
          <t>No</t>
        </is>
      </c>
      <c r="AQ475" t="inlineStr">
        <is>
          <t>No</t>
        </is>
      </c>
      <c r="AS475">
        <f>HYPERLINK("https://creighton-primo.hosted.exlibrisgroup.com/primo-explore/search?tab=default_tab&amp;search_scope=EVERYTHING&amp;vid=01CRU&amp;lang=en_US&amp;offset=0&amp;query=any,contains,991004213589702656","Catalog Record")</f>
        <v/>
      </c>
      <c r="AT475">
        <f>HYPERLINK("http://www.worldcat.org/oclc/52757513","WorldCat Record")</f>
        <v/>
      </c>
      <c r="AU475" t="inlineStr">
        <is>
          <t>367250953:eng</t>
        </is>
      </c>
      <c r="AV475" t="inlineStr">
        <is>
          <t>52757513</t>
        </is>
      </c>
      <c r="AW475" t="inlineStr">
        <is>
          <t>991004213589702656</t>
        </is>
      </c>
      <c r="AX475" t="inlineStr">
        <is>
          <t>991004213589702656</t>
        </is>
      </c>
      <c r="AY475" t="inlineStr">
        <is>
          <t>2265036190002656</t>
        </is>
      </c>
      <c r="AZ475" t="inlineStr">
        <is>
          <t>BOOK</t>
        </is>
      </c>
      <c r="BB475" t="inlineStr">
        <is>
          <t>9789812101983</t>
        </is>
      </c>
      <c r="BC475" t="inlineStr">
        <is>
          <t>32285004984877</t>
        </is>
      </c>
      <c r="BD475" t="inlineStr">
        <is>
          <t>893353285</t>
        </is>
      </c>
    </row>
    <row r="476">
      <c r="A476" t="inlineStr">
        <is>
          <t>No</t>
        </is>
      </c>
      <c r="B476" t="inlineStr">
        <is>
          <t>HN710.B3 L49 2009</t>
        </is>
      </c>
      <c r="C476" t="inlineStr">
        <is>
          <t>0                      HN 0710000B  3                  L  49          2009</t>
        </is>
      </c>
      <c r="D476" t="inlineStr">
        <is>
          <t>Bali's silent crisis : desire, tragedy, and transition / Jeff Lewis and Belinda Lewis.</t>
        </is>
      </c>
      <c r="F476" t="inlineStr">
        <is>
          <t>No</t>
        </is>
      </c>
      <c r="G476" t="inlineStr">
        <is>
          <t>1</t>
        </is>
      </c>
      <c r="H476" t="inlineStr">
        <is>
          <t>No</t>
        </is>
      </c>
      <c r="I476" t="inlineStr">
        <is>
          <t>No</t>
        </is>
      </c>
      <c r="J476" t="inlineStr">
        <is>
          <t>0</t>
        </is>
      </c>
      <c r="K476" t="inlineStr">
        <is>
          <t>Lewis, Jeff, 1964-</t>
        </is>
      </c>
      <c r="L476" t="inlineStr">
        <is>
          <t>Lanham, Md. : Lexington Books, c2009.</t>
        </is>
      </c>
      <c r="M476" t="inlineStr">
        <is>
          <t>2009</t>
        </is>
      </c>
      <c r="O476" t="inlineStr">
        <is>
          <t>eng</t>
        </is>
      </c>
      <c r="P476" t="inlineStr">
        <is>
          <t>mdu</t>
        </is>
      </c>
      <c r="R476" t="inlineStr">
        <is>
          <t xml:space="preserve">HN </t>
        </is>
      </c>
      <c r="S476" t="n">
        <v>1</v>
      </c>
      <c r="T476" t="n">
        <v>1</v>
      </c>
      <c r="U476" t="inlineStr">
        <is>
          <t>2010-03-25</t>
        </is>
      </c>
      <c r="V476" t="inlineStr">
        <is>
          <t>2010-03-25</t>
        </is>
      </c>
      <c r="W476" t="inlineStr">
        <is>
          <t>2010-03-25</t>
        </is>
      </c>
      <c r="X476" t="inlineStr">
        <is>
          <t>2010-03-25</t>
        </is>
      </c>
      <c r="Y476" t="n">
        <v>157</v>
      </c>
      <c r="Z476" t="n">
        <v>107</v>
      </c>
      <c r="AA476" t="n">
        <v>133</v>
      </c>
      <c r="AB476" t="n">
        <v>1</v>
      </c>
      <c r="AC476" t="n">
        <v>1</v>
      </c>
      <c r="AD476" t="n">
        <v>4</v>
      </c>
      <c r="AE476" t="n">
        <v>5</v>
      </c>
      <c r="AF476" t="n">
        <v>1</v>
      </c>
      <c r="AG476" t="n">
        <v>2</v>
      </c>
      <c r="AH476" t="n">
        <v>1</v>
      </c>
      <c r="AI476" t="n">
        <v>2</v>
      </c>
      <c r="AJ476" t="n">
        <v>4</v>
      </c>
      <c r="AK476" t="n">
        <v>4</v>
      </c>
      <c r="AL476" t="n">
        <v>0</v>
      </c>
      <c r="AM476" t="n">
        <v>0</v>
      </c>
      <c r="AN476" t="n">
        <v>0</v>
      </c>
      <c r="AO476" t="n">
        <v>0</v>
      </c>
      <c r="AP476" t="inlineStr">
        <is>
          <t>No</t>
        </is>
      </c>
      <c r="AQ476" t="inlineStr">
        <is>
          <t>No</t>
        </is>
      </c>
      <c r="AS476">
        <f>HYPERLINK("https://creighton-primo.hosted.exlibrisgroup.com/primo-explore/search?tab=default_tab&amp;search_scope=EVERYTHING&amp;vid=01CRU&amp;lang=en_US&amp;offset=0&amp;query=any,contains,991005376199702656","Catalog Record")</f>
        <v/>
      </c>
      <c r="AT476">
        <f>HYPERLINK("http://www.worldcat.org/oclc/297206864","WorldCat Record")</f>
        <v/>
      </c>
      <c r="AU476" t="inlineStr">
        <is>
          <t>178498665:eng</t>
        </is>
      </c>
      <c r="AV476" t="inlineStr">
        <is>
          <t>297206864</t>
        </is>
      </c>
      <c r="AW476" t="inlineStr">
        <is>
          <t>991005376199702656</t>
        </is>
      </c>
      <c r="AX476" t="inlineStr">
        <is>
          <t>991005376199702656</t>
        </is>
      </c>
      <c r="AY476" t="inlineStr">
        <is>
          <t>2260764920002656</t>
        </is>
      </c>
      <c r="AZ476" t="inlineStr">
        <is>
          <t>BOOK</t>
        </is>
      </c>
      <c r="BB476" t="inlineStr">
        <is>
          <t>9780739128206</t>
        </is>
      </c>
      <c r="BC476" t="inlineStr">
        <is>
          <t>32285005560049</t>
        </is>
      </c>
      <c r="BD476" t="inlineStr">
        <is>
          <t>893501927</t>
        </is>
      </c>
    </row>
    <row r="477">
      <c r="A477" t="inlineStr">
        <is>
          <t>No</t>
        </is>
      </c>
      <c r="B477" t="inlineStr">
        <is>
          <t>HN710.M6 G4</t>
        </is>
      </c>
      <c r="C477" t="inlineStr">
        <is>
          <t>0                      HN 0710000M  6                  G  4</t>
        </is>
      </c>
      <c r="D477" t="inlineStr">
        <is>
          <t>The social history of an Indonesian town.</t>
        </is>
      </c>
      <c r="F477" t="inlineStr">
        <is>
          <t>No</t>
        </is>
      </c>
      <c r="G477" t="inlineStr">
        <is>
          <t>1</t>
        </is>
      </c>
      <c r="H477" t="inlineStr">
        <is>
          <t>No</t>
        </is>
      </c>
      <c r="I477" t="inlineStr">
        <is>
          <t>No</t>
        </is>
      </c>
      <c r="J477" t="inlineStr">
        <is>
          <t>0</t>
        </is>
      </c>
      <c r="K477" t="inlineStr">
        <is>
          <t>Geertz, Clifford.</t>
        </is>
      </c>
      <c r="L477" t="inlineStr">
        <is>
          <t>Cambridge, Mass., M.I.T. Pr. [1965]</t>
        </is>
      </c>
      <c r="M477" t="inlineStr">
        <is>
          <t>1965</t>
        </is>
      </c>
      <c r="O477" t="inlineStr">
        <is>
          <t>eng</t>
        </is>
      </c>
      <c r="P477" t="inlineStr">
        <is>
          <t>mau</t>
        </is>
      </c>
      <c r="R477" t="inlineStr">
        <is>
          <t xml:space="preserve">HN </t>
        </is>
      </c>
      <c r="S477" t="n">
        <v>3</v>
      </c>
      <c r="T477" t="n">
        <v>3</v>
      </c>
      <c r="U477" t="inlineStr">
        <is>
          <t>2001-03-11</t>
        </is>
      </c>
      <c r="V477" t="inlineStr">
        <is>
          <t>2001-03-11</t>
        </is>
      </c>
      <c r="W477" t="inlineStr">
        <is>
          <t>1997-08-07</t>
        </is>
      </c>
      <c r="X477" t="inlineStr">
        <is>
          <t>1997-08-07</t>
        </is>
      </c>
      <c r="Y477" t="n">
        <v>607</v>
      </c>
      <c r="Z477" t="n">
        <v>490</v>
      </c>
      <c r="AA477" t="n">
        <v>564</v>
      </c>
      <c r="AB477" t="n">
        <v>6</v>
      </c>
      <c r="AC477" t="n">
        <v>6</v>
      </c>
      <c r="AD477" t="n">
        <v>29</v>
      </c>
      <c r="AE477" t="n">
        <v>32</v>
      </c>
      <c r="AF477" t="n">
        <v>8</v>
      </c>
      <c r="AG477" t="n">
        <v>10</v>
      </c>
      <c r="AH477" t="n">
        <v>8</v>
      </c>
      <c r="AI477" t="n">
        <v>9</v>
      </c>
      <c r="AJ477" t="n">
        <v>13</v>
      </c>
      <c r="AK477" t="n">
        <v>15</v>
      </c>
      <c r="AL477" t="n">
        <v>5</v>
      </c>
      <c r="AM477" t="n">
        <v>5</v>
      </c>
      <c r="AN477" t="n">
        <v>0</v>
      </c>
      <c r="AO477" t="n">
        <v>0</v>
      </c>
      <c r="AP477" t="inlineStr">
        <is>
          <t>No</t>
        </is>
      </c>
      <c r="AQ477" t="inlineStr">
        <is>
          <t>Yes</t>
        </is>
      </c>
      <c r="AR477">
        <f>HYPERLINK("http://catalog.hathitrust.org/Record/000976443","HathiTrust Record")</f>
        <v/>
      </c>
      <c r="AS477">
        <f>HYPERLINK("https://creighton-primo.hosted.exlibrisgroup.com/primo-explore/search?tab=default_tab&amp;search_scope=EVERYTHING&amp;vid=01CRU&amp;lang=en_US&amp;offset=0&amp;query=any,contains,991001914469702656","Catalog Record")</f>
        <v/>
      </c>
      <c r="AT477">
        <f>HYPERLINK("http://www.worldcat.org/oclc/243350","WorldCat Record")</f>
        <v/>
      </c>
      <c r="AU477" t="inlineStr">
        <is>
          <t>1392569:eng</t>
        </is>
      </c>
      <c r="AV477" t="inlineStr">
        <is>
          <t>243350</t>
        </is>
      </c>
      <c r="AW477" t="inlineStr">
        <is>
          <t>991001914469702656</t>
        </is>
      </c>
      <c r="AX477" t="inlineStr">
        <is>
          <t>991001914469702656</t>
        </is>
      </c>
      <c r="AY477" t="inlineStr">
        <is>
          <t>2270474590002656</t>
        </is>
      </c>
      <c r="AZ477" t="inlineStr">
        <is>
          <t>BOOK</t>
        </is>
      </c>
      <c r="BC477" t="inlineStr">
        <is>
          <t>32285003086880</t>
        </is>
      </c>
      <c r="BD477" t="inlineStr">
        <is>
          <t>893244526</t>
        </is>
      </c>
    </row>
    <row r="478">
      <c r="A478" t="inlineStr">
        <is>
          <t>No</t>
        </is>
      </c>
      <c r="B478" t="inlineStr">
        <is>
          <t>HN720.Z9 C663 1971</t>
        </is>
      </c>
      <c r="C478" t="inlineStr">
        <is>
          <t>0                      HN 0720000Z  9                  C  663         1971</t>
        </is>
      </c>
      <c r="D478" t="inlineStr">
        <is>
          <t>Slums are for people; the Barrio Magsaysay pilot project in Philippine urban community development, by Aprodicio A. Laquian.</t>
        </is>
      </c>
      <c r="F478" t="inlineStr">
        <is>
          <t>No</t>
        </is>
      </c>
      <c r="G478" t="inlineStr">
        <is>
          <t>1</t>
        </is>
      </c>
      <c r="H478" t="inlineStr">
        <is>
          <t>No</t>
        </is>
      </c>
      <c r="I478" t="inlineStr">
        <is>
          <t>No</t>
        </is>
      </c>
      <c r="J478" t="inlineStr">
        <is>
          <t>0</t>
        </is>
      </c>
      <c r="K478" t="inlineStr">
        <is>
          <t>Laquian, Aprodicio A.</t>
        </is>
      </c>
      <c r="L478" t="inlineStr">
        <is>
          <t>Honolulu, East-West Center Press [1971, c1969]</t>
        </is>
      </c>
      <c r="M478" t="inlineStr">
        <is>
          <t>1971</t>
        </is>
      </c>
      <c r="O478" t="inlineStr">
        <is>
          <t>eng</t>
        </is>
      </c>
      <c r="P478" t="inlineStr">
        <is>
          <t>hiu</t>
        </is>
      </c>
      <c r="R478" t="inlineStr">
        <is>
          <t xml:space="preserve">HN </t>
        </is>
      </c>
      <c r="S478" t="n">
        <v>1</v>
      </c>
      <c r="T478" t="n">
        <v>1</v>
      </c>
      <c r="U478" t="inlineStr">
        <is>
          <t>1999-05-02</t>
        </is>
      </c>
      <c r="V478" t="inlineStr">
        <is>
          <t>1999-05-02</t>
        </is>
      </c>
      <c r="W478" t="inlineStr">
        <is>
          <t>1997-08-07</t>
        </is>
      </c>
      <c r="X478" t="inlineStr">
        <is>
          <t>1997-08-07</t>
        </is>
      </c>
      <c r="Y478" t="n">
        <v>364</v>
      </c>
      <c r="Z478" t="n">
        <v>289</v>
      </c>
      <c r="AA478" t="n">
        <v>336</v>
      </c>
      <c r="AB478" t="n">
        <v>4</v>
      </c>
      <c r="AC478" t="n">
        <v>5</v>
      </c>
      <c r="AD478" t="n">
        <v>17</v>
      </c>
      <c r="AE478" t="n">
        <v>19</v>
      </c>
      <c r="AF478" t="n">
        <v>3</v>
      </c>
      <c r="AG478" t="n">
        <v>4</v>
      </c>
      <c r="AH478" t="n">
        <v>4</v>
      </c>
      <c r="AI478" t="n">
        <v>4</v>
      </c>
      <c r="AJ478" t="n">
        <v>10</v>
      </c>
      <c r="AK478" t="n">
        <v>11</v>
      </c>
      <c r="AL478" t="n">
        <v>3</v>
      </c>
      <c r="AM478" t="n">
        <v>4</v>
      </c>
      <c r="AN478" t="n">
        <v>0</v>
      </c>
      <c r="AO478" t="n">
        <v>0</v>
      </c>
      <c r="AP478" t="inlineStr">
        <is>
          <t>No</t>
        </is>
      </c>
      <c r="AQ478" t="inlineStr">
        <is>
          <t>Yes</t>
        </is>
      </c>
      <c r="AR478">
        <f>HYPERLINK("http://catalog.hathitrust.org/Record/007128050","HathiTrust Record")</f>
        <v/>
      </c>
      <c r="AS478">
        <f>HYPERLINK("https://creighton-primo.hosted.exlibrisgroup.com/primo-explore/search?tab=default_tab&amp;search_scope=EVERYTHING&amp;vid=01CRU&amp;lang=en_US&amp;offset=0&amp;query=any,contains,991000851529702656","Catalog Record")</f>
        <v/>
      </c>
      <c r="AT478">
        <f>HYPERLINK("http://www.worldcat.org/oclc/149052","WorldCat Record")</f>
        <v/>
      </c>
      <c r="AU478" t="inlineStr">
        <is>
          <t>1336539:eng</t>
        </is>
      </c>
      <c r="AV478" t="inlineStr">
        <is>
          <t>149052</t>
        </is>
      </c>
      <c r="AW478" t="inlineStr">
        <is>
          <t>991000851529702656</t>
        </is>
      </c>
      <c r="AX478" t="inlineStr">
        <is>
          <t>991000851529702656</t>
        </is>
      </c>
      <c r="AY478" t="inlineStr">
        <is>
          <t>2260594720002656</t>
        </is>
      </c>
      <c r="AZ478" t="inlineStr">
        <is>
          <t>BOOK</t>
        </is>
      </c>
      <c r="BB478" t="inlineStr">
        <is>
          <t>9780824800987</t>
        </is>
      </c>
      <c r="BC478" t="inlineStr">
        <is>
          <t>32285003086906</t>
        </is>
      </c>
      <c r="BD478" t="inlineStr">
        <is>
          <t>893797044</t>
        </is>
      </c>
    </row>
    <row r="479">
      <c r="A479" t="inlineStr">
        <is>
          <t>No</t>
        </is>
      </c>
      <c r="B479" t="inlineStr">
        <is>
          <t>HN723 .H36</t>
        </is>
      </c>
      <c r="C479" t="inlineStr">
        <is>
          <t>0                      HN 0723000H  36</t>
        </is>
      </c>
      <c r="D479" t="inlineStr">
        <is>
          <t>Peasants, rebels and outcasts : the underside of modern Japan / by Mikiso Hane.</t>
        </is>
      </c>
      <c r="F479" t="inlineStr">
        <is>
          <t>No</t>
        </is>
      </c>
      <c r="G479" t="inlineStr">
        <is>
          <t>1</t>
        </is>
      </c>
      <c r="H479" t="inlineStr">
        <is>
          <t>No</t>
        </is>
      </c>
      <c r="I479" t="inlineStr">
        <is>
          <t>No</t>
        </is>
      </c>
      <c r="J479" t="inlineStr">
        <is>
          <t>0</t>
        </is>
      </c>
      <c r="K479" t="inlineStr">
        <is>
          <t>Hane, Mikiso.</t>
        </is>
      </c>
      <c r="L479" t="inlineStr">
        <is>
          <t>New York : Pantheon, c1982.</t>
        </is>
      </c>
      <c r="M479" t="inlineStr">
        <is>
          <t>1982</t>
        </is>
      </c>
      <c r="O479" t="inlineStr">
        <is>
          <t>eng</t>
        </is>
      </c>
      <c r="P479" t="inlineStr">
        <is>
          <t>xxu</t>
        </is>
      </c>
      <c r="R479" t="inlineStr">
        <is>
          <t xml:space="preserve">HN </t>
        </is>
      </c>
      <c r="S479" t="n">
        <v>7</v>
      </c>
      <c r="T479" t="n">
        <v>7</v>
      </c>
      <c r="U479" t="inlineStr">
        <is>
          <t>2005-10-06</t>
        </is>
      </c>
      <c r="V479" t="inlineStr">
        <is>
          <t>2005-10-06</t>
        </is>
      </c>
      <c r="W479" t="inlineStr">
        <is>
          <t>1992-03-10</t>
        </is>
      </c>
      <c r="X479" t="inlineStr">
        <is>
          <t>1992-03-10</t>
        </is>
      </c>
      <c r="Y479" t="n">
        <v>983</v>
      </c>
      <c r="Z479" t="n">
        <v>802</v>
      </c>
      <c r="AA479" t="n">
        <v>807</v>
      </c>
      <c r="AB479" t="n">
        <v>4</v>
      </c>
      <c r="AC479" t="n">
        <v>4</v>
      </c>
      <c r="AD479" t="n">
        <v>28</v>
      </c>
      <c r="AE479" t="n">
        <v>28</v>
      </c>
      <c r="AF479" t="n">
        <v>13</v>
      </c>
      <c r="AG479" t="n">
        <v>13</v>
      </c>
      <c r="AH479" t="n">
        <v>6</v>
      </c>
      <c r="AI479" t="n">
        <v>6</v>
      </c>
      <c r="AJ479" t="n">
        <v>14</v>
      </c>
      <c r="AK479" t="n">
        <v>14</v>
      </c>
      <c r="AL479" t="n">
        <v>3</v>
      </c>
      <c r="AM479" t="n">
        <v>3</v>
      </c>
      <c r="AN479" t="n">
        <v>0</v>
      </c>
      <c r="AO479" t="n">
        <v>0</v>
      </c>
      <c r="AP479" t="inlineStr">
        <is>
          <t>No</t>
        </is>
      </c>
      <c r="AQ479" t="inlineStr">
        <is>
          <t>No</t>
        </is>
      </c>
      <c r="AS479">
        <f>HYPERLINK("https://creighton-primo.hosted.exlibrisgroup.com/primo-explore/search?tab=default_tab&amp;search_scope=EVERYTHING&amp;vid=01CRU&amp;lang=en_US&amp;offset=0&amp;query=any,contains,991005235619702656","Catalog Record")</f>
        <v/>
      </c>
      <c r="AT479">
        <f>HYPERLINK("http://www.worldcat.org/oclc/7998727","WorldCat Record")</f>
        <v/>
      </c>
      <c r="AU479" t="inlineStr">
        <is>
          <t>889474028:eng</t>
        </is>
      </c>
      <c r="AV479" t="inlineStr">
        <is>
          <t>7998727</t>
        </is>
      </c>
      <c r="AW479" t="inlineStr">
        <is>
          <t>991005235619702656</t>
        </is>
      </c>
      <c r="AX479" t="inlineStr">
        <is>
          <t>991005235619702656</t>
        </is>
      </c>
      <c r="AY479" t="inlineStr">
        <is>
          <t>2261304980002656</t>
        </is>
      </c>
      <c r="AZ479" t="inlineStr">
        <is>
          <t>BOOK</t>
        </is>
      </c>
      <c r="BB479" t="inlineStr">
        <is>
          <t>9780394519630</t>
        </is>
      </c>
      <c r="BC479" t="inlineStr">
        <is>
          <t>32285000995919</t>
        </is>
      </c>
      <c r="BD479" t="inlineStr">
        <is>
          <t>893320297</t>
        </is>
      </c>
    </row>
    <row r="480">
      <c r="A480" t="inlineStr">
        <is>
          <t>No</t>
        </is>
      </c>
      <c r="B480" t="inlineStr">
        <is>
          <t>HN723 .I728 1983</t>
        </is>
      </c>
      <c r="C480" t="inlineStr">
        <is>
          <t>0                      HN 0723000I  728         1983</t>
        </is>
      </c>
      <c r="D480" t="inlineStr">
        <is>
          <t>Japanese political culture : change and continuity / Takeshi Ishida.</t>
        </is>
      </c>
      <c r="F480" t="inlineStr">
        <is>
          <t>No</t>
        </is>
      </c>
      <c r="G480" t="inlineStr">
        <is>
          <t>1</t>
        </is>
      </c>
      <c r="H480" t="inlineStr">
        <is>
          <t>No</t>
        </is>
      </c>
      <c r="I480" t="inlineStr">
        <is>
          <t>No</t>
        </is>
      </c>
      <c r="J480" t="inlineStr">
        <is>
          <t>0</t>
        </is>
      </c>
      <c r="K480" t="inlineStr">
        <is>
          <t>Ishida, Takeshi, 1923-</t>
        </is>
      </c>
      <c r="L480" t="inlineStr">
        <is>
          <t>New Brunswick, N.J. : Transaction Books, c1983.</t>
        </is>
      </c>
      <c r="M480" t="inlineStr">
        <is>
          <t>1983</t>
        </is>
      </c>
      <c r="O480" t="inlineStr">
        <is>
          <t>eng</t>
        </is>
      </c>
      <c r="P480" t="inlineStr">
        <is>
          <t>nju</t>
        </is>
      </c>
      <c r="R480" t="inlineStr">
        <is>
          <t xml:space="preserve">HN </t>
        </is>
      </c>
      <c r="S480" t="n">
        <v>4</v>
      </c>
      <c r="T480" t="n">
        <v>4</v>
      </c>
      <c r="U480" t="inlineStr">
        <is>
          <t>2003-03-18</t>
        </is>
      </c>
      <c r="V480" t="inlineStr">
        <is>
          <t>2003-03-18</t>
        </is>
      </c>
      <c r="W480" t="inlineStr">
        <is>
          <t>1992-10-14</t>
        </is>
      </c>
      <c r="X480" t="inlineStr">
        <is>
          <t>1992-10-14</t>
        </is>
      </c>
      <c r="Y480" t="n">
        <v>415</v>
      </c>
      <c r="Z480" t="n">
        <v>309</v>
      </c>
      <c r="AA480" t="n">
        <v>384</v>
      </c>
      <c r="AB480" t="n">
        <v>4</v>
      </c>
      <c r="AC480" t="n">
        <v>4</v>
      </c>
      <c r="AD480" t="n">
        <v>13</v>
      </c>
      <c r="AE480" t="n">
        <v>18</v>
      </c>
      <c r="AF480" t="n">
        <v>3</v>
      </c>
      <c r="AG480" t="n">
        <v>6</v>
      </c>
      <c r="AH480" t="n">
        <v>2</v>
      </c>
      <c r="AI480" t="n">
        <v>4</v>
      </c>
      <c r="AJ480" t="n">
        <v>8</v>
      </c>
      <c r="AK480" t="n">
        <v>11</v>
      </c>
      <c r="AL480" t="n">
        <v>3</v>
      </c>
      <c r="AM480" t="n">
        <v>3</v>
      </c>
      <c r="AN480" t="n">
        <v>0</v>
      </c>
      <c r="AO480" t="n">
        <v>0</v>
      </c>
      <c r="AP480" t="inlineStr">
        <is>
          <t>No</t>
        </is>
      </c>
      <c r="AQ480" t="inlineStr">
        <is>
          <t>No</t>
        </is>
      </c>
      <c r="AS480">
        <f>HYPERLINK("https://creighton-primo.hosted.exlibrisgroup.com/primo-explore/search?tab=default_tab&amp;search_scope=EVERYTHING&amp;vid=01CRU&amp;lang=en_US&amp;offset=0&amp;query=any,contains,991000027969702656","Catalog Record")</f>
        <v/>
      </c>
      <c r="AT480">
        <f>HYPERLINK("http://www.worldcat.org/oclc/8590345","WorldCat Record")</f>
        <v/>
      </c>
      <c r="AU480" t="inlineStr">
        <is>
          <t>22696984:eng</t>
        </is>
      </c>
      <c r="AV480" t="inlineStr">
        <is>
          <t>8590345</t>
        </is>
      </c>
      <c r="AW480" t="inlineStr">
        <is>
          <t>991000027969702656</t>
        </is>
      </c>
      <c r="AX480" t="inlineStr">
        <is>
          <t>991000027969702656</t>
        </is>
      </c>
      <c r="AY480" t="inlineStr">
        <is>
          <t>2272035520002656</t>
        </is>
      </c>
      <c r="AZ480" t="inlineStr">
        <is>
          <t>BOOK</t>
        </is>
      </c>
      <c r="BB480" t="inlineStr">
        <is>
          <t>9780878554652</t>
        </is>
      </c>
      <c r="BC480" t="inlineStr">
        <is>
          <t>32285001357713</t>
        </is>
      </c>
      <c r="BD480" t="inlineStr">
        <is>
          <t>893242912</t>
        </is>
      </c>
    </row>
    <row r="481">
      <c r="A481" t="inlineStr">
        <is>
          <t>No</t>
        </is>
      </c>
      <c r="B481" t="inlineStr">
        <is>
          <t>HN723 .M29</t>
        </is>
      </c>
      <c r="C481" t="inlineStr">
        <is>
          <t>0                      HN 0723000M  29</t>
        </is>
      </c>
      <c r="D481" t="inlineStr">
        <is>
          <t>The modern Samurai society : duty and dependence in contemporary Japan / Mitsuyuki Masatsugu.</t>
        </is>
      </c>
      <c r="F481" t="inlineStr">
        <is>
          <t>No</t>
        </is>
      </c>
      <c r="G481" t="inlineStr">
        <is>
          <t>1</t>
        </is>
      </c>
      <c r="H481" t="inlineStr">
        <is>
          <t>No</t>
        </is>
      </c>
      <c r="I481" t="inlineStr">
        <is>
          <t>No</t>
        </is>
      </c>
      <c r="J481" t="inlineStr">
        <is>
          <t>0</t>
        </is>
      </c>
      <c r="K481" t="inlineStr">
        <is>
          <t>Masatsugu, Mitsuyuki.</t>
        </is>
      </c>
      <c r="L481" t="inlineStr">
        <is>
          <t>New York, N.Y. : American Management Associations, AMACOM, c1982.</t>
        </is>
      </c>
      <c r="M481" t="inlineStr">
        <is>
          <t>1982</t>
        </is>
      </c>
      <c r="O481" t="inlineStr">
        <is>
          <t>eng</t>
        </is>
      </c>
      <c r="P481" t="inlineStr">
        <is>
          <t>nyu</t>
        </is>
      </c>
      <c r="R481" t="inlineStr">
        <is>
          <t xml:space="preserve">HN </t>
        </is>
      </c>
      <c r="S481" t="n">
        <v>12</v>
      </c>
      <c r="T481" t="n">
        <v>12</v>
      </c>
      <c r="U481" t="inlineStr">
        <is>
          <t>2004-12-01</t>
        </is>
      </c>
      <c r="V481" t="inlineStr">
        <is>
          <t>2004-12-01</t>
        </is>
      </c>
      <c r="W481" t="inlineStr">
        <is>
          <t>1990-03-27</t>
        </is>
      </c>
      <c r="X481" t="inlineStr">
        <is>
          <t>1990-03-27</t>
        </is>
      </c>
      <c r="Y481" t="n">
        <v>548</v>
      </c>
      <c r="Z481" t="n">
        <v>479</v>
      </c>
      <c r="AA481" t="n">
        <v>484</v>
      </c>
      <c r="AB481" t="n">
        <v>3</v>
      </c>
      <c r="AC481" t="n">
        <v>3</v>
      </c>
      <c r="AD481" t="n">
        <v>20</v>
      </c>
      <c r="AE481" t="n">
        <v>20</v>
      </c>
      <c r="AF481" t="n">
        <v>7</v>
      </c>
      <c r="AG481" t="n">
        <v>7</v>
      </c>
      <c r="AH481" t="n">
        <v>4</v>
      </c>
      <c r="AI481" t="n">
        <v>4</v>
      </c>
      <c r="AJ481" t="n">
        <v>13</v>
      </c>
      <c r="AK481" t="n">
        <v>13</v>
      </c>
      <c r="AL481" t="n">
        <v>2</v>
      </c>
      <c r="AM481" t="n">
        <v>2</v>
      </c>
      <c r="AN481" t="n">
        <v>0</v>
      </c>
      <c r="AO481" t="n">
        <v>0</v>
      </c>
      <c r="AP481" t="inlineStr">
        <is>
          <t>No</t>
        </is>
      </c>
      <c r="AQ481" t="inlineStr">
        <is>
          <t>No</t>
        </is>
      </c>
      <c r="AS481">
        <f>HYPERLINK("https://creighton-primo.hosted.exlibrisgroup.com/primo-explore/search?tab=default_tab&amp;search_scope=EVERYTHING&amp;vid=01CRU&amp;lang=en_US&amp;offset=0&amp;query=any,contains,991005225299702656","Catalog Record")</f>
        <v/>
      </c>
      <c r="AT481">
        <f>HYPERLINK("http://www.worldcat.org/oclc/8281349","WorldCat Record")</f>
        <v/>
      </c>
      <c r="AU481" t="inlineStr">
        <is>
          <t>21012238:eng</t>
        </is>
      </c>
      <c r="AV481" t="inlineStr">
        <is>
          <t>8281349</t>
        </is>
      </c>
      <c r="AW481" t="inlineStr">
        <is>
          <t>991005225299702656</t>
        </is>
      </c>
      <c r="AX481" t="inlineStr">
        <is>
          <t>991005225299702656</t>
        </is>
      </c>
      <c r="AY481" t="inlineStr">
        <is>
          <t>2266866440002656</t>
        </is>
      </c>
      <c r="AZ481" t="inlineStr">
        <is>
          <t>BOOK</t>
        </is>
      </c>
      <c r="BB481" t="inlineStr">
        <is>
          <t>9780814457306</t>
        </is>
      </c>
      <c r="BC481" t="inlineStr">
        <is>
          <t>32285000097492</t>
        </is>
      </c>
      <c r="BD481" t="inlineStr">
        <is>
          <t>893431080</t>
        </is>
      </c>
    </row>
    <row r="482">
      <c r="A482" t="inlineStr">
        <is>
          <t>No</t>
        </is>
      </c>
      <c r="B482" t="inlineStr">
        <is>
          <t>HN723 .N31513 1972</t>
        </is>
      </c>
      <c r="C482" t="inlineStr">
        <is>
          <t>0                      HN 0723000N  31513       1972</t>
        </is>
      </c>
      <c r="D482" t="inlineStr">
        <is>
          <t>Japanese society / Chie Nakane.</t>
        </is>
      </c>
      <c r="F482" t="inlineStr">
        <is>
          <t>No</t>
        </is>
      </c>
      <c r="G482" t="inlineStr">
        <is>
          <t>1</t>
        </is>
      </c>
      <c r="H482" t="inlineStr">
        <is>
          <t>No</t>
        </is>
      </c>
      <c r="I482" t="inlineStr">
        <is>
          <t>No</t>
        </is>
      </c>
      <c r="J482" t="inlineStr">
        <is>
          <t>0</t>
        </is>
      </c>
      <c r="K482" t="inlineStr">
        <is>
          <t>Nakane, Chie, 1926-</t>
        </is>
      </c>
      <c r="L482" t="inlineStr">
        <is>
          <t>Berkeley : University of California Press, 1972, c1970.</t>
        </is>
      </c>
      <c r="M482" t="inlineStr">
        <is>
          <t>1972</t>
        </is>
      </c>
      <c r="N482" t="inlineStr">
        <is>
          <t>1st pbk. ed.</t>
        </is>
      </c>
      <c r="O482" t="inlineStr">
        <is>
          <t>eng</t>
        </is>
      </c>
      <c r="P482" t="inlineStr">
        <is>
          <t>cau</t>
        </is>
      </c>
      <c r="R482" t="inlineStr">
        <is>
          <t xml:space="preserve">HN </t>
        </is>
      </c>
      <c r="S482" t="n">
        <v>7</v>
      </c>
      <c r="T482" t="n">
        <v>7</v>
      </c>
      <c r="U482" t="inlineStr">
        <is>
          <t>2005-10-06</t>
        </is>
      </c>
      <c r="V482" t="inlineStr">
        <is>
          <t>2005-10-06</t>
        </is>
      </c>
      <c r="W482" t="inlineStr">
        <is>
          <t>2003-03-03</t>
        </is>
      </c>
      <c r="X482" t="inlineStr">
        <is>
          <t>2003-03-03</t>
        </is>
      </c>
      <c r="Y482" t="n">
        <v>328</v>
      </c>
      <c r="Z482" t="n">
        <v>260</v>
      </c>
      <c r="AA482" t="n">
        <v>1076</v>
      </c>
      <c r="AB482" t="n">
        <v>3</v>
      </c>
      <c r="AC482" t="n">
        <v>6</v>
      </c>
      <c r="AD482" t="n">
        <v>11</v>
      </c>
      <c r="AE482" t="n">
        <v>48</v>
      </c>
      <c r="AF482" t="n">
        <v>8</v>
      </c>
      <c r="AG482" t="n">
        <v>22</v>
      </c>
      <c r="AH482" t="n">
        <v>2</v>
      </c>
      <c r="AI482" t="n">
        <v>11</v>
      </c>
      <c r="AJ482" t="n">
        <v>2</v>
      </c>
      <c r="AK482" t="n">
        <v>23</v>
      </c>
      <c r="AL482" t="n">
        <v>2</v>
      </c>
      <c r="AM482" t="n">
        <v>5</v>
      </c>
      <c r="AN482" t="n">
        <v>0</v>
      </c>
      <c r="AO482" t="n">
        <v>1</v>
      </c>
      <c r="AP482" t="inlineStr">
        <is>
          <t>No</t>
        </is>
      </c>
      <c r="AQ482" t="inlineStr">
        <is>
          <t>No</t>
        </is>
      </c>
      <c r="AS482">
        <f>HYPERLINK("https://creighton-primo.hosted.exlibrisgroup.com/primo-explore/search?tab=default_tab&amp;search_scope=EVERYTHING&amp;vid=01CRU&amp;lang=en_US&amp;offset=0&amp;query=any,contains,991003998259702656","Catalog Record")</f>
        <v/>
      </c>
      <c r="AT482">
        <f>HYPERLINK("http://www.worldcat.org/oclc/11249169","WorldCat Record")</f>
        <v/>
      </c>
      <c r="AU482" t="inlineStr">
        <is>
          <t>29317904:eng</t>
        </is>
      </c>
      <c r="AV482" t="inlineStr">
        <is>
          <t>11249169</t>
        </is>
      </c>
      <c r="AW482" t="inlineStr">
        <is>
          <t>991003998259702656</t>
        </is>
      </c>
      <c r="AX482" t="inlineStr">
        <is>
          <t>991003998259702656</t>
        </is>
      </c>
      <c r="AY482" t="inlineStr">
        <is>
          <t>2255268620002656</t>
        </is>
      </c>
      <c r="AZ482" t="inlineStr">
        <is>
          <t>BOOK</t>
        </is>
      </c>
      <c r="BB482" t="inlineStr">
        <is>
          <t>9780520016422</t>
        </is>
      </c>
      <c r="BC482" t="inlineStr">
        <is>
          <t>32285004682018</t>
        </is>
      </c>
      <c r="BD482" t="inlineStr">
        <is>
          <t>893343343</t>
        </is>
      </c>
    </row>
    <row r="483">
      <c r="A483" t="inlineStr">
        <is>
          <t>No</t>
        </is>
      </c>
      <c r="B483" t="inlineStr">
        <is>
          <t>HN723 .T486 2008</t>
        </is>
      </c>
      <c r="C483" t="inlineStr">
        <is>
          <t>0                      HN 0723000T  486         2008</t>
        </is>
      </c>
      <c r="D483" t="inlineStr">
        <is>
          <t>Modern Japan : a social and political history / Elise K. Tipton.</t>
        </is>
      </c>
      <c r="F483" t="inlineStr">
        <is>
          <t>No</t>
        </is>
      </c>
      <c r="G483" t="inlineStr">
        <is>
          <t>1</t>
        </is>
      </c>
      <c r="H483" t="inlineStr">
        <is>
          <t>No</t>
        </is>
      </c>
      <c r="I483" t="inlineStr">
        <is>
          <t>No</t>
        </is>
      </c>
      <c r="J483" t="inlineStr">
        <is>
          <t>0</t>
        </is>
      </c>
      <c r="K483" t="inlineStr">
        <is>
          <t>Tipton, Elise K.</t>
        </is>
      </c>
      <c r="L483" t="inlineStr">
        <is>
          <t>London ; New York : Routledge, 2008.</t>
        </is>
      </c>
      <c r="M483" t="inlineStr">
        <is>
          <t>2008</t>
        </is>
      </c>
      <c r="N483" t="inlineStr">
        <is>
          <t>2nd ed.</t>
        </is>
      </c>
      <c r="O483" t="inlineStr">
        <is>
          <t>eng</t>
        </is>
      </c>
      <c r="P483" t="inlineStr">
        <is>
          <t>enk</t>
        </is>
      </c>
      <c r="Q483" t="inlineStr">
        <is>
          <t>The Nissan Institute/Routledge Japanese studies series</t>
        </is>
      </c>
      <c r="R483" t="inlineStr">
        <is>
          <t xml:space="preserve">HN </t>
        </is>
      </c>
      <c r="S483" t="n">
        <v>1</v>
      </c>
      <c r="T483" t="n">
        <v>1</v>
      </c>
      <c r="U483" t="inlineStr">
        <is>
          <t>2008-10-28</t>
        </is>
      </c>
      <c r="V483" t="inlineStr">
        <is>
          <t>2008-10-28</t>
        </is>
      </c>
      <c r="W483" t="inlineStr">
        <is>
          <t>2008-10-28</t>
        </is>
      </c>
      <c r="X483" t="inlineStr">
        <is>
          <t>2008-10-28</t>
        </is>
      </c>
      <c r="Y483" t="n">
        <v>238</v>
      </c>
      <c r="Z483" t="n">
        <v>127</v>
      </c>
      <c r="AA483" t="n">
        <v>858</v>
      </c>
      <c r="AB483" t="n">
        <v>1</v>
      </c>
      <c r="AC483" t="n">
        <v>29</v>
      </c>
      <c r="AD483" t="n">
        <v>4</v>
      </c>
      <c r="AE483" t="n">
        <v>30</v>
      </c>
      <c r="AF483" t="n">
        <v>1</v>
      </c>
      <c r="AG483" t="n">
        <v>10</v>
      </c>
      <c r="AH483" t="n">
        <v>2</v>
      </c>
      <c r="AI483" t="n">
        <v>4</v>
      </c>
      <c r="AJ483" t="n">
        <v>4</v>
      </c>
      <c r="AK483" t="n">
        <v>11</v>
      </c>
      <c r="AL483" t="n">
        <v>0</v>
      </c>
      <c r="AM483" t="n">
        <v>13</v>
      </c>
      <c r="AN483" t="n">
        <v>0</v>
      </c>
      <c r="AO483" t="n">
        <v>0</v>
      </c>
      <c r="AP483" t="inlineStr">
        <is>
          <t>No</t>
        </is>
      </c>
      <c r="AQ483" t="inlineStr">
        <is>
          <t>No</t>
        </is>
      </c>
      <c r="AS483">
        <f>HYPERLINK("https://creighton-primo.hosted.exlibrisgroup.com/primo-explore/search?tab=default_tab&amp;search_scope=EVERYTHING&amp;vid=01CRU&amp;lang=en_US&amp;offset=0&amp;query=any,contains,991005273459702656","Catalog Record")</f>
        <v/>
      </c>
      <c r="AT483">
        <f>HYPERLINK("http://www.worldcat.org/oclc/173640906","WorldCat Record")</f>
        <v/>
      </c>
      <c r="AU483" t="inlineStr">
        <is>
          <t>793868228:eng</t>
        </is>
      </c>
      <c r="AV483" t="inlineStr">
        <is>
          <t>173640906</t>
        </is>
      </c>
      <c r="AW483" t="inlineStr">
        <is>
          <t>991005273459702656</t>
        </is>
      </c>
      <c r="AX483" t="inlineStr">
        <is>
          <t>991005273459702656</t>
        </is>
      </c>
      <c r="AY483" t="inlineStr">
        <is>
          <t>2265286750002656</t>
        </is>
      </c>
      <c r="AZ483" t="inlineStr">
        <is>
          <t>BOOK</t>
        </is>
      </c>
      <c r="BB483" t="inlineStr">
        <is>
          <t>9780203928851</t>
        </is>
      </c>
      <c r="BC483" t="inlineStr">
        <is>
          <t>32285005464903</t>
        </is>
      </c>
      <c r="BD483" t="inlineStr">
        <is>
          <t>893619723</t>
        </is>
      </c>
    </row>
    <row r="484">
      <c r="A484" t="inlineStr">
        <is>
          <t>No</t>
        </is>
      </c>
      <c r="B484" t="inlineStr">
        <is>
          <t>HN723 .T75</t>
        </is>
      </c>
      <c r="C484" t="inlineStr">
        <is>
          <t>0                      HN 0723000T  75</t>
        </is>
      </c>
      <c r="D484" t="inlineStr">
        <is>
          <t>Social change and the individual; Japan before and after defeat in World War II.</t>
        </is>
      </c>
      <c r="F484" t="inlineStr">
        <is>
          <t>No</t>
        </is>
      </c>
      <c r="G484" t="inlineStr">
        <is>
          <t>1</t>
        </is>
      </c>
      <c r="H484" t="inlineStr">
        <is>
          <t>No</t>
        </is>
      </c>
      <c r="I484" t="inlineStr">
        <is>
          <t>No</t>
        </is>
      </c>
      <c r="J484" t="inlineStr">
        <is>
          <t>0</t>
        </is>
      </c>
      <c r="K484" t="inlineStr">
        <is>
          <t>Tsurumi, Kazuko, 1918-2006.</t>
        </is>
      </c>
      <c r="L484" t="inlineStr">
        <is>
          <t>Princeton, N.J., Princeton University Press, 1970.</t>
        </is>
      </c>
      <c r="M484" t="inlineStr">
        <is>
          <t>1970</t>
        </is>
      </c>
      <c r="O484" t="inlineStr">
        <is>
          <t>eng</t>
        </is>
      </c>
      <c r="P484" t="inlineStr">
        <is>
          <t>nju</t>
        </is>
      </c>
      <c r="R484" t="inlineStr">
        <is>
          <t xml:space="preserve">HN </t>
        </is>
      </c>
      <c r="S484" t="n">
        <v>13</v>
      </c>
      <c r="T484" t="n">
        <v>13</v>
      </c>
      <c r="U484" t="inlineStr">
        <is>
          <t>2003-03-18</t>
        </is>
      </c>
      <c r="V484" t="inlineStr">
        <is>
          <t>2003-03-18</t>
        </is>
      </c>
      <c r="W484" t="inlineStr">
        <is>
          <t>1992-02-26</t>
        </is>
      </c>
      <c r="X484" t="inlineStr">
        <is>
          <t>1992-02-26</t>
        </is>
      </c>
      <c r="Y484" t="n">
        <v>678</v>
      </c>
      <c r="Z484" t="n">
        <v>531</v>
      </c>
      <c r="AA484" t="n">
        <v>734</v>
      </c>
      <c r="AB484" t="n">
        <v>5</v>
      </c>
      <c r="AC484" t="n">
        <v>7</v>
      </c>
      <c r="AD484" t="n">
        <v>21</v>
      </c>
      <c r="AE484" t="n">
        <v>32</v>
      </c>
      <c r="AF484" t="n">
        <v>6</v>
      </c>
      <c r="AG484" t="n">
        <v>14</v>
      </c>
      <c r="AH484" t="n">
        <v>6</v>
      </c>
      <c r="AI484" t="n">
        <v>9</v>
      </c>
      <c r="AJ484" t="n">
        <v>10</v>
      </c>
      <c r="AK484" t="n">
        <v>13</v>
      </c>
      <c r="AL484" t="n">
        <v>4</v>
      </c>
      <c r="AM484" t="n">
        <v>5</v>
      </c>
      <c r="AN484" t="n">
        <v>0</v>
      </c>
      <c r="AO484" t="n">
        <v>0</v>
      </c>
      <c r="AP484" t="inlineStr">
        <is>
          <t>No</t>
        </is>
      </c>
      <c r="AQ484" t="inlineStr">
        <is>
          <t>No</t>
        </is>
      </c>
      <c r="AS484">
        <f>HYPERLINK("https://creighton-primo.hosted.exlibrisgroup.com/primo-explore/search?tab=default_tab&amp;search_scope=EVERYTHING&amp;vid=01CRU&amp;lang=en_US&amp;offset=0&amp;query=any,contains,991000475219702656","Catalog Record")</f>
        <v/>
      </c>
      <c r="AT484">
        <f>HYPERLINK("http://www.worldcat.org/oclc/79399","WorldCat Record")</f>
        <v/>
      </c>
      <c r="AU484" t="inlineStr">
        <is>
          <t>500524785:eng</t>
        </is>
      </c>
      <c r="AV484" t="inlineStr">
        <is>
          <t>79399</t>
        </is>
      </c>
      <c r="AW484" t="inlineStr">
        <is>
          <t>991000475219702656</t>
        </is>
      </c>
      <c r="AX484" t="inlineStr">
        <is>
          <t>991000475219702656</t>
        </is>
      </c>
      <c r="AY484" t="inlineStr">
        <is>
          <t>2257851300002656</t>
        </is>
      </c>
      <c r="AZ484" t="inlineStr">
        <is>
          <t>BOOK</t>
        </is>
      </c>
      <c r="BB484" t="inlineStr">
        <is>
          <t>9780691093475</t>
        </is>
      </c>
      <c r="BC484" t="inlineStr">
        <is>
          <t>32285000948959</t>
        </is>
      </c>
      <c r="BD484" t="inlineStr">
        <is>
          <t>893231136</t>
        </is>
      </c>
    </row>
    <row r="485">
      <c r="A485" t="inlineStr">
        <is>
          <t>No</t>
        </is>
      </c>
      <c r="B485" t="inlineStr">
        <is>
          <t>HN723.5 .F79913 1981</t>
        </is>
      </c>
      <c r="C485" t="inlineStr">
        <is>
          <t>0                      HN 0723500F  79913       1981</t>
        </is>
      </c>
      <c r="D485" t="inlineStr">
        <is>
          <t>Japanese society today / Tadashi Fukutake.</t>
        </is>
      </c>
      <c r="F485" t="inlineStr">
        <is>
          <t>No</t>
        </is>
      </c>
      <c r="G485" t="inlineStr">
        <is>
          <t>1</t>
        </is>
      </c>
      <c r="H485" t="inlineStr">
        <is>
          <t>No</t>
        </is>
      </c>
      <c r="I485" t="inlineStr">
        <is>
          <t>No</t>
        </is>
      </c>
      <c r="J485" t="inlineStr">
        <is>
          <t>0</t>
        </is>
      </c>
      <c r="K485" t="inlineStr">
        <is>
          <t>Fukutake, Tadashi, 1917-1989.</t>
        </is>
      </c>
      <c r="L485" t="inlineStr">
        <is>
          <t>[Tokyo] : University of Tokyo Press, 1981.</t>
        </is>
      </c>
      <c r="M485" t="inlineStr">
        <is>
          <t>1981</t>
        </is>
      </c>
      <c r="N485" t="inlineStr">
        <is>
          <t>2nd ed.</t>
        </is>
      </c>
      <c r="O485" t="inlineStr">
        <is>
          <t>eng</t>
        </is>
      </c>
      <c r="P485" t="inlineStr">
        <is>
          <t xml:space="preserve">ja </t>
        </is>
      </c>
      <c r="R485" t="inlineStr">
        <is>
          <t xml:space="preserve">HN </t>
        </is>
      </c>
      <c r="S485" t="n">
        <v>8</v>
      </c>
      <c r="T485" t="n">
        <v>8</v>
      </c>
      <c r="U485" t="inlineStr">
        <is>
          <t>2003-03-18</t>
        </is>
      </c>
      <c r="V485" t="inlineStr">
        <is>
          <t>2003-03-18</t>
        </is>
      </c>
      <c r="W485" t="inlineStr">
        <is>
          <t>1990-03-27</t>
        </is>
      </c>
      <c r="X485" t="inlineStr">
        <is>
          <t>1990-03-27</t>
        </is>
      </c>
      <c r="Y485" t="n">
        <v>372</v>
      </c>
      <c r="Z485" t="n">
        <v>285</v>
      </c>
      <c r="AA485" t="n">
        <v>502</v>
      </c>
      <c r="AB485" t="n">
        <v>3</v>
      </c>
      <c r="AC485" t="n">
        <v>3</v>
      </c>
      <c r="AD485" t="n">
        <v>16</v>
      </c>
      <c r="AE485" t="n">
        <v>21</v>
      </c>
      <c r="AF485" t="n">
        <v>5</v>
      </c>
      <c r="AG485" t="n">
        <v>7</v>
      </c>
      <c r="AH485" t="n">
        <v>7</v>
      </c>
      <c r="AI485" t="n">
        <v>7</v>
      </c>
      <c r="AJ485" t="n">
        <v>8</v>
      </c>
      <c r="AK485" t="n">
        <v>12</v>
      </c>
      <c r="AL485" t="n">
        <v>2</v>
      </c>
      <c r="AM485" t="n">
        <v>2</v>
      </c>
      <c r="AN485" t="n">
        <v>0</v>
      </c>
      <c r="AO485" t="n">
        <v>0</v>
      </c>
      <c r="AP485" t="inlineStr">
        <is>
          <t>No</t>
        </is>
      </c>
      <c r="AQ485" t="inlineStr">
        <is>
          <t>Yes</t>
        </is>
      </c>
      <c r="AR485">
        <f>HYPERLINK("http://catalog.hathitrust.org/Record/000290078","HathiTrust Record")</f>
        <v/>
      </c>
      <c r="AS485">
        <f>HYPERLINK("https://creighton-primo.hosted.exlibrisgroup.com/primo-explore/search?tab=default_tab&amp;search_scope=EVERYTHING&amp;vid=01CRU&amp;lang=en_US&amp;offset=0&amp;query=any,contains,991005221979702656","Catalog Record")</f>
        <v/>
      </c>
      <c r="AT485">
        <f>HYPERLINK("http://www.worldcat.org/oclc/8233148","WorldCat Record")</f>
        <v/>
      </c>
      <c r="AU485" t="inlineStr">
        <is>
          <t>3901024416:eng</t>
        </is>
      </c>
      <c r="AV485" t="inlineStr">
        <is>
          <t>8233148</t>
        </is>
      </c>
      <c r="AW485" t="inlineStr">
        <is>
          <t>991005221979702656</t>
        </is>
      </c>
      <c r="AX485" t="inlineStr">
        <is>
          <t>991005221979702656</t>
        </is>
      </c>
      <c r="AY485" t="inlineStr">
        <is>
          <t>2268703210002656</t>
        </is>
      </c>
      <c r="AZ485" t="inlineStr">
        <is>
          <t>BOOK</t>
        </is>
      </c>
      <c r="BB485" t="inlineStr">
        <is>
          <t>9780860082910</t>
        </is>
      </c>
      <c r="BC485" t="inlineStr">
        <is>
          <t>32285000097500</t>
        </is>
      </c>
      <c r="BD485" t="inlineStr">
        <is>
          <t>893905316</t>
        </is>
      </c>
    </row>
    <row r="486">
      <c r="A486" t="inlineStr">
        <is>
          <t>No</t>
        </is>
      </c>
      <c r="B486" t="inlineStr">
        <is>
          <t>HN723.5 .H46 1995</t>
        </is>
      </c>
      <c r="C486" t="inlineStr">
        <is>
          <t>0                      HN 0723500H  46          1995</t>
        </is>
      </c>
      <c r="D486" t="inlineStr">
        <is>
          <t>Understanding Japanese society / Joy Hendry.</t>
        </is>
      </c>
      <c r="F486" t="inlineStr">
        <is>
          <t>No</t>
        </is>
      </c>
      <c r="G486" t="inlineStr">
        <is>
          <t>1</t>
        </is>
      </c>
      <c r="H486" t="inlineStr">
        <is>
          <t>No</t>
        </is>
      </c>
      <c r="I486" t="inlineStr">
        <is>
          <t>No</t>
        </is>
      </c>
      <c r="J486" t="inlineStr">
        <is>
          <t>0</t>
        </is>
      </c>
      <c r="K486" t="inlineStr">
        <is>
          <t>Hendry, Joy.</t>
        </is>
      </c>
      <c r="L486" t="inlineStr">
        <is>
          <t>London ; New York : Routledge, 1995.</t>
        </is>
      </c>
      <c r="M486" t="inlineStr">
        <is>
          <t>1995</t>
        </is>
      </c>
      <c r="N486" t="inlineStr">
        <is>
          <t>2nd ed.</t>
        </is>
      </c>
      <c r="O486" t="inlineStr">
        <is>
          <t>eng</t>
        </is>
      </c>
      <c r="P486" t="inlineStr">
        <is>
          <t>enk</t>
        </is>
      </c>
      <c r="Q486" t="inlineStr">
        <is>
          <t>Nissan Institute/Routledge Japanese studies series</t>
        </is>
      </c>
      <c r="R486" t="inlineStr">
        <is>
          <t xml:space="preserve">HN </t>
        </is>
      </c>
      <c r="S486" t="n">
        <v>3</v>
      </c>
      <c r="T486" t="n">
        <v>3</v>
      </c>
      <c r="U486" t="inlineStr">
        <is>
          <t>2005-10-06</t>
        </is>
      </c>
      <c r="V486" t="inlineStr">
        <is>
          <t>2005-10-06</t>
        </is>
      </c>
      <c r="W486" t="inlineStr">
        <is>
          <t>2002-11-19</t>
        </is>
      </c>
      <c r="X486" t="inlineStr">
        <is>
          <t>2002-11-19</t>
        </is>
      </c>
      <c r="Y486" t="n">
        <v>497</v>
      </c>
      <c r="Z486" t="n">
        <v>319</v>
      </c>
      <c r="AA486" t="n">
        <v>854</v>
      </c>
      <c r="AB486" t="n">
        <v>5</v>
      </c>
      <c r="AC486" t="n">
        <v>9</v>
      </c>
      <c r="AD486" t="n">
        <v>20</v>
      </c>
      <c r="AE486" t="n">
        <v>37</v>
      </c>
      <c r="AF486" t="n">
        <v>10</v>
      </c>
      <c r="AG486" t="n">
        <v>14</v>
      </c>
      <c r="AH486" t="n">
        <v>4</v>
      </c>
      <c r="AI486" t="n">
        <v>9</v>
      </c>
      <c r="AJ486" t="n">
        <v>8</v>
      </c>
      <c r="AK486" t="n">
        <v>16</v>
      </c>
      <c r="AL486" t="n">
        <v>4</v>
      </c>
      <c r="AM486" t="n">
        <v>8</v>
      </c>
      <c r="AN486" t="n">
        <v>0</v>
      </c>
      <c r="AO486" t="n">
        <v>0</v>
      </c>
      <c r="AP486" t="inlineStr">
        <is>
          <t>No</t>
        </is>
      </c>
      <c r="AQ486" t="inlineStr">
        <is>
          <t>No</t>
        </is>
      </c>
      <c r="AS486">
        <f>HYPERLINK("https://creighton-primo.hosted.exlibrisgroup.com/primo-explore/search?tab=default_tab&amp;search_scope=EVERYTHING&amp;vid=01CRU&amp;lang=en_US&amp;offset=0&amp;query=any,contains,991003947079702656","Catalog Record")</f>
        <v/>
      </c>
      <c r="AT486">
        <f>HYPERLINK("http://www.worldcat.org/oclc/31610117","WorldCat Record")</f>
        <v/>
      </c>
      <c r="AU486" t="inlineStr">
        <is>
          <t>692533:eng</t>
        </is>
      </c>
      <c r="AV486" t="inlineStr">
        <is>
          <t>31610117</t>
        </is>
      </c>
      <c r="AW486" t="inlineStr">
        <is>
          <t>991003947079702656</t>
        </is>
      </c>
      <c r="AX486" t="inlineStr">
        <is>
          <t>991003947079702656</t>
        </is>
      </c>
      <c r="AY486" t="inlineStr">
        <is>
          <t>2258702550002656</t>
        </is>
      </c>
      <c r="AZ486" t="inlineStr">
        <is>
          <t>BOOK</t>
        </is>
      </c>
      <c r="BB486" t="inlineStr">
        <is>
          <t>9780415102599</t>
        </is>
      </c>
      <c r="BC486" t="inlineStr">
        <is>
          <t>32285004664719</t>
        </is>
      </c>
      <c r="BD486" t="inlineStr">
        <is>
          <t>893722184</t>
        </is>
      </c>
    </row>
    <row r="487">
      <c r="A487" t="inlineStr">
        <is>
          <t>No</t>
        </is>
      </c>
      <c r="B487" t="inlineStr">
        <is>
          <t>HN723.5 .T48 1989</t>
        </is>
      </c>
      <c r="C487" t="inlineStr">
        <is>
          <t>0                      HN 0723500T  48          1989</t>
        </is>
      </c>
      <c r="D487" t="inlineStr">
        <is>
          <t>Japan, the blighted blossom / Roy Thomas.</t>
        </is>
      </c>
      <c r="F487" t="inlineStr">
        <is>
          <t>No</t>
        </is>
      </c>
      <c r="G487" t="inlineStr">
        <is>
          <t>1</t>
        </is>
      </c>
      <c r="H487" t="inlineStr">
        <is>
          <t>No</t>
        </is>
      </c>
      <c r="I487" t="inlineStr">
        <is>
          <t>No</t>
        </is>
      </c>
      <c r="J487" t="inlineStr">
        <is>
          <t>0</t>
        </is>
      </c>
      <c r="K487" t="inlineStr">
        <is>
          <t>Thomas, Roy.</t>
        </is>
      </c>
      <c r="L487" t="inlineStr">
        <is>
          <t>Vancouver : New Star Books, 1989.</t>
        </is>
      </c>
      <c r="M487" t="inlineStr">
        <is>
          <t>1989</t>
        </is>
      </c>
      <c r="O487" t="inlineStr">
        <is>
          <t>eng</t>
        </is>
      </c>
      <c r="P487" t="inlineStr">
        <is>
          <t>bcc</t>
        </is>
      </c>
      <c r="R487" t="inlineStr">
        <is>
          <t xml:space="preserve">HN </t>
        </is>
      </c>
      <c r="S487" t="n">
        <v>3</v>
      </c>
      <c r="T487" t="n">
        <v>3</v>
      </c>
      <c r="U487" t="inlineStr">
        <is>
          <t>2003-03-18</t>
        </is>
      </c>
      <c r="V487" t="inlineStr">
        <is>
          <t>2003-03-18</t>
        </is>
      </c>
      <c r="W487" t="inlineStr">
        <is>
          <t>1990-03-19</t>
        </is>
      </c>
      <c r="X487" t="inlineStr">
        <is>
          <t>1990-03-19</t>
        </is>
      </c>
      <c r="Y487" t="n">
        <v>106</v>
      </c>
      <c r="Z487" t="n">
        <v>59</v>
      </c>
      <c r="AA487" t="n">
        <v>116</v>
      </c>
      <c r="AB487" t="n">
        <v>1</v>
      </c>
      <c r="AC487" t="n">
        <v>3</v>
      </c>
      <c r="AD487" t="n">
        <v>0</v>
      </c>
      <c r="AE487" t="n">
        <v>4</v>
      </c>
      <c r="AF487" t="n">
        <v>0</v>
      </c>
      <c r="AG487" t="n">
        <v>0</v>
      </c>
      <c r="AH487" t="n">
        <v>0</v>
      </c>
      <c r="AI487" t="n">
        <v>1</v>
      </c>
      <c r="AJ487" t="n">
        <v>0</v>
      </c>
      <c r="AK487" t="n">
        <v>2</v>
      </c>
      <c r="AL487" t="n">
        <v>0</v>
      </c>
      <c r="AM487" t="n">
        <v>2</v>
      </c>
      <c r="AN487" t="n">
        <v>0</v>
      </c>
      <c r="AO487" t="n">
        <v>0</v>
      </c>
      <c r="AP487" t="inlineStr">
        <is>
          <t>No</t>
        </is>
      </c>
      <c r="AQ487" t="inlineStr">
        <is>
          <t>No</t>
        </is>
      </c>
      <c r="AS487">
        <f>HYPERLINK("https://creighton-primo.hosted.exlibrisgroup.com/primo-explore/search?tab=default_tab&amp;search_scope=EVERYTHING&amp;vid=01CRU&amp;lang=en_US&amp;offset=0&amp;query=any,contains,991001457869702656","Catalog Record")</f>
        <v/>
      </c>
      <c r="AT487">
        <f>HYPERLINK("http://www.worldcat.org/oclc/21152955","WorldCat Record")</f>
        <v/>
      </c>
      <c r="AU487" t="inlineStr">
        <is>
          <t>201642669:eng</t>
        </is>
      </c>
      <c r="AV487" t="inlineStr">
        <is>
          <t>21152955</t>
        </is>
      </c>
      <c r="AW487" t="inlineStr">
        <is>
          <t>991001457869702656</t>
        </is>
      </c>
      <c r="AX487" t="inlineStr">
        <is>
          <t>991001457869702656</t>
        </is>
      </c>
      <c r="AY487" t="inlineStr">
        <is>
          <t>2256814360002656</t>
        </is>
      </c>
      <c r="AZ487" t="inlineStr">
        <is>
          <t>BOOK</t>
        </is>
      </c>
      <c r="BB487" t="inlineStr">
        <is>
          <t>9780919573864</t>
        </is>
      </c>
      <c r="BC487" t="inlineStr">
        <is>
          <t>32285000064286</t>
        </is>
      </c>
      <c r="BD487" t="inlineStr">
        <is>
          <t>893426614</t>
        </is>
      </c>
    </row>
    <row r="488">
      <c r="A488" t="inlineStr">
        <is>
          <t>No</t>
        </is>
      </c>
      <c r="B488" t="inlineStr">
        <is>
          <t>HN730.5.A8 K44</t>
        </is>
      </c>
      <c r="C488" t="inlineStr">
        <is>
          <t>0                      HN 0730500A  8                  K  44</t>
        </is>
      </c>
      <c r="D488" t="inlineStr">
        <is>
          <t>The Korean peasant at the crossroads : a study in attitudes / Willard D. Keim.</t>
        </is>
      </c>
      <c r="F488" t="inlineStr">
        <is>
          <t>No</t>
        </is>
      </c>
      <c r="G488" t="inlineStr">
        <is>
          <t>1</t>
        </is>
      </c>
      <c r="H488" t="inlineStr">
        <is>
          <t>No</t>
        </is>
      </c>
      <c r="I488" t="inlineStr">
        <is>
          <t>No</t>
        </is>
      </c>
      <c r="J488" t="inlineStr">
        <is>
          <t>0</t>
        </is>
      </c>
      <c r="K488" t="inlineStr">
        <is>
          <t>Keim, Willard D.</t>
        </is>
      </c>
      <c r="L488" t="inlineStr">
        <is>
          <t>Bellingham : Western Washington University, c1979.</t>
        </is>
      </c>
      <c r="M488" t="inlineStr">
        <is>
          <t>1979</t>
        </is>
      </c>
      <c r="O488" t="inlineStr">
        <is>
          <t>eng</t>
        </is>
      </c>
      <c r="P488" t="inlineStr">
        <is>
          <t xml:space="preserve">ko </t>
        </is>
      </c>
      <c r="Q488" t="inlineStr">
        <is>
          <t>Studies on East Asia ; v. 14</t>
        </is>
      </c>
      <c r="R488" t="inlineStr">
        <is>
          <t xml:space="preserve">HN </t>
        </is>
      </c>
      <c r="S488" t="n">
        <v>2</v>
      </c>
      <c r="T488" t="n">
        <v>2</v>
      </c>
      <c r="U488" t="inlineStr">
        <is>
          <t>1999-02-16</t>
        </is>
      </c>
      <c r="V488" t="inlineStr">
        <is>
          <t>1999-02-16</t>
        </is>
      </c>
      <c r="W488" t="inlineStr">
        <is>
          <t>1992-10-14</t>
        </is>
      </c>
      <c r="X488" t="inlineStr">
        <is>
          <t>1992-10-14</t>
        </is>
      </c>
      <c r="Y488" t="n">
        <v>97</v>
      </c>
      <c r="Z488" t="n">
        <v>74</v>
      </c>
      <c r="AA488" t="n">
        <v>79</v>
      </c>
      <c r="AB488" t="n">
        <v>1</v>
      </c>
      <c r="AC488" t="n">
        <v>1</v>
      </c>
      <c r="AD488" t="n">
        <v>1</v>
      </c>
      <c r="AE488" t="n">
        <v>1</v>
      </c>
      <c r="AF488" t="n">
        <v>0</v>
      </c>
      <c r="AG488" t="n">
        <v>0</v>
      </c>
      <c r="AH488" t="n">
        <v>1</v>
      </c>
      <c r="AI488" t="n">
        <v>1</v>
      </c>
      <c r="AJ488" t="n">
        <v>1</v>
      </c>
      <c r="AK488" t="n">
        <v>1</v>
      </c>
      <c r="AL488" t="n">
        <v>0</v>
      </c>
      <c r="AM488" t="n">
        <v>0</v>
      </c>
      <c r="AN488" t="n">
        <v>0</v>
      </c>
      <c r="AO488" t="n">
        <v>0</v>
      </c>
      <c r="AP488" t="inlineStr">
        <is>
          <t>No</t>
        </is>
      </c>
      <c r="AQ488" t="inlineStr">
        <is>
          <t>Yes</t>
        </is>
      </c>
      <c r="AR488">
        <f>HYPERLINK("http://catalog.hathitrust.org/Record/000728676","HathiTrust Record")</f>
        <v/>
      </c>
      <c r="AS488">
        <f>HYPERLINK("https://creighton-primo.hosted.exlibrisgroup.com/primo-explore/search?tab=default_tab&amp;search_scope=EVERYTHING&amp;vid=01CRU&amp;lang=en_US&amp;offset=0&amp;query=any,contains,991004715419702656","Catalog Record")</f>
        <v/>
      </c>
      <c r="AT488">
        <f>HYPERLINK("http://www.worldcat.org/oclc/4775811","WorldCat Record")</f>
        <v/>
      </c>
      <c r="AU488" t="inlineStr">
        <is>
          <t>256592802:eng</t>
        </is>
      </c>
      <c r="AV488" t="inlineStr">
        <is>
          <t>4775811</t>
        </is>
      </c>
      <c r="AW488" t="inlineStr">
        <is>
          <t>991004715419702656</t>
        </is>
      </c>
      <c r="AX488" t="inlineStr">
        <is>
          <t>991004715419702656</t>
        </is>
      </c>
      <c r="AY488" t="inlineStr">
        <is>
          <t>2255447740002656</t>
        </is>
      </c>
      <c r="AZ488" t="inlineStr">
        <is>
          <t>BOOK</t>
        </is>
      </c>
      <c r="BB488" t="inlineStr">
        <is>
          <t>9780914584148</t>
        </is>
      </c>
      <c r="BC488" t="inlineStr">
        <is>
          <t>32285001357788</t>
        </is>
      </c>
      <c r="BD488" t="inlineStr">
        <is>
          <t>893319558</t>
        </is>
      </c>
    </row>
    <row r="489">
      <c r="A489" t="inlineStr">
        <is>
          <t>No</t>
        </is>
      </c>
      <c r="B489" t="inlineStr">
        <is>
          <t>HN730.5.A8 K65 1982</t>
        </is>
      </c>
      <c r="C489" t="inlineStr">
        <is>
          <t>0                      HN 0730500A  8                  K  65          1982</t>
        </is>
      </c>
      <c r="D489" t="inlineStr">
        <is>
          <t>Korean society / edited by International Cultural Foundation, Chun Shin-yong, general editor.</t>
        </is>
      </c>
      <c r="F489" t="inlineStr">
        <is>
          <t>No</t>
        </is>
      </c>
      <c r="G489" t="inlineStr">
        <is>
          <t>1</t>
        </is>
      </c>
      <c r="H489" t="inlineStr">
        <is>
          <t>No</t>
        </is>
      </c>
      <c r="I489" t="inlineStr">
        <is>
          <t>No</t>
        </is>
      </c>
      <c r="J489" t="inlineStr">
        <is>
          <t>0</t>
        </is>
      </c>
      <c r="L489" t="inlineStr">
        <is>
          <t>Seoul, Korea : The Si-sa-yong-o-sa Pub., c1982.</t>
        </is>
      </c>
      <c r="M489" t="inlineStr">
        <is>
          <t>1982</t>
        </is>
      </c>
      <c r="O489" t="inlineStr">
        <is>
          <t>eng</t>
        </is>
      </c>
      <c r="P489" t="inlineStr">
        <is>
          <t xml:space="preserve">ko </t>
        </is>
      </c>
      <c r="Q489" t="inlineStr">
        <is>
          <t>Korean culture series ; 6</t>
        </is>
      </c>
      <c r="R489" t="inlineStr">
        <is>
          <t xml:space="preserve">HN </t>
        </is>
      </c>
      <c r="S489" t="n">
        <v>4</v>
      </c>
      <c r="T489" t="n">
        <v>4</v>
      </c>
      <c r="U489" t="inlineStr">
        <is>
          <t>1999-02-16</t>
        </is>
      </c>
      <c r="V489" t="inlineStr">
        <is>
          <t>1999-02-16</t>
        </is>
      </c>
      <c r="W489" t="inlineStr">
        <is>
          <t>1992-03-17</t>
        </is>
      </c>
      <c r="X489" t="inlineStr">
        <is>
          <t>1992-03-17</t>
        </is>
      </c>
      <c r="Y489" t="n">
        <v>91</v>
      </c>
      <c r="Z489" t="n">
        <v>72</v>
      </c>
      <c r="AA489" t="n">
        <v>75</v>
      </c>
      <c r="AB489" t="n">
        <v>1</v>
      </c>
      <c r="AC489" t="n">
        <v>1</v>
      </c>
      <c r="AD489" t="n">
        <v>4</v>
      </c>
      <c r="AE489" t="n">
        <v>4</v>
      </c>
      <c r="AF489" t="n">
        <v>2</v>
      </c>
      <c r="AG489" t="n">
        <v>2</v>
      </c>
      <c r="AH489" t="n">
        <v>0</v>
      </c>
      <c r="AI489" t="n">
        <v>0</v>
      </c>
      <c r="AJ489" t="n">
        <v>3</v>
      </c>
      <c r="AK489" t="n">
        <v>3</v>
      </c>
      <c r="AL489" t="n">
        <v>0</v>
      </c>
      <c r="AM489" t="n">
        <v>0</v>
      </c>
      <c r="AN489" t="n">
        <v>0</v>
      </c>
      <c r="AO489" t="n">
        <v>0</v>
      </c>
      <c r="AP489" t="inlineStr">
        <is>
          <t>No</t>
        </is>
      </c>
      <c r="AQ489" t="inlineStr">
        <is>
          <t>Yes</t>
        </is>
      </c>
      <c r="AR489">
        <f>HYPERLINK("http://catalog.hathitrust.org/Record/006947223","HathiTrust Record")</f>
        <v/>
      </c>
      <c r="AS489">
        <f>HYPERLINK("https://creighton-primo.hosted.exlibrisgroup.com/primo-explore/search?tab=default_tab&amp;search_scope=EVERYTHING&amp;vid=01CRU&amp;lang=en_US&amp;offset=0&amp;query=any,contains,991000206559702656","Catalog Record")</f>
        <v/>
      </c>
      <c r="AT489">
        <f>HYPERLINK("http://www.worldcat.org/oclc/13466062","WorldCat Record")</f>
        <v/>
      </c>
      <c r="AU489" t="inlineStr">
        <is>
          <t>365281112:eng</t>
        </is>
      </c>
      <c r="AV489" t="inlineStr">
        <is>
          <t>13466062</t>
        </is>
      </c>
      <c r="AW489" t="inlineStr">
        <is>
          <t>991000206559702656</t>
        </is>
      </c>
      <c r="AX489" t="inlineStr">
        <is>
          <t>991000206559702656</t>
        </is>
      </c>
      <c r="AY489" t="inlineStr">
        <is>
          <t>2258221980002656</t>
        </is>
      </c>
      <c r="AZ489" t="inlineStr">
        <is>
          <t>BOOK</t>
        </is>
      </c>
      <c r="BC489" t="inlineStr">
        <is>
          <t>32285001022283</t>
        </is>
      </c>
      <c r="BD489" t="inlineStr">
        <is>
          <t>893695669</t>
        </is>
      </c>
    </row>
    <row r="490">
      <c r="A490" t="inlineStr">
        <is>
          <t>No</t>
        </is>
      </c>
      <c r="B490" t="inlineStr">
        <is>
          <t>HN730.S534 S63</t>
        </is>
      </c>
      <c r="C490" t="inlineStr">
        <is>
          <t>0                      HN 0730000S  534                S  63</t>
        </is>
      </c>
      <c r="D490" t="inlineStr">
        <is>
          <t>Kurusu : the price of progress in a Japanese village, 1951-1975 / Robert J. Smith.</t>
        </is>
      </c>
      <c r="F490" t="inlineStr">
        <is>
          <t>No</t>
        </is>
      </c>
      <c r="G490" t="inlineStr">
        <is>
          <t>1</t>
        </is>
      </c>
      <c r="H490" t="inlineStr">
        <is>
          <t>No</t>
        </is>
      </c>
      <c r="I490" t="inlineStr">
        <is>
          <t>No</t>
        </is>
      </c>
      <c r="J490" t="inlineStr">
        <is>
          <t>0</t>
        </is>
      </c>
      <c r="K490" t="inlineStr">
        <is>
          <t>Smith, Robert J. (Robert John), 1927-2016.</t>
        </is>
      </c>
      <c r="L490" t="inlineStr">
        <is>
          <t>Stanford, Calif. : Stanford University Press, 1978.</t>
        </is>
      </c>
      <c r="M490" t="inlineStr">
        <is>
          <t>1978</t>
        </is>
      </c>
      <c r="O490" t="inlineStr">
        <is>
          <t>eng</t>
        </is>
      </c>
      <c r="P490" t="inlineStr">
        <is>
          <t>cau</t>
        </is>
      </c>
      <c r="R490" t="inlineStr">
        <is>
          <t xml:space="preserve">HN </t>
        </is>
      </c>
      <c r="S490" t="n">
        <v>1</v>
      </c>
      <c r="T490" t="n">
        <v>1</v>
      </c>
      <c r="U490" t="inlineStr">
        <is>
          <t>1994-04-26</t>
        </is>
      </c>
      <c r="V490" t="inlineStr">
        <is>
          <t>1994-04-26</t>
        </is>
      </c>
      <c r="W490" t="inlineStr">
        <is>
          <t>1992-10-14</t>
        </is>
      </c>
      <c r="X490" t="inlineStr">
        <is>
          <t>1992-10-14</t>
        </is>
      </c>
      <c r="Y490" t="n">
        <v>473</v>
      </c>
      <c r="Z490" t="n">
        <v>379</v>
      </c>
      <c r="AA490" t="n">
        <v>394</v>
      </c>
      <c r="AB490" t="n">
        <v>4</v>
      </c>
      <c r="AC490" t="n">
        <v>4</v>
      </c>
      <c r="AD490" t="n">
        <v>16</v>
      </c>
      <c r="AE490" t="n">
        <v>17</v>
      </c>
      <c r="AF490" t="n">
        <v>5</v>
      </c>
      <c r="AG490" t="n">
        <v>5</v>
      </c>
      <c r="AH490" t="n">
        <v>3</v>
      </c>
      <c r="AI490" t="n">
        <v>4</v>
      </c>
      <c r="AJ490" t="n">
        <v>9</v>
      </c>
      <c r="AK490" t="n">
        <v>9</v>
      </c>
      <c r="AL490" t="n">
        <v>3</v>
      </c>
      <c r="AM490" t="n">
        <v>3</v>
      </c>
      <c r="AN490" t="n">
        <v>0</v>
      </c>
      <c r="AO490" t="n">
        <v>0</v>
      </c>
      <c r="AP490" t="inlineStr">
        <is>
          <t>No</t>
        </is>
      </c>
      <c r="AQ490" t="inlineStr">
        <is>
          <t>No</t>
        </is>
      </c>
      <c r="AS490">
        <f>HYPERLINK("https://creighton-primo.hosted.exlibrisgroup.com/primo-explore/search?tab=default_tab&amp;search_scope=EVERYTHING&amp;vid=01CRU&amp;lang=en_US&amp;offset=0&amp;query=any,contains,991004549459702656","Catalog Record")</f>
        <v/>
      </c>
      <c r="AT490">
        <f>HYPERLINK("http://www.worldcat.org/oclc/3931646","WorldCat Record")</f>
        <v/>
      </c>
      <c r="AU490" t="inlineStr">
        <is>
          <t>146955370:eng</t>
        </is>
      </c>
      <c r="AV490" t="inlineStr">
        <is>
          <t>3931646</t>
        </is>
      </c>
      <c r="AW490" t="inlineStr">
        <is>
          <t>991004549459702656</t>
        </is>
      </c>
      <c r="AX490" t="inlineStr">
        <is>
          <t>991004549459702656</t>
        </is>
      </c>
      <c r="AY490" t="inlineStr">
        <is>
          <t>2268306950002656</t>
        </is>
      </c>
      <c r="AZ490" t="inlineStr">
        <is>
          <t>BOOK</t>
        </is>
      </c>
      <c r="BB490" t="inlineStr">
        <is>
          <t>9780804709620</t>
        </is>
      </c>
      <c r="BC490" t="inlineStr">
        <is>
          <t>32285001357762</t>
        </is>
      </c>
      <c r="BD490" t="inlineStr">
        <is>
          <t>893722493</t>
        </is>
      </c>
    </row>
    <row r="491">
      <c r="A491" t="inlineStr">
        <is>
          <t>No</t>
        </is>
      </c>
      <c r="B491" t="inlineStr">
        <is>
          <t>HN730.T65 B47 1989</t>
        </is>
      </c>
      <c r="C491" t="inlineStr">
        <is>
          <t>0                      HN 0730000T  65                 B  47          1989</t>
        </is>
      </c>
      <c r="D491" t="inlineStr">
        <is>
          <t>Neighborhood Tokyo / Theodore C. Bestor.</t>
        </is>
      </c>
      <c r="F491" t="inlineStr">
        <is>
          <t>No</t>
        </is>
      </c>
      <c r="G491" t="inlineStr">
        <is>
          <t>1</t>
        </is>
      </c>
      <c r="H491" t="inlineStr">
        <is>
          <t>No</t>
        </is>
      </c>
      <c r="I491" t="inlineStr">
        <is>
          <t>No</t>
        </is>
      </c>
      <c r="J491" t="inlineStr">
        <is>
          <t>0</t>
        </is>
      </c>
      <c r="K491" t="inlineStr">
        <is>
          <t>Bestor, Theodore C.</t>
        </is>
      </c>
      <c r="L491" t="inlineStr">
        <is>
          <t>Stanford, Calif. : Stanford University Press, 1989.</t>
        </is>
      </c>
      <c r="M491" t="inlineStr">
        <is>
          <t>1989</t>
        </is>
      </c>
      <c r="O491" t="inlineStr">
        <is>
          <t>eng</t>
        </is>
      </c>
      <c r="P491" t="inlineStr">
        <is>
          <t>cau</t>
        </is>
      </c>
      <c r="Q491" t="inlineStr">
        <is>
          <t>Studies of the East Asian Institute, Columbia University</t>
        </is>
      </c>
      <c r="R491" t="inlineStr">
        <is>
          <t xml:space="preserve">HN </t>
        </is>
      </c>
      <c r="S491" t="n">
        <v>2</v>
      </c>
      <c r="T491" t="n">
        <v>2</v>
      </c>
      <c r="U491" t="inlineStr">
        <is>
          <t>2003-03-18</t>
        </is>
      </c>
      <c r="V491" t="inlineStr">
        <is>
          <t>2003-03-18</t>
        </is>
      </c>
      <c r="W491" t="inlineStr">
        <is>
          <t>1999-01-05</t>
        </is>
      </c>
      <c r="X491" t="inlineStr">
        <is>
          <t>1999-01-05</t>
        </is>
      </c>
      <c r="Y491" t="n">
        <v>730</v>
      </c>
      <c r="Z491" t="n">
        <v>568</v>
      </c>
      <c r="AA491" t="n">
        <v>748</v>
      </c>
      <c r="AB491" t="n">
        <v>4</v>
      </c>
      <c r="AC491" t="n">
        <v>5</v>
      </c>
      <c r="AD491" t="n">
        <v>35</v>
      </c>
      <c r="AE491" t="n">
        <v>44</v>
      </c>
      <c r="AF491" t="n">
        <v>14</v>
      </c>
      <c r="AG491" t="n">
        <v>20</v>
      </c>
      <c r="AH491" t="n">
        <v>10</v>
      </c>
      <c r="AI491" t="n">
        <v>11</v>
      </c>
      <c r="AJ491" t="n">
        <v>17</v>
      </c>
      <c r="AK491" t="n">
        <v>20</v>
      </c>
      <c r="AL491" t="n">
        <v>3</v>
      </c>
      <c r="AM491" t="n">
        <v>4</v>
      </c>
      <c r="AN491" t="n">
        <v>0</v>
      </c>
      <c r="AO491" t="n">
        <v>0</v>
      </c>
      <c r="AP491" t="inlineStr">
        <is>
          <t>No</t>
        </is>
      </c>
      <c r="AQ491" t="inlineStr">
        <is>
          <t>No</t>
        </is>
      </c>
      <c r="AS491">
        <f>HYPERLINK("https://creighton-primo.hosted.exlibrisgroup.com/primo-explore/search?tab=default_tab&amp;search_scope=EVERYTHING&amp;vid=01CRU&amp;lang=en_US&amp;offset=0&amp;query=any,contains,991001282209702656","Catalog Record")</f>
        <v/>
      </c>
      <c r="AT491">
        <f>HYPERLINK("http://www.worldcat.org/oclc/17919176","WorldCat Record")</f>
        <v/>
      </c>
      <c r="AU491" t="inlineStr">
        <is>
          <t>960395:eng</t>
        </is>
      </c>
      <c r="AV491" t="inlineStr">
        <is>
          <t>17919176</t>
        </is>
      </c>
      <c r="AW491" t="inlineStr">
        <is>
          <t>991001282209702656</t>
        </is>
      </c>
      <c r="AX491" t="inlineStr">
        <is>
          <t>991001282209702656</t>
        </is>
      </c>
      <c r="AY491" t="inlineStr">
        <is>
          <t>2269337600002656</t>
        </is>
      </c>
      <c r="AZ491" t="inlineStr">
        <is>
          <t>BOOK</t>
        </is>
      </c>
      <c r="BB491" t="inlineStr">
        <is>
          <t>9780804714396</t>
        </is>
      </c>
      <c r="BC491" t="inlineStr">
        <is>
          <t>32285003509089</t>
        </is>
      </c>
      <c r="BD491" t="inlineStr">
        <is>
          <t>893231869</t>
        </is>
      </c>
    </row>
    <row r="492">
      <c r="A492" t="inlineStr">
        <is>
          <t>No</t>
        </is>
      </c>
      <c r="B492" t="inlineStr">
        <is>
          <t>HN730.Z9 E49 1987</t>
        </is>
      </c>
      <c r="C492" t="inlineStr">
        <is>
          <t>0                      HN 0730000Z  9                  E  49          1987</t>
        </is>
      </c>
      <c r="D492" t="inlineStr">
        <is>
          <t>Elites and the idea of equality : a comparison of Japan, Sweden, and the United States / Sidney Verba and Steven Kelman ... [et al.].</t>
        </is>
      </c>
      <c r="F492" t="inlineStr">
        <is>
          <t>No</t>
        </is>
      </c>
      <c r="G492" t="inlineStr">
        <is>
          <t>1</t>
        </is>
      </c>
      <c r="H492" t="inlineStr">
        <is>
          <t>No</t>
        </is>
      </c>
      <c r="I492" t="inlineStr">
        <is>
          <t>No</t>
        </is>
      </c>
      <c r="J492" t="inlineStr">
        <is>
          <t>0</t>
        </is>
      </c>
      <c r="K492" t="inlineStr">
        <is>
          <t>Verba, Sidney.</t>
        </is>
      </c>
      <c r="L492" t="inlineStr">
        <is>
          <t>Cambridge, Mass. : Harvard University Press, 1987.</t>
        </is>
      </c>
      <c r="M492" t="inlineStr">
        <is>
          <t>1987</t>
        </is>
      </c>
      <c r="O492" t="inlineStr">
        <is>
          <t>eng</t>
        </is>
      </c>
      <c r="P492" t="inlineStr">
        <is>
          <t>mau</t>
        </is>
      </c>
      <c r="R492" t="inlineStr">
        <is>
          <t xml:space="preserve">HN </t>
        </is>
      </c>
      <c r="S492" t="n">
        <v>4</v>
      </c>
      <c r="T492" t="n">
        <v>4</v>
      </c>
      <c r="U492" t="inlineStr">
        <is>
          <t>2007-11-04</t>
        </is>
      </c>
      <c r="V492" t="inlineStr">
        <is>
          <t>2007-11-04</t>
        </is>
      </c>
      <c r="W492" t="inlineStr">
        <is>
          <t>1992-10-14</t>
        </is>
      </c>
      <c r="X492" t="inlineStr">
        <is>
          <t>1992-10-14</t>
        </is>
      </c>
      <c r="Y492" t="n">
        <v>623</v>
      </c>
      <c r="Z492" t="n">
        <v>477</v>
      </c>
      <c r="AA492" t="n">
        <v>489</v>
      </c>
      <c r="AB492" t="n">
        <v>5</v>
      </c>
      <c r="AC492" t="n">
        <v>5</v>
      </c>
      <c r="AD492" t="n">
        <v>26</v>
      </c>
      <c r="AE492" t="n">
        <v>26</v>
      </c>
      <c r="AF492" t="n">
        <v>9</v>
      </c>
      <c r="AG492" t="n">
        <v>9</v>
      </c>
      <c r="AH492" t="n">
        <v>7</v>
      </c>
      <c r="AI492" t="n">
        <v>7</v>
      </c>
      <c r="AJ492" t="n">
        <v>13</v>
      </c>
      <c r="AK492" t="n">
        <v>13</v>
      </c>
      <c r="AL492" t="n">
        <v>4</v>
      </c>
      <c r="AM492" t="n">
        <v>4</v>
      </c>
      <c r="AN492" t="n">
        <v>1</v>
      </c>
      <c r="AO492" t="n">
        <v>1</v>
      </c>
      <c r="AP492" t="inlineStr">
        <is>
          <t>No</t>
        </is>
      </c>
      <c r="AQ492" t="inlineStr">
        <is>
          <t>Yes</t>
        </is>
      </c>
      <c r="AR492">
        <f>HYPERLINK("http://catalog.hathitrust.org/Record/000882011","HathiTrust Record")</f>
        <v/>
      </c>
      <c r="AS492">
        <f>HYPERLINK("https://creighton-primo.hosted.exlibrisgroup.com/primo-explore/search?tab=default_tab&amp;search_scope=EVERYTHING&amp;vid=01CRU&amp;lang=en_US&amp;offset=0&amp;query=any,contains,991001024509702656","Catalog Record")</f>
        <v/>
      </c>
      <c r="AT492">
        <f>HYPERLINK("http://www.worldcat.org/oclc/15428535","WorldCat Record")</f>
        <v/>
      </c>
      <c r="AU492" t="inlineStr">
        <is>
          <t>836715244:eng</t>
        </is>
      </c>
      <c r="AV492" t="inlineStr">
        <is>
          <t>15428535</t>
        </is>
      </c>
      <c r="AW492" t="inlineStr">
        <is>
          <t>991001024509702656</t>
        </is>
      </c>
      <c r="AX492" t="inlineStr">
        <is>
          <t>991001024509702656</t>
        </is>
      </c>
      <c r="AY492" t="inlineStr">
        <is>
          <t>2261961980002656</t>
        </is>
      </c>
      <c r="AZ492" t="inlineStr">
        <is>
          <t>BOOK</t>
        </is>
      </c>
      <c r="BB492" t="inlineStr">
        <is>
          <t>9780674246850</t>
        </is>
      </c>
      <c r="BC492" t="inlineStr">
        <is>
          <t>32285001357770</t>
        </is>
      </c>
      <c r="BD492" t="inlineStr">
        <is>
          <t>893509316</t>
        </is>
      </c>
    </row>
    <row r="493">
      <c r="A493" t="inlineStr">
        <is>
          <t>No</t>
        </is>
      </c>
      <c r="B493" t="inlineStr">
        <is>
          <t>HN730.Z9 S6153 2010</t>
        </is>
      </c>
      <c r="C493" t="inlineStr">
        <is>
          <t>0                      HN 0730000Z  9                  S  6153        2010</t>
        </is>
      </c>
      <c r="D493" t="inlineStr">
        <is>
          <t>Social class in contemporary Japan : structures, sorting and strategies / edited by Hiroshi Ishida and David H. Slater.</t>
        </is>
      </c>
      <c r="F493" t="inlineStr">
        <is>
          <t>No</t>
        </is>
      </c>
      <c r="G493" t="inlineStr">
        <is>
          <t>1</t>
        </is>
      </c>
      <c r="H493" t="inlineStr">
        <is>
          <t>No</t>
        </is>
      </c>
      <c r="I493" t="inlineStr">
        <is>
          <t>No</t>
        </is>
      </c>
      <c r="J493" t="inlineStr">
        <is>
          <t>0</t>
        </is>
      </c>
      <c r="L493" t="inlineStr">
        <is>
          <t>London ; New York : Routledge, 2010.</t>
        </is>
      </c>
      <c r="M493" t="inlineStr">
        <is>
          <t>2010</t>
        </is>
      </c>
      <c r="O493" t="inlineStr">
        <is>
          <t>eng</t>
        </is>
      </c>
      <c r="P493" t="inlineStr">
        <is>
          <t>enk</t>
        </is>
      </c>
      <c r="Q493" t="inlineStr">
        <is>
          <t>The Nissan Institute/Routledge Japanese studies series</t>
        </is>
      </c>
      <c r="R493" t="inlineStr">
        <is>
          <t xml:space="preserve">HN </t>
        </is>
      </c>
      <c r="S493" t="n">
        <v>2</v>
      </c>
      <c r="T493" t="n">
        <v>2</v>
      </c>
      <c r="U493" t="inlineStr">
        <is>
          <t>2010-08-10</t>
        </is>
      </c>
      <c r="V493" t="inlineStr">
        <is>
          <t>2010-08-10</t>
        </is>
      </c>
      <c r="W493" t="inlineStr">
        <is>
          <t>2010-07-19</t>
        </is>
      </c>
      <c r="X493" t="inlineStr">
        <is>
          <t>2010-07-19</t>
        </is>
      </c>
      <c r="Y493" t="n">
        <v>215</v>
      </c>
      <c r="Z493" t="n">
        <v>139</v>
      </c>
      <c r="AA493" t="n">
        <v>179</v>
      </c>
      <c r="AB493" t="n">
        <v>2</v>
      </c>
      <c r="AC493" t="n">
        <v>2</v>
      </c>
      <c r="AD493" t="n">
        <v>8</v>
      </c>
      <c r="AE493" t="n">
        <v>9</v>
      </c>
      <c r="AF493" t="n">
        <v>3</v>
      </c>
      <c r="AG493" t="n">
        <v>3</v>
      </c>
      <c r="AH493" t="n">
        <v>2</v>
      </c>
      <c r="AI493" t="n">
        <v>2</v>
      </c>
      <c r="AJ493" t="n">
        <v>6</v>
      </c>
      <c r="AK493" t="n">
        <v>7</v>
      </c>
      <c r="AL493" t="n">
        <v>1</v>
      </c>
      <c r="AM493" t="n">
        <v>1</v>
      </c>
      <c r="AN493" t="n">
        <v>0</v>
      </c>
      <c r="AO493" t="n">
        <v>0</v>
      </c>
      <c r="AP493" t="inlineStr">
        <is>
          <t>No</t>
        </is>
      </c>
      <c r="AQ493" t="inlineStr">
        <is>
          <t>No</t>
        </is>
      </c>
      <c r="AS493">
        <f>HYPERLINK("https://creighton-primo.hosted.exlibrisgroup.com/primo-explore/search?tab=default_tab&amp;search_scope=EVERYTHING&amp;vid=01CRU&amp;lang=en_US&amp;offset=0&amp;query=any,contains,991000023849702656","Catalog Record")</f>
        <v/>
      </c>
      <c r="AT493">
        <f>HYPERLINK("http://www.worldcat.org/oclc/311036641","WorldCat Record")</f>
        <v/>
      </c>
      <c r="AU493" t="inlineStr">
        <is>
          <t>803748694:eng</t>
        </is>
      </c>
      <c r="AV493" t="inlineStr">
        <is>
          <t>311036641</t>
        </is>
      </c>
      <c r="AW493" t="inlineStr">
        <is>
          <t>991000023849702656</t>
        </is>
      </c>
      <c r="AX493" t="inlineStr">
        <is>
          <t>991000023849702656</t>
        </is>
      </c>
      <c r="AY493" t="inlineStr">
        <is>
          <t>2263126740002656</t>
        </is>
      </c>
      <c r="AZ493" t="inlineStr">
        <is>
          <t>BOOK</t>
        </is>
      </c>
      <c r="BB493" t="inlineStr">
        <is>
          <t>9780415474757</t>
        </is>
      </c>
      <c r="BC493" t="inlineStr">
        <is>
          <t>32285005590665</t>
        </is>
      </c>
      <c r="BD493" t="inlineStr">
        <is>
          <t>893527723</t>
        </is>
      </c>
    </row>
    <row r="494">
      <c r="A494" t="inlineStr">
        <is>
          <t>No</t>
        </is>
      </c>
      <c r="B494" t="inlineStr">
        <is>
          <t>HN730.Z9 S654 1993</t>
        </is>
      </c>
      <c r="C494" t="inlineStr">
        <is>
          <t>0                      HN 0730000Z  9                  S  654         1993</t>
        </is>
      </c>
      <c r="D494" t="inlineStr">
        <is>
          <t>Social mobility in contemporary Japan : educational credentials, class and the labour market in a cross-national perspective / Hiroshi Ishida ; foreword by John H. Goldthorpe.</t>
        </is>
      </c>
      <c r="F494" t="inlineStr">
        <is>
          <t>No</t>
        </is>
      </c>
      <c r="G494" t="inlineStr">
        <is>
          <t>1</t>
        </is>
      </c>
      <c r="H494" t="inlineStr">
        <is>
          <t>No</t>
        </is>
      </c>
      <c r="I494" t="inlineStr">
        <is>
          <t>No</t>
        </is>
      </c>
      <c r="J494" t="inlineStr">
        <is>
          <t>0</t>
        </is>
      </c>
      <c r="K494" t="inlineStr">
        <is>
          <t>Ishida, Hiroshi, 1954-</t>
        </is>
      </c>
      <c r="L494" t="inlineStr">
        <is>
          <t>Stanford, CA : Stanford University Press, 1993.</t>
        </is>
      </c>
      <c r="M494" t="inlineStr">
        <is>
          <t>1993</t>
        </is>
      </c>
      <c r="O494" t="inlineStr">
        <is>
          <t>eng</t>
        </is>
      </c>
      <c r="P494" t="inlineStr">
        <is>
          <t>cau</t>
        </is>
      </c>
      <c r="Q494" t="inlineStr">
        <is>
          <t>Studies of the East Asian Institute</t>
        </is>
      </c>
      <c r="R494" t="inlineStr">
        <is>
          <t xml:space="preserve">HN </t>
        </is>
      </c>
      <c r="S494" t="n">
        <v>4</v>
      </c>
      <c r="T494" t="n">
        <v>4</v>
      </c>
      <c r="U494" t="inlineStr">
        <is>
          <t>2005-11-02</t>
        </is>
      </c>
      <c r="V494" t="inlineStr">
        <is>
          <t>2005-11-02</t>
        </is>
      </c>
      <c r="W494" t="inlineStr">
        <is>
          <t>2003-04-08</t>
        </is>
      </c>
      <c r="X494" t="inlineStr">
        <is>
          <t>2003-04-08</t>
        </is>
      </c>
      <c r="Y494" t="n">
        <v>403</v>
      </c>
      <c r="Z494" t="n">
        <v>344</v>
      </c>
      <c r="AA494" t="n">
        <v>363</v>
      </c>
      <c r="AB494" t="n">
        <v>4</v>
      </c>
      <c r="AC494" t="n">
        <v>4</v>
      </c>
      <c r="AD494" t="n">
        <v>16</v>
      </c>
      <c r="AE494" t="n">
        <v>17</v>
      </c>
      <c r="AF494" t="n">
        <v>5</v>
      </c>
      <c r="AG494" t="n">
        <v>6</v>
      </c>
      <c r="AH494" t="n">
        <v>4</v>
      </c>
      <c r="AI494" t="n">
        <v>4</v>
      </c>
      <c r="AJ494" t="n">
        <v>7</v>
      </c>
      <c r="AK494" t="n">
        <v>8</v>
      </c>
      <c r="AL494" t="n">
        <v>3</v>
      </c>
      <c r="AM494" t="n">
        <v>3</v>
      </c>
      <c r="AN494" t="n">
        <v>0</v>
      </c>
      <c r="AO494" t="n">
        <v>0</v>
      </c>
      <c r="AP494" t="inlineStr">
        <is>
          <t>No</t>
        </is>
      </c>
      <c r="AQ494" t="inlineStr">
        <is>
          <t>No</t>
        </is>
      </c>
      <c r="AS494">
        <f>HYPERLINK("https://creighton-primo.hosted.exlibrisgroup.com/primo-explore/search?tab=default_tab&amp;search_scope=EVERYTHING&amp;vid=01CRU&amp;lang=en_US&amp;offset=0&amp;query=any,contains,991003997449702656","Catalog Record")</f>
        <v/>
      </c>
      <c r="AT494">
        <f>HYPERLINK("http://www.worldcat.org/oclc/27326775","WorldCat Record")</f>
        <v/>
      </c>
      <c r="AU494" t="inlineStr">
        <is>
          <t>29865434:eng</t>
        </is>
      </c>
      <c r="AV494" t="inlineStr">
        <is>
          <t>27326775</t>
        </is>
      </c>
      <c r="AW494" t="inlineStr">
        <is>
          <t>991003997449702656</t>
        </is>
      </c>
      <c r="AX494" t="inlineStr">
        <is>
          <t>991003997449702656</t>
        </is>
      </c>
      <c r="AY494" t="inlineStr">
        <is>
          <t>2255003780002656</t>
        </is>
      </c>
      <c r="AZ494" t="inlineStr">
        <is>
          <t>BOOK</t>
        </is>
      </c>
      <c r="BB494" t="inlineStr">
        <is>
          <t>9780804720878</t>
        </is>
      </c>
      <c r="BC494" t="inlineStr">
        <is>
          <t>32285004740584</t>
        </is>
      </c>
      <c r="BD494" t="inlineStr">
        <is>
          <t>893605515</t>
        </is>
      </c>
    </row>
    <row r="495">
      <c r="A495" t="inlineStr">
        <is>
          <t>No</t>
        </is>
      </c>
      <c r="B495" t="inlineStr">
        <is>
          <t>HN733.5 .A77 2005</t>
        </is>
      </c>
      <c r="C495" t="inlineStr">
        <is>
          <t>0                      HN 0733500A  77          2005</t>
        </is>
      </c>
      <c r="D495" t="inlineStr">
        <is>
          <t>Asia's giants : comparing China and India / edited by Edward Friedman and Bruce Gilley.</t>
        </is>
      </c>
      <c r="F495" t="inlineStr">
        <is>
          <t>No</t>
        </is>
      </c>
      <c r="G495" t="inlineStr">
        <is>
          <t>1</t>
        </is>
      </c>
      <c r="H495" t="inlineStr">
        <is>
          <t>No</t>
        </is>
      </c>
      <c r="I495" t="inlineStr">
        <is>
          <t>No</t>
        </is>
      </c>
      <c r="J495" t="inlineStr">
        <is>
          <t>0</t>
        </is>
      </c>
      <c r="L495" t="inlineStr">
        <is>
          <t>New York : Palgrave Macmillan, 2005.</t>
        </is>
      </c>
      <c r="M495" t="inlineStr">
        <is>
          <t>2005</t>
        </is>
      </c>
      <c r="N495" t="inlineStr">
        <is>
          <t>1st ed.</t>
        </is>
      </c>
      <c r="O495" t="inlineStr">
        <is>
          <t>eng</t>
        </is>
      </c>
      <c r="P495" t="inlineStr">
        <is>
          <t>nyu</t>
        </is>
      </c>
      <c r="R495" t="inlineStr">
        <is>
          <t xml:space="preserve">HN </t>
        </is>
      </c>
      <c r="S495" t="n">
        <v>3</v>
      </c>
      <c r="T495" t="n">
        <v>3</v>
      </c>
      <c r="U495" t="inlineStr">
        <is>
          <t>2006-08-29</t>
        </is>
      </c>
      <c r="V495" t="inlineStr">
        <is>
          <t>2006-08-29</t>
        </is>
      </c>
      <c r="W495" t="inlineStr">
        <is>
          <t>2006-01-16</t>
        </is>
      </c>
      <c r="X495" t="inlineStr">
        <is>
          <t>2006-01-16</t>
        </is>
      </c>
      <c r="Y495" t="n">
        <v>292</v>
      </c>
      <c r="Z495" t="n">
        <v>180</v>
      </c>
      <c r="AA495" t="n">
        <v>581</v>
      </c>
      <c r="AB495" t="n">
        <v>2</v>
      </c>
      <c r="AC495" t="n">
        <v>5</v>
      </c>
      <c r="AD495" t="n">
        <v>9</v>
      </c>
      <c r="AE495" t="n">
        <v>29</v>
      </c>
      <c r="AF495" t="n">
        <v>2</v>
      </c>
      <c r="AG495" t="n">
        <v>10</v>
      </c>
      <c r="AH495" t="n">
        <v>3</v>
      </c>
      <c r="AI495" t="n">
        <v>8</v>
      </c>
      <c r="AJ495" t="n">
        <v>6</v>
      </c>
      <c r="AK495" t="n">
        <v>12</v>
      </c>
      <c r="AL495" t="n">
        <v>1</v>
      </c>
      <c r="AM495" t="n">
        <v>4</v>
      </c>
      <c r="AN495" t="n">
        <v>0</v>
      </c>
      <c r="AO495" t="n">
        <v>1</v>
      </c>
      <c r="AP495" t="inlineStr">
        <is>
          <t>No</t>
        </is>
      </c>
      <c r="AQ495" t="inlineStr">
        <is>
          <t>No</t>
        </is>
      </c>
      <c r="AS495">
        <f>HYPERLINK("https://creighton-primo.hosted.exlibrisgroup.com/primo-explore/search?tab=default_tab&amp;search_scope=EVERYTHING&amp;vid=01CRU&amp;lang=en_US&amp;offset=0&amp;query=any,contains,991004704969702656","Catalog Record")</f>
        <v/>
      </c>
      <c r="AT495">
        <f>HYPERLINK("http://www.worldcat.org/oclc/60420914","WorldCat Record")</f>
        <v/>
      </c>
      <c r="AU495" t="inlineStr">
        <is>
          <t>1071852124:eng</t>
        </is>
      </c>
      <c r="AV495" t="inlineStr">
        <is>
          <t>60420914</t>
        </is>
      </c>
      <c r="AW495" t="inlineStr">
        <is>
          <t>991004704969702656</t>
        </is>
      </c>
      <c r="AX495" t="inlineStr">
        <is>
          <t>991004704969702656</t>
        </is>
      </c>
      <c r="AY495" t="inlineStr">
        <is>
          <t>2257373050002656</t>
        </is>
      </c>
      <c r="AZ495" t="inlineStr">
        <is>
          <t>BOOK</t>
        </is>
      </c>
      <c r="BB495" t="inlineStr">
        <is>
          <t>9781403971104</t>
        </is>
      </c>
      <c r="BC495" t="inlineStr">
        <is>
          <t>32285005154793</t>
        </is>
      </c>
      <c r="BD495" t="inlineStr">
        <is>
          <t>893706739</t>
        </is>
      </c>
    </row>
    <row r="496">
      <c r="A496" t="inlineStr">
        <is>
          <t>No</t>
        </is>
      </c>
      <c r="B496" t="inlineStr">
        <is>
          <t>HN733.5 .C442 2007</t>
        </is>
      </c>
      <c r="C496" t="inlineStr">
        <is>
          <t>0                      HN 0733500C  442         2007</t>
        </is>
      </c>
      <c r="D496" t="inlineStr">
        <is>
          <t>China's transformations : the stories beyond the headlines / edited by Lionel M. Jensen and Timothy B. Weston.</t>
        </is>
      </c>
      <c r="F496" t="inlineStr">
        <is>
          <t>No</t>
        </is>
      </c>
      <c r="G496" t="inlineStr">
        <is>
          <t>1</t>
        </is>
      </c>
      <c r="H496" t="inlineStr">
        <is>
          <t>No</t>
        </is>
      </c>
      <c r="I496" t="inlineStr">
        <is>
          <t>No</t>
        </is>
      </c>
      <c r="J496" t="inlineStr">
        <is>
          <t>0</t>
        </is>
      </c>
      <c r="L496" t="inlineStr">
        <is>
          <t>Lanham : Rowman &amp; Littlefield, c2007.</t>
        </is>
      </c>
      <c r="M496" t="inlineStr">
        <is>
          <t>2007</t>
        </is>
      </c>
      <c r="O496" t="inlineStr">
        <is>
          <t>eng</t>
        </is>
      </c>
      <c r="P496" t="inlineStr">
        <is>
          <t>mdu</t>
        </is>
      </c>
      <c r="R496" t="inlineStr">
        <is>
          <t xml:space="preserve">HN </t>
        </is>
      </c>
      <c r="S496" t="n">
        <v>3</v>
      </c>
      <c r="T496" t="n">
        <v>3</v>
      </c>
      <c r="U496" t="inlineStr">
        <is>
          <t>2007-04-12</t>
        </is>
      </c>
      <c r="V496" t="inlineStr">
        <is>
          <t>2007-04-12</t>
        </is>
      </c>
      <c r="W496" t="inlineStr">
        <is>
          <t>2007-02-26</t>
        </is>
      </c>
      <c r="X496" t="inlineStr">
        <is>
          <t>2007-02-26</t>
        </is>
      </c>
      <c r="Y496" t="n">
        <v>540</v>
      </c>
      <c r="Z496" t="n">
        <v>451</v>
      </c>
      <c r="AA496" t="n">
        <v>471</v>
      </c>
      <c r="AB496" t="n">
        <v>2</v>
      </c>
      <c r="AC496" t="n">
        <v>2</v>
      </c>
      <c r="AD496" t="n">
        <v>21</v>
      </c>
      <c r="AE496" t="n">
        <v>21</v>
      </c>
      <c r="AF496" t="n">
        <v>9</v>
      </c>
      <c r="AG496" t="n">
        <v>9</v>
      </c>
      <c r="AH496" t="n">
        <v>5</v>
      </c>
      <c r="AI496" t="n">
        <v>5</v>
      </c>
      <c r="AJ496" t="n">
        <v>13</v>
      </c>
      <c r="AK496" t="n">
        <v>13</v>
      </c>
      <c r="AL496" t="n">
        <v>1</v>
      </c>
      <c r="AM496" t="n">
        <v>1</v>
      </c>
      <c r="AN496" t="n">
        <v>0</v>
      </c>
      <c r="AO496" t="n">
        <v>0</v>
      </c>
      <c r="AP496" t="inlineStr">
        <is>
          <t>No</t>
        </is>
      </c>
      <c r="AQ496" t="inlineStr">
        <is>
          <t>Yes</t>
        </is>
      </c>
      <c r="AR496">
        <f>HYPERLINK("http://catalog.hathitrust.org/Record/005419489","HathiTrust Record")</f>
        <v/>
      </c>
      <c r="AS496">
        <f>HYPERLINK("https://creighton-primo.hosted.exlibrisgroup.com/primo-explore/search?tab=default_tab&amp;search_scope=EVERYTHING&amp;vid=01CRU&amp;lang=en_US&amp;offset=0&amp;query=any,contains,991005040649702656","Catalog Record")</f>
        <v/>
      </c>
      <c r="AT496">
        <f>HYPERLINK("http://www.worldcat.org/oclc/70176793","WorldCat Record")</f>
        <v/>
      </c>
      <c r="AU496" t="inlineStr">
        <is>
          <t>367894104:eng</t>
        </is>
      </c>
      <c r="AV496" t="inlineStr">
        <is>
          <t>70176793</t>
        </is>
      </c>
      <c r="AW496" t="inlineStr">
        <is>
          <t>991005040649702656</t>
        </is>
      </c>
      <c r="AX496" t="inlineStr">
        <is>
          <t>991005040649702656</t>
        </is>
      </c>
      <c r="AY496" t="inlineStr">
        <is>
          <t>2271824690002656</t>
        </is>
      </c>
      <c r="AZ496" t="inlineStr">
        <is>
          <t>BOOK</t>
        </is>
      </c>
      <c r="BB496" t="inlineStr">
        <is>
          <t>9780742538627</t>
        </is>
      </c>
      <c r="BC496" t="inlineStr">
        <is>
          <t>32285005279517</t>
        </is>
      </c>
      <c r="BD496" t="inlineStr">
        <is>
          <t>893412226</t>
        </is>
      </c>
    </row>
    <row r="497">
      <c r="A497" t="inlineStr">
        <is>
          <t>No</t>
        </is>
      </c>
      <c r="B497" t="inlineStr">
        <is>
          <t>HN733.5 .H538 2008</t>
        </is>
      </c>
      <c r="C497" t="inlineStr">
        <is>
          <t>0                      HN 0733500H  538         2008</t>
        </is>
      </c>
      <c r="D497" t="inlineStr">
        <is>
          <t>China : getting rich first : a modern social history / Duncan Hewitt.</t>
        </is>
      </c>
      <c r="F497" t="inlineStr">
        <is>
          <t>No</t>
        </is>
      </c>
      <c r="G497" t="inlineStr">
        <is>
          <t>1</t>
        </is>
      </c>
      <c r="H497" t="inlineStr">
        <is>
          <t>No</t>
        </is>
      </c>
      <c r="I497" t="inlineStr">
        <is>
          <t>No</t>
        </is>
      </c>
      <c r="J497" t="inlineStr">
        <is>
          <t>0</t>
        </is>
      </c>
      <c r="K497" t="inlineStr">
        <is>
          <t>Hewitt, Duncan.</t>
        </is>
      </c>
      <c r="L497" t="inlineStr">
        <is>
          <t>New York : Pegasus Books ; 2008</t>
        </is>
      </c>
      <c r="M497" t="inlineStr">
        <is>
          <t>2008</t>
        </is>
      </c>
      <c r="N497" t="inlineStr">
        <is>
          <t>1st Pegasus Books ed.</t>
        </is>
      </c>
      <c r="O497" t="inlineStr">
        <is>
          <t>eng</t>
        </is>
      </c>
      <c r="P497" t="inlineStr">
        <is>
          <t>nyu</t>
        </is>
      </c>
      <c r="R497" t="inlineStr">
        <is>
          <t xml:space="preserve">HN </t>
        </is>
      </c>
      <c r="S497" t="n">
        <v>1</v>
      </c>
      <c r="T497" t="n">
        <v>1</v>
      </c>
      <c r="U497" t="inlineStr">
        <is>
          <t>2010-12-07</t>
        </is>
      </c>
      <c r="V497" t="inlineStr">
        <is>
          <t>2010-12-07</t>
        </is>
      </c>
      <c r="W497" t="inlineStr">
        <is>
          <t>2010-12-07</t>
        </is>
      </c>
      <c r="X497" t="inlineStr">
        <is>
          <t>2010-12-07</t>
        </is>
      </c>
      <c r="Y497" t="n">
        <v>537</v>
      </c>
      <c r="Z497" t="n">
        <v>492</v>
      </c>
      <c r="AA497" t="n">
        <v>549</v>
      </c>
      <c r="AB497" t="n">
        <v>4</v>
      </c>
      <c r="AC497" t="n">
        <v>4</v>
      </c>
      <c r="AD497" t="n">
        <v>13</v>
      </c>
      <c r="AE497" t="n">
        <v>15</v>
      </c>
      <c r="AF497" t="n">
        <v>2</v>
      </c>
      <c r="AG497" t="n">
        <v>3</v>
      </c>
      <c r="AH497" t="n">
        <v>5</v>
      </c>
      <c r="AI497" t="n">
        <v>5</v>
      </c>
      <c r="AJ497" t="n">
        <v>7</v>
      </c>
      <c r="AK497" t="n">
        <v>7</v>
      </c>
      <c r="AL497" t="n">
        <v>3</v>
      </c>
      <c r="AM497" t="n">
        <v>3</v>
      </c>
      <c r="AN497" t="n">
        <v>0</v>
      </c>
      <c r="AO497" t="n">
        <v>1</v>
      </c>
      <c r="AP497" t="inlineStr">
        <is>
          <t>No</t>
        </is>
      </c>
      <c r="AQ497" t="inlineStr">
        <is>
          <t>Yes</t>
        </is>
      </c>
      <c r="AR497">
        <f>HYPERLINK("http://catalog.hathitrust.org/Record/009931280","HathiTrust Record")</f>
        <v/>
      </c>
      <c r="AS497">
        <f>HYPERLINK("https://creighton-primo.hosted.exlibrisgroup.com/primo-explore/search?tab=default_tab&amp;search_scope=EVERYTHING&amp;vid=01CRU&amp;lang=en_US&amp;offset=0&amp;query=any,contains,991000373999702656","Catalog Record")</f>
        <v/>
      </c>
      <c r="AT497">
        <f>HYPERLINK("http://www.worldcat.org/oclc/191245962","WorldCat Record")</f>
        <v/>
      </c>
      <c r="AU497" t="inlineStr">
        <is>
          <t>206470036:eng</t>
        </is>
      </c>
      <c r="AV497" t="inlineStr">
        <is>
          <t>191245962</t>
        </is>
      </c>
      <c r="AW497" t="inlineStr">
        <is>
          <t>991000373999702656</t>
        </is>
      </c>
      <c r="AX497" t="inlineStr">
        <is>
          <t>991000373999702656</t>
        </is>
      </c>
      <c r="AY497" t="inlineStr">
        <is>
          <t>2266405190002656</t>
        </is>
      </c>
      <c r="AZ497" t="inlineStr">
        <is>
          <t>BOOK</t>
        </is>
      </c>
      <c r="BB497" t="inlineStr">
        <is>
          <t>9781933648477</t>
        </is>
      </c>
      <c r="BC497" t="inlineStr">
        <is>
          <t>32285005609325</t>
        </is>
      </c>
      <c r="BD497" t="inlineStr">
        <is>
          <t>893771569</t>
        </is>
      </c>
    </row>
    <row r="498">
      <c r="A498" t="inlineStr">
        <is>
          <t>No</t>
        </is>
      </c>
      <c r="B498" t="inlineStr">
        <is>
          <t>HN740.H36 R69 1989</t>
        </is>
      </c>
      <c r="C498" t="inlineStr">
        <is>
          <t>0                      HN 0740000H  36                 R  69          1989</t>
        </is>
      </c>
      <c r="D498" t="inlineStr">
        <is>
          <t>Hankow : conflict and community in a Chinese city, 1796-1895 / William T. Rowe.</t>
        </is>
      </c>
      <c r="F498" t="inlineStr">
        <is>
          <t>No</t>
        </is>
      </c>
      <c r="G498" t="inlineStr">
        <is>
          <t>1</t>
        </is>
      </c>
      <c r="H498" t="inlineStr">
        <is>
          <t>No</t>
        </is>
      </c>
      <c r="I498" t="inlineStr">
        <is>
          <t>No</t>
        </is>
      </c>
      <c r="J498" t="inlineStr">
        <is>
          <t>0</t>
        </is>
      </c>
      <c r="K498" t="inlineStr">
        <is>
          <t>Rowe, William T.</t>
        </is>
      </c>
      <c r="L498" t="inlineStr">
        <is>
          <t>Stanford, Calif. : Stanford University Press, 1989.</t>
        </is>
      </c>
      <c r="M498" t="inlineStr">
        <is>
          <t>1989</t>
        </is>
      </c>
      <c r="O498" t="inlineStr">
        <is>
          <t>eng</t>
        </is>
      </c>
      <c r="P498" t="inlineStr">
        <is>
          <t>cau</t>
        </is>
      </c>
      <c r="R498" t="inlineStr">
        <is>
          <t xml:space="preserve">HN </t>
        </is>
      </c>
      <c r="S498" t="n">
        <v>2</v>
      </c>
      <c r="T498" t="n">
        <v>2</v>
      </c>
      <c r="U498" t="inlineStr">
        <is>
          <t>1994-03-28</t>
        </is>
      </c>
      <c r="V498" t="inlineStr">
        <is>
          <t>1994-03-28</t>
        </is>
      </c>
      <c r="W498" t="inlineStr">
        <is>
          <t>1994-01-04</t>
        </is>
      </c>
      <c r="X498" t="inlineStr">
        <is>
          <t>1994-01-04</t>
        </is>
      </c>
      <c r="Y498" t="n">
        <v>430</v>
      </c>
      <c r="Z498" t="n">
        <v>343</v>
      </c>
      <c r="AA498" t="n">
        <v>344</v>
      </c>
      <c r="AB498" t="n">
        <v>2</v>
      </c>
      <c r="AC498" t="n">
        <v>2</v>
      </c>
      <c r="AD498" t="n">
        <v>20</v>
      </c>
      <c r="AE498" t="n">
        <v>20</v>
      </c>
      <c r="AF498" t="n">
        <v>8</v>
      </c>
      <c r="AG498" t="n">
        <v>8</v>
      </c>
      <c r="AH498" t="n">
        <v>5</v>
      </c>
      <c r="AI498" t="n">
        <v>5</v>
      </c>
      <c r="AJ498" t="n">
        <v>14</v>
      </c>
      <c r="AK498" t="n">
        <v>14</v>
      </c>
      <c r="AL498" t="n">
        <v>1</v>
      </c>
      <c r="AM498" t="n">
        <v>1</v>
      </c>
      <c r="AN498" t="n">
        <v>0</v>
      </c>
      <c r="AO498" t="n">
        <v>0</v>
      </c>
      <c r="AP498" t="inlineStr">
        <is>
          <t>No</t>
        </is>
      </c>
      <c r="AQ498" t="inlineStr">
        <is>
          <t>No</t>
        </is>
      </c>
      <c r="AS498">
        <f>HYPERLINK("https://creighton-primo.hosted.exlibrisgroup.com/primo-explore/search?tab=default_tab&amp;search_scope=EVERYTHING&amp;vid=01CRU&amp;lang=en_US&amp;offset=0&amp;query=any,contains,991001453739702656","Catalog Record")</f>
        <v/>
      </c>
      <c r="AT498">
        <f>HYPERLINK("http://www.worldcat.org/oclc/19352759","WorldCat Record")</f>
        <v/>
      </c>
      <c r="AU498" t="inlineStr">
        <is>
          <t>3901285214:eng</t>
        </is>
      </c>
      <c r="AV498" t="inlineStr">
        <is>
          <t>19352759</t>
        </is>
      </c>
      <c r="AW498" t="inlineStr">
        <is>
          <t>991001453739702656</t>
        </is>
      </c>
      <c r="AX498" t="inlineStr">
        <is>
          <t>991001453739702656</t>
        </is>
      </c>
      <c r="AY498" t="inlineStr">
        <is>
          <t>2269543810002656</t>
        </is>
      </c>
      <c r="AZ498" t="inlineStr">
        <is>
          <t>BOOK</t>
        </is>
      </c>
      <c r="BB498" t="inlineStr">
        <is>
          <t>9780804715416</t>
        </is>
      </c>
      <c r="BC498" t="inlineStr">
        <is>
          <t>32285001819936</t>
        </is>
      </c>
      <c r="BD498" t="inlineStr">
        <is>
          <t>893328142</t>
        </is>
      </c>
    </row>
    <row r="499">
      <c r="A499" t="inlineStr">
        <is>
          <t>No</t>
        </is>
      </c>
      <c r="B499" t="inlineStr">
        <is>
          <t>HN740.Z9 E48</t>
        </is>
      </c>
      <c r="C499" t="inlineStr">
        <is>
          <t>0                      HN 0740000Z  9                  E  48</t>
        </is>
      </c>
      <c r="D499" t="inlineStr">
        <is>
          <t>The political elite of Iran.</t>
        </is>
      </c>
      <c r="F499" t="inlineStr">
        <is>
          <t>No</t>
        </is>
      </c>
      <c r="G499" t="inlineStr">
        <is>
          <t>1</t>
        </is>
      </c>
      <c r="H499" t="inlineStr">
        <is>
          <t>No</t>
        </is>
      </c>
      <c r="I499" t="inlineStr">
        <is>
          <t>No</t>
        </is>
      </c>
      <c r="J499" t="inlineStr">
        <is>
          <t>0</t>
        </is>
      </c>
      <c r="K499" t="inlineStr">
        <is>
          <t>Zonis, Marvin, 1936-</t>
        </is>
      </c>
      <c r="L499" t="inlineStr">
        <is>
          <t>[Princeton] Princeton University Press, 1971.</t>
        </is>
      </c>
      <c r="M499" t="inlineStr">
        <is>
          <t>1971</t>
        </is>
      </c>
      <c r="O499" t="inlineStr">
        <is>
          <t>eng</t>
        </is>
      </c>
      <c r="P499" t="inlineStr">
        <is>
          <t>nju</t>
        </is>
      </c>
      <c r="Q499" t="inlineStr">
        <is>
          <t>Princeton studies on the Near East</t>
        </is>
      </c>
      <c r="R499" t="inlineStr">
        <is>
          <t xml:space="preserve">HN </t>
        </is>
      </c>
      <c r="S499" t="n">
        <v>1</v>
      </c>
      <c r="T499" t="n">
        <v>1</v>
      </c>
      <c r="U499" t="inlineStr">
        <is>
          <t>2004-02-20</t>
        </is>
      </c>
      <c r="V499" t="inlineStr">
        <is>
          <t>2004-02-20</t>
        </is>
      </c>
      <c r="W499" t="inlineStr">
        <is>
          <t>1997-08-07</t>
        </is>
      </c>
      <c r="X499" t="inlineStr">
        <is>
          <t>1997-08-07</t>
        </is>
      </c>
      <c r="Y499" t="n">
        <v>635</v>
      </c>
      <c r="Z499" t="n">
        <v>489</v>
      </c>
      <c r="AA499" t="n">
        <v>696</v>
      </c>
      <c r="AB499" t="n">
        <v>5</v>
      </c>
      <c r="AC499" t="n">
        <v>7</v>
      </c>
      <c r="AD499" t="n">
        <v>23</v>
      </c>
      <c r="AE499" t="n">
        <v>33</v>
      </c>
      <c r="AF499" t="n">
        <v>7</v>
      </c>
      <c r="AG499" t="n">
        <v>15</v>
      </c>
      <c r="AH499" t="n">
        <v>6</v>
      </c>
      <c r="AI499" t="n">
        <v>8</v>
      </c>
      <c r="AJ499" t="n">
        <v>11</v>
      </c>
      <c r="AK499" t="n">
        <v>15</v>
      </c>
      <c r="AL499" t="n">
        <v>4</v>
      </c>
      <c r="AM499" t="n">
        <v>5</v>
      </c>
      <c r="AN499" t="n">
        <v>0</v>
      </c>
      <c r="AO499" t="n">
        <v>0</v>
      </c>
      <c r="AP499" t="inlineStr">
        <is>
          <t>No</t>
        </is>
      </c>
      <c r="AQ499" t="inlineStr">
        <is>
          <t>Yes</t>
        </is>
      </c>
      <c r="AR499">
        <f>HYPERLINK("http://catalog.hathitrust.org/Record/001109777","HathiTrust Record")</f>
        <v/>
      </c>
      <c r="AS499">
        <f>HYPERLINK("https://creighton-primo.hosted.exlibrisgroup.com/primo-explore/search?tab=default_tab&amp;search_scope=EVERYTHING&amp;vid=01CRU&amp;lang=en_US&amp;offset=0&amp;query=any,contains,991001215569702656","Catalog Record")</f>
        <v/>
      </c>
      <c r="AT499">
        <f>HYPERLINK("http://www.worldcat.org/oclc/193815","WorldCat Record")</f>
        <v/>
      </c>
      <c r="AU499" t="inlineStr">
        <is>
          <t>1357919:eng</t>
        </is>
      </c>
      <c r="AV499" t="inlineStr">
        <is>
          <t>193815</t>
        </is>
      </c>
      <c r="AW499" t="inlineStr">
        <is>
          <t>991001215569702656</t>
        </is>
      </c>
      <c r="AX499" t="inlineStr">
        <is>
          <t>991001215569702656</t>
        </is>
      </c>
      <c r="AY499" t="inlineStr">
        <is>
          <t>2269015950002656</t>
        </is>
      </c>
      <c r="AZ499" t="inlineStr">
        <is>
          <t>BOOK</t>
        </is>
      </c>
      <c r="BB499" t="inlineStr">
        <is>
          <t>9780691030838</t>
        </is>
      </c>
      <c r="BC499" t="inlineStr">
        <is>
          <t>32285003086997</t>
        </is>
      </c>
      <c r="BD499" t="inlineStr">
        <is>
          <t>893515998</t>
        </is>
      </c>
    </row>
    <row r="500">
      <c r="A500" t="inlineStr">
        <is>
          <t>No</t>
        </is>
      </c>
      <c r="B500" t="inlineStr">
        <is>
          <t>HN740.Z9 S64655 2008</t>
        </is>
      </c>
      <c r="C500" t="inlineStr">
        <is>
          <t>0                      HN 0740000Z  9                  S  64655       2008</t>
        </is>
      </c>
      <c r="D500" t="inlineStr">
        <is>
          <t>Boundaries and categories : rising inequality in post-socialist urban China / Wang Feng.</t>
        </is>
      </c>
      <c r="F500" t="inlineStr">
        <is>
          <t>No</t>
        </is>
      </c>
      <c r="G500" t="inlineStr">
        <is>
          <t>1</t>
        </is>
      </c>
      <c r="H500" t="inlineStr">
        <is>
          <t>No</t>
        </is>
      </c>
      <c r="I500" t="inlineStr">
        <is>
          <t>No</t>
        </is>
      </c>
      <c r="J500" t="inlineStr">
        <is>
          <t>0</t>
        </is>
      </c>
      <c r="K500" t="inlineStr">
        <is>
          <t>Wang, Feng, 1957-</t>
        </is>
      </c>
      <c r="L500" t="inlineStr">
        <is>
          <t>Stanford, Calif. : Stanford University Press, 2008.</t>
        </is>
      </c>
      <c r="M500" t="inlineStr">
        <is>
          <t>2008</t>
        </is>
      </c>
      <c r="O500" t="inlineStr">
        <is>
          <t>eng</t>
        </is>
      </c>
      <c r="P500" t="inlineStr">
        <is>
          <t>cau</t>
        </is>
      </c>
      <c r="Q500" t="inlineStr">
        <is>
          <t>Studies in social inequality</t>
        </is>
      </c>
      <c r="R500" t="inlineStr">
        <is>
          <t xml:space="preserve">HN </t>
        </is>
      </c>
      <c r="S500" t="n">
        <v>1</v>
      </c>
      <c r="T500" t="n">
        <v>1</v>
      </c>
      <c r="U500" t="inlineStr">
        <is>
          <t>2009-02-17</t>
        </is>
      </c>
      <c r="V500" t="inlineStr">
        <is>
          <t>2009-02-17</t>
        </is>
      </c>
      <c r="W500" t="inlineStr">
        <is>
          <t>2009-02-17</t>
        </is>
      </c>
      <c r="X500" t="inlineStr">
        <is>
          <t>2009-02-17</t>
        </is>
      </c>
      <c r="Y500" t="n">
        <v>354</v>
      </c>
      <c r="Z500" t="n">
        <v>282</v>
      </c>
      <c r="AA500" t="n">
        <v>282</v>
      </c>
      <c r="AB500" t="n">
        <v>2</v>
      </c>
      <c r="AC500" t="n">
        <v>2</v>
      </c>
      <c r="AD500" t="n">
        <v>14</v>
      </c>
      <c r="AE500" t="n">
        <v>14</v>
      </c>
      <c r="AF500" t="n">
        <v>6</v>
      </c>
      <c r="AG500" t="n">
        <v>6</v>
      </c>
      <c r="AH500" t="n">
        <v>2</v>
      </c>
      <c r="AI500" t="n">
        <v>2</v>
      </c>
      <c r="AJ500" t="n">
        <v>10</v>
      </c>
      <c r="AK500" t="n">
        <v>10</v>
      </c>
      <c r="AL500" t="n">
        <v>1</v>
      </c>
      <c r="AM500" t="n">
        <v>1</v>
      </c>
      <c r="AN500" t="n">
        <v>0</v>
      </c>
      <c r="AO500" t="n">
        <v>0</v>
      </c>
      <c r="AP500" t="inlineStr">
        <is>
          <t>No</t>
        </is>
      </c>
      <c r="AQ500" t="inlineStr">
        <is>
          <t>No</t>
        </is>
      </c>
      <c r="AS500">
        <f>HYPERLINK("https://creighton-primo.hosted.exlibrisgroup.com/primo-explore/search?tab=default_tab&amp;search_scope=EVERYTHING&amp;vid=01CRU&amp;lang=en_US&amp;offset=0&amp;query=any,contains,991005288909702656","Catalog Record")</f>
        <v/>
      </c>
      <c r="AT500">
        <f>HYPERLINK("http://www.worldcat.org/oclc/105454078","WorldCat Record")</f>
        <v/>
      </c>
      <c r="AU500" t="inlineStr">
        <is>
          <t>88926069:eng</t>
        </is>
      </c>
      <c r="AV500" t="inlineStr">
        <is>
          <t>105454078</t>
        </is>
      </c>
      <c r="AW500" t="inlineStr">
        <is>
          <t>991005288909702656</t>
        </is>
      </c>
      <c r="AX500" t="inlineStr">
        <is>
          <t>991005288909702656</t>
        </is>
      </c>
      <c r="AY500" t="inlineStr">
        <is>
          <t>2263137780002656</t>
        </is>
      </c>
      <c r="AZ500" t="inlineStr">
        <is>
          <t>BOOK</t>
        </is>
      </c>
      <c r="BB500" t="inlineStr">
        <is>
          <t>9780804757942</t>
        </is>
      </c>
      <c r="BC500" t="inlineStr">
        <is>
          <t>32285005505002</t>
        </is>
      </c>
      <c r="BD500" t="inlineStr">
        <is>
          <t>893443706</t>
        </is>
      </c>
    </row>
    <row r="501">
      <c r="A501" t="inlineStr">
        <is>
          <t>No</t>
        </is>
      </c>
      <c r="B501" t="inlineStr">
        <is>
          <t>HN752.5 .H66 1979</t>
        </is>
      </c>
      <c r="C501" t="inlineStr">
        <is>
          <t>0                      HN 0752500H  66          1979</t>
        </is>
      </c>
      <c r="D501" t="inlineStr">
        <is>
          <t>Hong Kong : economic, social, and political studies in development, with a comprehensive bibliography / Tzong-biau Lin, Rance P. L. Lee, Udo-Ernst Simonis, editors.</t>
        </is>
      </c>
      <c r="F501" t="inlineStr">
        <is>
          <t>No</t>
        </is>
      </c>
      <c r="G501" t="inlineStr">
        <is>
          <t>1</t>
        </is>
      </c>
      <c r="H501" t="inlineStr">
        <is>
          <t>No</t>
        </is>
      </c>
      <c r="I501" t="inlineStr">
        <is>
          <t>No</t>
        </is>
      </c>
      <c r="J501" t="inlineStr">
        <is>
          <t>0</t>
        </is>
      </c>
      <c r="L501" t="inlineStr">
        <is>
          <t>White Plains, N.Y. : M. E. Sharpe, 1979.</t>
        </is>
      </c>
      <c r="M501" t="inlineStr">
        <is>
          <t>1979</t>
        </is>
      </c>
      <c r="O501" t="inlineStr">
        <is>
          <t>eng</t>
        </is>
      </c>
      <c r="P501" t="inlineStr">
        <is>
          <t>nyu</t>
        </is>
      </c>
      <c r="R501" t="inlineStr">
        <is>
          <t xml:space="preserve">HN </t>
        </is>
      </c>
      <c r="S501" t="n">
        <v>9</v>
      </c>
      <c r="T501" t="n">
        <v>9</v>
      </c>
      <c r="U501" t="inlineStr">
        <is>
          <t>2010-04-26</t>
        </is>
      </c>
      <c r="V501" t="inlineStr">
        <is>
          <t>2010-04-26</t>
        </is>
      </c>
      <c r="W501" t="inlineStr">
        <is>
          <t>1992-10-14</t>
        </is>
      </c>
      <c r="X501" t="inlineStr">
        <is>
          <t>1992-10-14</t>
        </is>
      </c>
      <c r="Y501" t="n">
        <v>291</v>
      </c>
      <c r="Z501" t="n">
        <v>192</v>
      </c>
      <c r="AA501" t="n">
        <v>207</v>
      </c>
      <c r="AB501" t="n">
        <v>3</v>
      </c>
      <c r="AC501" t="n">
        <v>3</v>
      </c>
      <c r="AD501" t="n">
        <v>9</v>
      </c>
      <c r="AE501" t="n">
        <v>9</v>
      </c>
      <c r="AF501" t="n">
        <v>2</v>
      </c>
      <c r="AG501" t="n">
        <v>2</v>
      </c>
      <c r="AH501" t="n">
        <v>3</v>
      </c>
      <c r="AI501" t="n">
        <v>3</v>
      </c>
      <c r="AJ501" t="n">
        <v>4</v>
      </c>
      <c r="AK501" t="n">
        <v>4</v>
      </c>
      <c r="AL501" t="n">
        <v>2</v>
      </c>
      <c r="AM501" t="n">
        <v>2</v>
      </c>
      <c r="AN501" t="n">
        <v>0</v>
      </c>
      <c r="AO501" t="n">
        <v>0</v>
      </c>
      <c r="AP501" t="inlineStr">
        <is>
          <t>No</t>
        </is>
      </c>
      <c r="AQ501" t="inlineStr">
        <is>
          <t>Yes</t>
        </is>
      </c>
      <c r="AR501">
        <f>HYPERLINK("http://catalog.hathitrust.org/Record/000718852","HathiTrust Record")</f>
        <v/>
      </c>
      <c r="AS501">
        <f>HYPERLINK("https://creighton-primo.hosted.exlibrisgroup.com/primo-explore/search?tab=default_tab&amp;search_scope=EVERYTHING&amp;vid=01CRU&amp;lang=en_US&amp;offset=0&amp;query=any,contains,991004901559702656","Catalog Record")</f>
        <v/>
      </c>
      <c r="AT501">
        <f>HYPERLINK("http://www.worldcat.org/oclc/5940682","WorldCat Record")</f>
        <v/>
      </c>
      <c r="AU501" t="inlineStr">
        <is>
          <t>836648428:eng</t>
        </is>
      </c>
      <c r="AV501" t="inlineStr">
        <is>
          <t>5940682</t>
        </is>
      </c>
      <c r="AW501" t="inlineStr">
        <is>
          <t>991004901559702656</t>
        </is>
      </c>
      <c r="AX501" t="inlineStr">
        <is>
          <t>991004901559702656</t>
        </is>
      </c>
      <c r="AY501" t="inlineStr">
        <is>
          <t>2267268690002656</t>
        </is>
      </c>
      <c r="AZ501" t="inlineStr">
        <is>
          <t>BOOK</t>
        </is>
      </c>
      <c r="BB501" t="inlineStr">
        <is>
          <t>9780873321518</t>
        </is>
      </c>
      <c r="BC501" t="inlineStr">
        <is>
          <t>32285001357820</t>
        </is>
      </c>
      <c r="BD501" t="inlineStr">
        <is>
          <t>893350480</t>
        </is>
      </c>
    </row>
    <row r="502">
      <c r="A502" t="inlineStr">
        <is>
          <t>No</t>
        </is>
      </c>
      <c r="B502" t="inlineStr">
        <is>
          <t>HN768.A8 G4</t>
        </is>
      </c>
      <c r="C502" t="inlineStr">
        <is>
          <t>0                      HN 0768000A  8                  G  4</t>
        </is>
      </c>
      <c r="D502" t="inlineStr">
        <is>
          <t>Muslim society / Ernest Gellner.</t>
        </is>
      </c>
      <c r="F502" t="inlineStr">
        <is>
          <t>No</t>
        </is>
      </c>
      <c r="G502" t="inlineStr">
        <is>
          <t>1</t>
        </is>
      </c>
      <c r="H502" t="inlineStr">
        <is>
          <t>No</t>
        </is>
      </c>
      <c r="I502" t="inlineStr">
        <is>
          <t>No</t>
        </is>
      </c>
      <c r="J502" t="inlineStr">
        <is>
          <t>0</t>
        </is>
      </c>
      <c r="K502" t="inlineStr">
        <is>
          <t>Gellner, Ernest.</t>
        </is>
      </c>
      <c r="L502" t="inlineStr">
        <is>
          <t>Cambridge [Eng.] ; New York : Cambridge University Press, 1981.</t>
        </is>
      </c>
      <c r="M502" t="inlineStr">
        <is>
          <t>1981</t>
        </is>
      </c>
      <c r="O502" t="inlineStr">
        <is>
          <t>eng</t>
        </is>
      </c>
      <c r="P502" t="inlineStr">
        <is>
          <t>enk</t>
        </is>
      </c>
      <c r="Q502" t="inlineStr">
        <is>
          <t>Cambridge studies in social anthropology ; 32</t>
        </is>
      </c>
      <c r="R502" t="inlineStr">
        <is>
          <t xml:space="preserve">HN </t>
        </is>
      </c>
      <c r="S502" t="n">
        <v>8</v>
      </c>
      <c r="T502" t="n">
        <v>8</v>
      </c>
      <c r="U502" t="inlineStr">
        <is>
          <t>2000-02-22</t>
        </is>
      </c>
      <c r="V502" t="inlineStr">
        <is>
          <t>2000-02-22</t>
        </is>
      </c>
      <c r="W502" t="inlineStr">
        <is>
          <t>1990-07-23</t>
        </is>
      </c>
      <c r="X502" t="inlineStr">
        <is>
          <t>1990-07-23</t>
        </is>
      </c>
      <c r="Y502" t="n">
        <v>744</v>
      </c>
      <c r="Z502" t="n">
        <v>515</v>
      </c>
      <c r="AA502" t="n">
        <v>583</v>
      </c>
      <c r="AB502" t="n">
        <v>2</v>
      </c>
      <c r="AC502" t="n">
        <v>2</v>
      </c>
      <c r="AD502" t="n">
        <v>20</v>
      </c>
      <c r="AE502" t="n">
        <v>26</v>
      </c>
      <c r="AF502" t="n">
        <v>6</v>
      </c>
      <c r="AG502" t="n">
        <v>10</v>
      </c>
      <c r="AH502" t="n">
        <v>6</v>
      </c>
      <c r="AI502" t="n">
        <v>8</v>
      </c>
      <c r="AJ502" t="n">
        <v>13</v>
      </c>
      <c r="AK502" t="n">
        <v>15</v>
      </c>
      <c r="AL502" t="n">
        <v>1</v>
      </c>
      <c r="AM502" t="n">
        <v>1</v>
      </c>
      <c r="AN502" t="n">
        <v>0</v>
      </c>
      <c r="AO502" t="n">
        <v>0</v>
      </c>
      <c r="AP502" t="inlineStr">
        <is>
          <t>No</t>
        </is>
      </c>
      <c r="AQ502" t="inlineStr">
        <is>
          <t>No</t>
        </is>
      </c>
      <c r="AS502">
        <f>HYPERLINK("https://creighton-primo.hosted.exlibrisgroup.com/primo-explore/search?tab=default_tab&amp;search_scope=EVERYTHING&amp;vid=01CRU&amp;lang=en_US&amp;offset=0&amp;query=any,contains,991005145499702656","Catalog Record")</f>
        <v/>
      </c>
      <c r="AT502">
        <f>HYPERLINK("http://www.worldcat.org/oclc/7659784","WorldCat Record")</f>
        <v/>
      </c>
      <c r="AU502" t="inlineStr">
        <is>
          <t>2802998:eng</t>
        </is>
      </c>
      <c r="AV502" t="inlineStr">
        <is>
          <t>7659784</t>
        </is>
      </c>
      <c r="AW502" t="inlineStr">
        <is>
          <t>991005145499702656</t>
        </is>
      </c>
      <c r="AX502" t="inlineStr">
        <is>
          <t>991005145499702656</t>
        </is>
      </c>
      <c r="AY502" t="inlineStr">
        <is>
          <t>2264220690002656</t>
        </is>
      </c>
      <c r="AZ502" t="inlineStr">
        <is>
          <t>BOOK</t>
        </is>
      </c>
      <c r="BB502" t="inlineStr">
        <is>
          <t>9780521221603</t>
        </is>
      </c>
      <c r="BC502" t="inlineStr">
        <is>
          <t>32285000247360</t>
        </is>
      </c>
      <c r="BD502" t="inlineStr">
        <is>
          <t>893254542</t>
        </is>
      </c>
    </row>
    <row r="503">
      <c r="A503" t="inlineStr">
        <is>
          <t>No</t>
        </is>
      </c>
      <c r="B503" t="inlineStr">
        <is>
          <t>HN773 .B36 1986</t>
        </is>
      </c>
      <c r="C503" t="inlineStr">
        <is>
          <t>0                      HN 0773000B  36          1986</t>
        </is>
      </c>
      <c r="D503" t="inlineStr">
        <is>
          <t>Banditry, rebellion, and social protest in Africa / edited by Donald Crummey.</t>
        </is>
      </c>
      <c r="F503" t="inlineStr">
        <is>
          <t>No</t>
        </is>
      </c>
      <c r="G503" t="inlineStr">
        <is>
          <t>1</t>
        </is>
      </c>
      <c r="H503" t="inlineStr">
        <is>
          <t>No</t>
        </is>
      </c>
      <c r="I503" t="inlineStr">
        <is>
          <t>No</t>
        </is>
      </c>
      <c r="J503" t="inlineStr">
        <is>
          <t>0</t>
        </is>
      </c>
      <c r="L503" t="inlineStr">
        <is>
          <t>London : J. Currey ; Portsmouth, N.H. : Heinemann, 1986.</t>
        </is>
      </c>
      <c r="M503" t="inlineStr">
        <is>
          <t>1986</t>
        </is>
      </c>
      <c r="O503" t="inlineStr">
        <is>
          <t>eng</t>
        </is>
      </c>
      <c r="P503" t="inlineStr">
        <is>
          <t>enk</t>
        </is>
      </c>
      <c r="R503" t="inlineStr">
        <is>
          <t xml:space="preserve">HN </t>
        </is>
      </c>
      <c r="S503" t="n">
        <v>3</v>
      </c>
      <c r="T503" t="n">
        <v>3</v>
      </c>
      <c r="U503" t="inlineStr">
        <is>
          <t>1996-09-13</t>
        </is>
      </c>
      <c r="V503" t="inlineStr">
        <is>
          <t>1996-09-13</t>
        </is>
      </c>
      <c r="W503" t="inlineStr">
        <is>
          <t>1992-04-08</t>
        </is>
      </c>
      <c r="X503" t="inlineStr">
        <is>
          <t>1992-04-08</t>
        </is>
      </c>
      <c r="Y503" t="n">
        <v>463</v>
      </c>
      <c r="Z503" t="n">
        <v>341</v>
      </c>
      <c r="AA503" t="n">
        <v>343</v>
      </c>
      <c r="AB503" t="n">
        <v>3</v>
      </c>
      <c r="AC503" t="n">
        <v>3</v>
      </c>
      <c r="AD503" t="n">
        <v>17</v>
      </c>
      <c r="AE503" t="n">
        <v>17</v>
      </c>
      <c r="AF503" t="n">
        <v>5</v>
      </c>
      <c r="AG503" t="n">
        <v>5</v>
      </c>
      <c r="AH503" t="n">
        <v>6</v>
      </c>
      <c r="AI503" t="n">
        <v>6</v>
      </c>
      <c r="AJ503" t="n">
        <v>7</v>
      </c>
      <c r="AK503" t="n">
        <v>7</v>
      </c>
      <c r="AL503" t="n">
        <v>2</v>
      </c>
      <c r="AM503" t="n">
        <v>2</v>
      </c>
      <c r="AN503" t="n">
        <v>1</v>
      </c>
      <c r="AO503" t="n">
        <v>1</v>
      </c>
      <c r="AP503" t="inlineStr">
        <is>
          <t>No</t>
        </is>
      </c>
      <c r="AQ503" t="inlineStr">
        <is>
          <t>Yes</t>
        </is>
      </c>
      <c r="AR503">
        <f>HYPERLINK("http://catalog.hathitrust.org/Record/000673119","HathiTrust Record")</f>
        <v/>
      </c>
      <c r="AS503">
        <f>HYPERLINK("https://creighton-primo.hosted.exlibrisgroup.com/primo-explore/search?tab=default_tab&amp;search_scope=EVERYTHING&amp;vid=01CRU&amp;lang=en_US&amp;offset=0&amp;query=any,contains,991000759749702656","Catalog Record")</f>
        <v/>
      </c>
      <c r="AT503">
        <f>HYPERLINK("http://www.worldcat.org/oclc/12723759","WorldCat Record")</f>
        <v/>
      </c>
      <c r="AU503" t="inlineStr">
        <is>
          <t>5540814:eng</t>
        </is>
      </c>
      <c r="AV503" t="inlineStr">
        <is>
          <t>12723759</t>
        </is>
      </c>
      <c r="AW503" t="inlineStr">
        <is>
          <t>991000759749702656</t>
        </is>
      </c>
      <c r="AX503" t="inlineStr">
        <is>
          <t>991000759749702656</t>
        </is>
      </c>
      <c r="AY503" t="inlineStr">
        <is>
          <t>2268109650002656</t>
        </is>
      </c>
      <c r="AZ503" t="inlineStr">
        <is>
          <t>BOOK</t>
        </is>
      </c>
      <c r="BB503" t="inlineStr">
        <is>
          <t>9780435080112</t>
        </is>
      </c>
      <c r="BC503" t="inlineStr">
        <is>
          <t>32285001066181</t>
        </is>
      </c>
      <c r="BD503" t="inlineStr">
        <is>
          <t>893803055</t>
        </is>
      </c>
    </row>
    <row r="504">
      <c r="A504" t="inlineStr">
        <is>
          <t>No</t>
        </is>
      </c>
      <c r="B504" t="inlineStr">
        <is>
          <t>HN773.5 .R53 1997</t>
        </is>
      </c>
      <c r="C504" t="inlineStr">
        <is>
          <t>0                      HN 0773500R  53          1997</t>
        </is>
      </c>
      <c r="D504" t="inlineStr">
        <is>
          <t>Out of America : a black man confronts Africa / Keith B. Richburg.</t>
        </is>
      </c>
      <c r="F504" t="inlineStr">
        <is>
          <t>No</t>
        </is>
      </c>
      <c r="G504" t="inlineStr">
        <is>
          <t>1</t>
        </is>
      </c>
      <c r="H504" t="inlineStr">
        <is>
          <t>No</t>
        </is>
      </c>
      <c r="I504" t="inlineStr">
        <is>
          <t>No</t>
        </is>
      </c>
      <c r="J504" t="inlineStr">
        <is>
          <t>0</t>
        </is>
      </c>
      <c r="K504" t="inlineStr">
        <is>
          <t>Richburg, Keith B.</t>
        </is>
      </c>
      <c r="L504" t="inlineStr">
        <is>
          <t>New York : BasicBooks, c1997.</t>
        </is>
      </c>
      <c r="M504" t="inlineStr">
        <is>
          <t>1997</t>
        </is>
      </c>
      <c r="N504" t="inlineStr">
        <is>
          <t>1st ed.</t>
        </is>
      </c>
      <c r="O504" t="inlineStr">
        <is>
          <t>eng</t>
        </is>
      </c>
      <c r="P504" t="inlineStr">
        <is>
          <t>nyu</t>
        </is>
      </c>
      <c r="R504" t="inlineStr">
        <is>
          <t xml:space="preserve">HN </t>
        </is>
      </c>
      <c r="S504" t="n">
        <v>8</v>
      </c>
      <c r="T504" t="n">
        <v>8</v>
      </c>
      <c r="U504" t="inlineStr">
        <is>
          <t>1998-03-30</t>
        </is>
      </c>
      <c r="V504" t="inlineStr">
        <is>
          <t>1998-03-30</t>
        </is>
      </c>
      <c r="W504" t="inlineStr">
        <is>
          <t>1997-04-01</t>
        </is>
      </c>
      <c r="X504" t="inlineStr">
        <is>
          <t>1997-04-01</t>
        </is>
      </c>
      <c r="Y504" t="n">
        <v>1166</v>
      </c>
      <c r="Z504" t="n">
        <v>1065</v>
      </c>
      <c r="AA504" t="n">
        <v>1422</v>
      </c>
      <c r="AB504" t="n">
        <v>6</v>
      </c>
      <c r="AC504" t="n">
        <v>7</v>
      </c>
      <c r="AD504" t="n">
        <v>34</v>
      </c>
      <c r="AE504" t="n">
        <v>38</v>
      </c>
      <c r="AF504" t="n">
        <v>15</v>
      </c>
      <c r="AG504" t="n">
        <v>17</v>
      </c>
      <c r="AH504" t="n">
        <v>7</v>
      </c>
      <c r="AI504" t="n">
        <v>7</v>
      </c>
      <c r="AJ504" t="n">
        <v>18</v>
      </c>
      <c r="AK504" t="n">
        <v>19</v>
      </c>
      <c r="AL504" t="n">
        <v>3</v>
      </c>
      <c r="AM504" t="n">
        <v>4</v>
      </c>
      <c r="AN504" t="n">
        <v>0</v>
      </c>
      <c r="AO504" t="n">
        <v>0</v>
      </c>
      <c r="AP504" t="inlineStr">
        <is>
          <t>No</t>
        </is>
      </c>
      <c r="AQ504" t="inlineStr">
        <is>
          <t>No</t>
        </is>
      </c>
      <c r="AS504">
        <f>HYPERLINK("https://creighton-primo.hosted.exlibrisgroup.com/primo-explore/search?tab=default_tab&amp;search_scope=EVERYTHING&amp;vid=01CRU&amp;lang=en_US&amp;offset=0&amp;query=any,contains,991002709199702656","Catalog Record")</f>
        <v/>
      </c>
      <c r="AT504">
        <f>HYPERLINK("http://www.worldcat.org/oclc/35450531","WorldCat Record")</f>
        <v/>
      </c>
      <c r="AU504" t="inlineStr">
        <is>
          <t>595986:eng</t>
        </is>
      </c>
      <c r="AV504" t="inlineStr">
        <is>
          <t>35450531</t>
        </is>
      </c>
      <c r="AW504" t="inlineStr">
        <is>
          <t>991002709199702656</t>
        </is>
      </c>
      <c r="AX504" t="inlineStr">
        <is>
          <t>991002709199702656</t>
        </is>
      </c>
      <c r="AY504" t="inlineStr">
        <is>
          <t>2254758640002656</t>
        </is>
      </c>
      <c r="AZ504" t="inlineStr">
        <is>
          <t>BOOK</t>
        </is>
      </c>
      <c r="BB504" t="inlineStr">
        <is>
          <t>9780465001873</t>
        </is>
      </c>
      <c r="BC504" t="inlineStr">
        <is>
          <t>32285002477353</t>
        </is>
      </c>
      <c r="BD504" t="inlineStr">
        <is>
          <t>893409434</t>
        </is>
      </c>
    </row>
    <row r="505">
      <c r="A505" t="inlineStr">
        <is>
          <t>No</t>
        </is>
      </c>
      <c r="B505" t="inlineStr">
        <is>
          <t>HN777 .A37</t>
        </is>
      </c>
      <c r="C505" t="inlineStr">
        <is>
          <t>0                      HN 0777000A  37</t>
        </is>
      </c>
      <c r="D505" t="inlineStr">
        <is>
          <t>African social studies : a radical reader / edited by Peter C. W. Gutkind and Peter Waterman.</t>
        </is>
      </c>
      <c r="F505" t="inlineStr">
        <is>
          <t>No</t>
        </is>
      </c>
      <c r="G505" t="inlineStr">
        <is>
          <t>1</t>
        </is>
      </c>
      <c r="H505" t="inlineStr">
        <is>
          <t>No</t>
        </is>
      </c>
      <c r="I505" t="inlineStr">
        <is>
          <t>No</t>
        </is>
      </c>
      <c r="J505" t="inlineStr">
        <is>
          <t>0</t>
        </is>
      </c>
      <c r="L505" t="inlineStr">
        <is>
          <t>New York : Monthly Review Press, c1977.</t>
        </is>
      </c>
      <c r="M505" t="inlineStr">
        <is>
          <t>1977</t>
        </is>
      </c>
      <c r="O505" t="inlineStr">
        <is>
          <t>eng</t>
        </is>
      </c>
      <c r="P505" t="inlineStr">
        <is>
          <t>nyu</t>
        </is>
      </c>
      <c r="R505" t="inlineStr">
        <is>
          <t xml:space="preserve">HN </t>
        </is>
      </c>
      <c r="S505" t="n">
        <v>3</v>
      </c>
      <c r="T505" t="n">
        <v>3</v>
      </c>
      <c r="U505" t="inlineStr">
        <is>
          <t>2001-03-26</t>
        </is>
      </c>
      <c r="V505" t="inlineStr">
        <is>
          <t>2001-03-26</t>
        </is>
      </c>
      <c r="W505" t="inlineStr">
        <is>
          <t>1992-10-14</t>
        </is>
      </c>
      <c r="X505" t="inlineStr">
        <is>
          <t>1992-10-14</t>
        </is>
      </c>
      <c r="Y505" t="n">
        <v>349</v>
      </c>
      <c r="Z505" t="n">
        <v>275</v>
      </c>
      <c r="AA505" t="n">
        <v>309</v>
      </c>
      <c r="AB505" t="n">
        <v>3</v>
      </c>
      <c r="AC505" t="n">
        <v>3</v>
      </c>
      <c r="AD505" t="n">
        <v>10</v>
      </c>
      <c r="AE505" t="n">
        <v>12</v>
      </c>
      <c r="AF505" t="n">
        <v>2</v>
      </c>
      <c r="AG505" t="n">
        <v>2</v>
      </c>
      <c r="AH505" t="n">
        <v>2</v>
      </c>
      <c r="AI505" t="n">
        <v>4</v>
      </c>
      <c r="AJ505" t="n">
        <v>5</v>
      </c>
      <c r="AK505" t="n">
        <v>7</v>
      </c>
      <c r="AL505" t="n">
        <v>2</v>
      </c>
      <c r="AM505" t="n">
        <v>2</v>
      </c>
      <c r="AN505" t="n">
        <v>0</v>
      </c>
      <c r="AO505" t="n">
        <v>0</v>
      </c>
      <c r="AP505" t="inlineStr">
        <is>
          <t>No</t>
        </is>
      </c>
      <c r="AQ505" t="inlineStr">
        <is>
          <t>No</t>
        </is>
      </c>
      <c r="AS505">
        <f>HYPERLINK("https://creighton-primo.hosted.exlibrisgroup.com/primo-explore/search?tab=default_tab&amp;search_scope=EVERYTHING&amp;vid=01CRU&amp;lang=en_US&amp;offset=0&amp;query=any,contains,991004346369702656","Catalog Record")</f>
        <v/>
      </c>
      <c r="AT505">
        <f>HYPERLINK("http://www.worldcat.org/oclc/3103484","WorldCat Record")</f>
        <v/>
      </c>
      <c r="AU505" t="inlineStr">
        <is>
          <t>866258945:eng</t>
        </is>
      </c>
      <c r="AV505" t="inlineStr">
        <is>
          <t>3103484</t>
        </is>
      </c>
      <c r="AW505" t="inlineStr">
        <is>
          <t>991004346369702656</t>
        </is>
      </c>
      <c r="AX505" t="inlineStr">
        <is>
          <t>991004346369702656</t>
        </is>
      </c>
      <c r="AY505" t="inlineStr">
        <is>
          <t>2272623510002656</t>
        </is>
      </c>
      <c r="AZ505" t="inlineStr">
        <is>
          <t>BOOK</t>
        </is>
      </c>
      <c r="BB505" t="inlineStr">
        <is>
          <t>9780853453819</t>
        </is>
      </c>
      <c r="BC505" t="inlineStr">
        <is>
          <t>32285001357838</t>
        </is>
      </c>
      <c r="BD505" t="inlineStr">
        <is>
          <t>893506739</t>
        </is>
      </c>
    </row>
    <row r="506">
      <c r="A506" t="inlineStr">
        <is>
          <t>No</t>
        </is>
      </c>
      <c r="B506" t="inlineStr">
        <is>
          <t>HN777 .H8 1964</t>
        </is>
      </c>
      <c r="C506" t="inlineStr">
        <is>
          <t>0                      HN 0777000H  8           1964</t>
        </is>
      </c>
      <c r="D506" t="inlineStr">
        <is>
          <t>The new societies of tropical Africa : a selective study.</t>
        </is>
      </c>
      <c r="F506" t="inlineStr">
        <is>
          <t>No</t>
        </is>
      </c>
      <c r="G506" t="inlineStr">
        <is>
          <t>1</t>
        </is>
      </c>
      <c r="H506" t="inlineStr">
        <is>
          <t>No</t>
        </is>
      </c>
      <c r="I506" t="inlineStr">
        <is>
          <t>No</t>
        </is>
      </c>
      <c r="J506" t="inlineStr">
        <is>
          <t>0</t>
        </is>
      </c>
      <c r="K506" t="inlineStr">
        <is>
          <t>Hunter, Guy.</t>
        </is>
      </c>
      <c r="L506" t="inlineStr">
        <is>
          <t>New York : F.A. Praeger, [1964, c1962]</t>
        </is>
      </c>
      <c r="M506" t="inlineStr">
        <is>
          <t>1964</t>
        </is>
      </c>
      <c r="O506" t="inlineStr">
        <is>
          <t>eng</t>
        </is>
      </c>
      <c r="P506" t="inlineStr">
        <is>
          <t>nyu</t>
        </is>
      </c>
      <c r="Q506" t="inlineStr">
        <is>
          <t>Praeger university series ; U-567</t>
        </is>
      </c>
      <c r="R506" t="inlineStr">
        <is>
          <t xml:space="preserve">HN </t>
        </is>
      </c>
      <c r="S506" t="n">
        <v>2</v>
      </c>
      <c r="T506" t="n">
        <v>2</v>
      </c>
      <c r="U506" t="inlineStr">
        <is>
          <t>1997-10-02</t>
        </is>
      </c>
      <c r="V506" t="inlineStr">
        <is>
          <t>1997-10-02</t>
        </is>
      </c>
      <c r="W506" t="inlineStr">
        <is>
          <t>1992-04-07</t>
        </is>
      </c>
      <c r="X506" t="inlineStr">
        <is>
          <t>1992-04-07</t>
        </is>
      </c>
      <c r="Y506" t="n">
        <v>158</v>
      </c>
      <c r="Z506" t="n">
        <v>143</v>
      </c>
      <c r="AA506" t="n">
        <v>615</v>
      </c>
      <c r="AB506" t="n">
        <v>2</v>
      </c>
      <c r="AC506" t="n">
        <v>4</v>
      </c>
      <c r="AD506" t="n">
        <v>7</v>
      </c>
      <c r="AE506" t="n">
        <v>27</v>
      </c>
      <c r="AF506" t="n">
        <v>3</v>
      </c>
      <c r="AG506" t="n">
        <v>8</v>
      </c>
      <c r="AH506" t="n">
        <v>0</v>
      </c>
      <c r="AI506" t="n">
        <v>6</v>
      </c>
      <c r="AJ506" t="n">
        <v>4</v>
      </c>
      <c r="AK506" t="n">
        <v>17</v>
      </c>
      <c r="AL506" t="n">
        <v>1</v>
      </c>
      <c r="AM506" t="n">
        <v>3</v>
      </c>
      <c r="AN506" t="n">
        <v>1</v>
      </c>
      <c r="AO506" t="n">
        <v>1</v>
      </c>
      <c r="AP506" t="inlineStr">
        <is>
          <t>No</t>
        </is>
      </c>
      <c r="AQ506" t="inlineStr">
        <is>
          <t>Yes</t>
        </is>
      </c>
      <c r="AR506">
        <f>HYPERLINK("http://catalog.hathitrust.org/Record/009694451","HathiTrust Record")</f>
        <v/>
      </c>
      <c r="AS506">
        <f>HYPERLINK("https://creighton-primo.hosted.exlibrisgroup.com/primo-explore/search?tab=default_tab&amp;search_scope=EVERYTHING&amp;vid=01CRU&amp;lang=en_US&amp;offset=0&amp;query=any,contains,991002011459702656","Catalog Record")</f>
        <v/>
      </c>
      <c r="AT506">
        <f>HYPERLINK("http://www.worldcat.org/oclc/258870","WorldCat Record")</f>
        <v/>
      </c>
      <c r="AU506" t="inlineStr">
        <is>
          <t>1318581:eng</t>
        </is>
      </c>
      <c r="AV506" t="inlineStr">
        <is>
          <t>258870</t>
        </is>
      </c>
      <c r="AW506" t="inlineStr">
        <is>
          <t>991002011459702656</t>
        </is>
      </c>
      <c r="AX506" t="inlineStr">
        <is>
          <t>991002011459702656</t>
        </is>
      </c>
      <c r="AY506" t="inlineStr">
        <is>
          <t>2271623960002656</t>
        </is>
      </c>
      <c r="AZ506" t="inlineStr">
        <is>
          <t>BOOK</t>
        </is>
      </c>
      <c r="BC506" t="inlineStr">
        <is>
          <t>32285001055317</t>
        </is>
      </c>
      <c r="BD506" t="inlineStr">
        <is>
          <t>893534801</t>
        </is>
      </c>
    </row>
    <row r="507">
      <c r="A507" t="inlineStr">
        <is>
          <t>No</t>
        </is>
      </c>
      <c r="B507" t="inlineStr">
        <is>
          <t>HN777 .I6 1959</t>
        </is>
      </c>
      <c r="C507" t="inlineStr">
        <is>
          <t>0                      HN 0777000I  6           1959</t>
        </is>
      </c>
      <c r="D507" t="inlineStr">
        <is>
          <t>Social change in modern Africa; studies presented and discussed. Edited by Aiden Southall. Foreword by Daryll Forde.</t>
        </is>
      </c>
      <c r="F507" t="inlineStr">
        <is>
          <t>No</t>
        </is>
      </c>
      <c r="G507" t="inlineStr">
        <is>
          <t>1</t>
        </is>
      </c>
      <c r="H507" t="inlineStr">
        <is>
          <t>No</t>
        </is>
      </c>
      <c r="I507" t="inlineStr">
        <is>
          <t>No</t>
        </is>
      </c>
      <c r="J507" t="inlineStr">
        <is>
          <t>0</t>
        </is>
      </c>
      <c r="K507" t="inlineStr">
        <is>
          <t>International African Seminar (1st : 1959 : Makerere College)</t>
        </is>
      </c>
      <c r="L507" t="inlineStr">
        <is>
          <t>London, New York, Published for the International African Institute by the Oxford University Press, 1961.</t>
        </is>
      </c>
      <c r="M507" t="inlineStr">
        <is>
          <t>1961</t>
        </is>
      </c>
      <c r="O507" t="inlineStr">
        <is>
          <t>eng</t>
        </is>
      </c>
      <c r="P507" t="inlineStr">
        <is>
          <t>enk</t>
        </is>
      </c>
      <c r="R507" t="inlineStr">
        <is>
          <t xml:space="preserve">HN </t>
        </is>
      </c>
      <c r="S507" t="n">
        <v>2</v>
      </c>
      <c r="T507" t="n">
        <v>2</v>
      </c>
      <c r="U507" t="inlineStr">
        <is>
          <t>1997-10-02</t>
        </is>
      </c>
      <c r="V507" t="inlineStr">
        <is>
          <t>1997-10-02</t>
        </is>
      </c>
      <c r="W507" t="inlineStr">
        <is>
          <t>1997-08-07</t>
        </is>
      </c>
      <c r="X507" t="inlineStr">
        <is>
          <t>1997-08-07</t>
        </is>
      </c>
      <c r="Y507" t="n">
        <v>527</v>
      </c>
      <c r="Z507" t="n">
        <v>452</v>
      </c>
      <c r="AA507" t="n">
        <v>454</v>
      </c>
      <c r="AB507" t="n">
        <v>3</v>
      </c>
      <c r="AC507" t="n">
        <v>3</v>
      </c>
      <c r="AD507" t="n">
        <v>15</v>
      </c>
      <c r="AE507" t="n">
        <v>15</v>
      </c>
      <c r="AF507" t="n">
        <v>5</v>
      </c>
      <c r="AG507" t="n">
        <v>5</v>
      </c>
      <c r="AH507" t="n">
        <v>2</v>
      </c>
      <c r="AI507" t="n">
        <v>2</v>
      </c>
      <c r="AJ507" t="n">
        <v>9</v>
      </c>
      <c r="AK507" t="n">
        <v>9</v>
      </c>
      <c r="AL507" t="n">
        <v>2</v>
      </c>
      <c r="AM507" t="n">
        <v>2</v>
      </c>
      <c r="AN507" t="n">
        <v>0</v>
      </c>
      <c r="AO507" t="n">
        <v>0</v>
      </c>
      <c r="AP507" t="inlineStr">
        <is>
          <t>No</t>
        </is>
      </c>
      <c r="AQ507" t="inlineStr">
        <is>
          <t>No</t>
        </is>
      </c>
      <c r="AS507">
        <f>HYPERLINK("https://creighton-primo.hosted.exlibrisgroup.com/primo-explore/search?tab=default_tab&amp;search_scope=EVERYTHING&amp;vid=01CRU&amp;lang=en_US&amp;offset=0&amp;query=any,contains,991003151939702656","Catalog Record")</f>
        <v/>
      </c>
      <c r="AT507">
        <f>HYPERLINK("http://www.worldcat.org/oclc/691166","WorldCat Record")</f>
        <v/>
      </c>
      <c r="AU507" t="inlineStr">
        <is>
          <t>4918388114:eng</t>
        </is>
      </c>
      <c r="AV507" t="inlineStr">
        <is>
          <t>691166</t>
        </is>
      </c>
      <c r="AW507" t="inlineStr">
        <is>
          <t>991003151939702656</t>
        </is>
      </c>
      <c r="AX507" t="inlineStr">
        <is>
          <t>991003151939702656</t>
        </is>
      </c>
      <c r="AY507" t="inlineStr">
        <is>
          <t>2260057570002656</t>
        </is>
      </c>
      <c r="AZ507" t="inlineStr">
        <is>
          <t>BOOK</t>
        </is>
      </c>
      <c r="BC507" t="inlineStr">
        <is>
          <t>32285003088183</t>
        </is>
      </c>
      <c r="BD507" t="inlineStr">
        <is>
          <t>893623201</t>
        </is>
      </c>
    </row>
    <row r="508">
      <c r="A508" t="inlineStr">
        <is>
          <t>No</t>
        </is>
      </c>
      <c r="B508" t="inlineStr">
        <is>
          <t>HN780.Z9 C643 1992</t>
        </is>
      </c>
      <c r="C508" t="inlineStr">
        <is>
          <t>0                      HN 0780000Z  9                  C  643         1992</t>
        </is>
      </c>
      <c r="D508" t="inlineStr">
        <is>
          <t>Development from within : survival in rural Africa / edited by D.R.F. Taylor and Fiona Mackenzie.</t>
        </is>
      </c>
      <c r="F508" t="inlineStr">
        <is>
          <t>No</t>
        </is>
      </c>
      <c r="G508" t="inlineStr">
        <is>
          <t>1</t>
        </is>
      </c>
      <c r="H508" t="inlineStr">
        <is>
          <t>No</t>
        </is>
      </c>
      <c r="I508" t="inlineStr">
        <is>
          <t>No</t>
        </is>
      </c>
      <c r="J508" t="inlineStr">
        <is>
          <t>0</t>
        </is>
      </c>
      <c r="L508" t="inlineStr">
        <is>
          <t>London ; New York : Routledge, 1992.</t>
        </is>
      </c>
      <c r="M508" t="inlineStr">
        <is>
          <t>1992</t>
        </is>
      </c>
      <c r="O508" t="inlineStr">
        <is>
          <t>eng</t>
        </is>
      </c>
      <c r="P508" t="inlineStr">
        <is>
          <t>enk</t>
        </is>
      </c>
      <c r="R508" t="inlineStr">
        <is>
          <t xml:space="preserve">HN </t>
        </is>
      </c>
      <c r="S508" t="n">
        <v>4</v>
      </c>
      <c r="T508" t="n">
        <v>4</v>
      </c>
      <c r="U508" t="inlineStr">
        <is>
          <t>1998-03-30</t>
        </is>
      </c>
      <c r="V508" t="inlineStr">
        <is>
          <t>1998-03-30</t>
        </is>
      </c>
      <c r="W508" t="inlineStr">
        <is>
          <t>1992-07-09</t>
        </is>
      </c>
      <c r="X508" t="inlineStr">
        <is>
          <t>1992-07-09</t>
        </is>
      </c>
      <c r="Y508" t="n">
        <v>310</v>
      </c>
      <c r="Z508" t="n">
        <v>138</v>
      </c>
      <c r="AA508" t="n">
        <v>143</v>
      </c>
      <c r="AB508" t="n">
        <v>1</v>
      </c>
      <c r="AC508" t="n">
        <v>1</v>
      </c>
      <c r="AD508" t="n">
        <v>6</v>
      </c>
      <c r="AE508" t="n">
        <v>6</v>
      </c>
      <c r="AF508" t="n">
        <v>2</v>
      </c>
      <c r="AG508" t="n">
        <v>2</v>
      </c>
      <c r="AH508" t="n">
        <v>2</v>
      </c>
      <c r="AI508" t="n">
        <v>2</v>
      </c>
      <c r="AJ508" t="n">
        <v>3</v>
      </c>
      <c r="AK508" t="n">
        <v>3</v>
      </c>
      <c r="AL508" t="n">
        <v>0</v>
      </c>
      <c r="AM508" t="n">
        <v>0</v>
      </c>
      <c r="AN508" t="n">
        <v>0</v>
      </c>
      <c r="AO508" t="n">
        <v>0</v>
      </c>
      <c r="AP508" t="inlineStr">
        <is>
          <t>No</t>
        </is>
      </c>
      <c r="AQ508" t="inlineStr">
        <is>
          <t>No</t>
        </is>
      </c>
      <c r="AS508">
        <f>HYPERLINK("https://creighton-primo.hosted.exlibrisgroup.com/primo-explore/search?tab=default_tab&amp;search_scope=EVERYTHING&amp;vid=01CRU&amp;lang=en_US&amp;offset=0&amp;query=any,contains,991001860429702656","Catalog Record")</f>
        <v/>
      </c>
      <c r="AT508">
        <f>HYPERLINK("http://www.worldcat.org/oclc/23382318","WorldCat Record")</f>
        <v/>
      </c>
      <c r="AU508" t="inlineStr">
        <is>
          <t>836843483:eng</t>
        </is>
      </c>
      <c r="AV508" t="inlineStr">
        <is>
          <t>23382318</t>
        </is>
      </c>
      <c r="AW508" t="inlineStr">
        <is>
          <t>991001860429702656</t>
        </is>
      </c>
      <c r="AX508" t="inlineStr">
        <is>
          <t>991001860429702656</t>
        </is>
      </c>
      <c r="AY508" t="inlineStr">
        <is>
          <t>2266592270002656</t>
        </is>
      </c>
      <c r="AZ508" t="inlineStr">
        <is>
          <t>BOOK</t>
        </is>
      </c>
      <c r="BB508" t="inlineStr">
        <is>
          <t>9780415069915</t>
        </is>
      </c>
      <c r="BC508" t="inlineStr">
        <is>
          <t>32285001158020</t>
        </is>
      </c>
      <c r="BD508" t="inlineStr">
        <is>
          <t>893715774</t>
        </is>
      </c>
    </row>
    <row r="509">
      <c r="A509" t="inlineStr">
        <is>
          <t>No</t>
        </is>
      </c>
      <c r="B509" t="inlineStr">
        <is>
          <t>HN780.Z9 V5652 2008</t>
        </is>
      </c>
      <c r="C509" t="inlineStr">
        <is>
          <t>0                      HN 0780000Z  9                  V  5652        2008</t>
        </is>
      </c>
      <c r="D509" t="inlineStr">
        <is>
          <t>The roots of African conflicts : the causes &amp; costs / edited by Alfred Nhema &amp; Paul Tiyambe Zeleza.</t>
        </is>
      </c>
      <c r="F509" t="inlineStr">
        <is>
          <t>No</t>
        </is>
      </c>
      <c r="G509" t="inlineStr">
        <is>
          <t>1</t>
        </is>
      </c>
      <c r="H509" t="inlineStr">
        <is>
          <t>No</t>
        </is>
      </c>
      <c r="I509" t="inlineStr">
        <is>
          <t>No</t>
        </is>
      </c>
      <c r="J509" t="inlineStr">
        <is>
          <t>0</t>
        </is>
      </c>
      <c r="L509" t="inlineStr">
        <is>
          <t>Oxford : James Currey ; Athens, Ohio : Ohio University Press ; Pretoria : UNISA Press, 2008.</t>
        </is>
      </c>
      <c r="M509" t="inlineStr">
        <is>
          <t>2008</t>
        </is>
      </c>
      <c r="O509" t="inlineStr">
        <is>
          <t>eng</t>
        </is>
      </c>
      <c r="P509" t="inlineStr">
        <is>
          <t>enk</t>
        </is>
      </c>
      <c r="R509" t="inlineStr">
        <is>
          <t xml:space="preserve">HN </t>
        </is>
      </c>
      <c r="S509" t="n">
        <v>2</v>
      </c>
      <c r="T509" t="n">
        <v>2</v>
      </c>
      <c r="U509" t="inlineStr">
        <is>
          <t>2009-04-09</t>
        </is>
      </c>
      <c r="V509" t="inlineStr">
        <is>
          <t>2009-04-09</t>
        </is>
      </c>
      <c r="W509" t="inlineStr">
        <is>
          <t>2009-02-16</t>
        </is>
      </c>
      <c r="X509" t="inlineStr">
        <is>
          <t>2009-02-16</t>
        </is>
      </c>
      <c r="Y509" t="n">
        <v>179</v>
      </c>
      <c r="Z509" t="n">
        <v>121</v>
      </c>
      <c r="AA509" t="n">
        <v>554</v>
      </c>
      <c r="AB509" t="n">
        <v>1</v>
      </c>
      <c r="AC509" t="n">
        <v>6</v>
      </c>
      <c r="AD509" t="n">
        <v>9</v>
      </c>
      <c r="AE509" t="n">
        <v>27</v>
      </c>
      <c r="AF509" t="n">
        <v>3</v>
      </c>
      <c r="AG509" t="n">
        <v>8</v>
      </c>
      <c r="AH509" t="n">
        <v>5</v>
      </c>
      <c r="AI509" t="n">
        <v>9</v>
      </c>
      <c r="AJ509" t="n">
        <v>5</v>
      </c>
      <c r="AK509" t="n">
        <v>10</v>
      </c>
      <c r="AL509" t="n">
        <v>0</v>
      </c>
      <c r="AM509" t="n">
        <v>5</v>
      </c>
      <c r="AN509" t="n">
        <v>0</v>
      </c>
      <c r="AO509" t="n">
        <v>1</v>
      </c>
      <c r="AP509" t="inlineStr">
        <is>
          <t>No</t>
        </is>
      </c>
      <c r="AQ509" t="inlineStr">
        <is>
          <t>Yes</t>
        </is>
      </c>
      <c r="AR509">
        <f>HYPERLINK("http://catalog.hathitrust.org/Record/005664298","HathiTrust Record")</f>
        <v/>
      </c>
      <c r="AS509">
        <f>HYPERLINK("https://creighton-primo.hosted.exlibrisgroup.com/primo-explore/search?tab=default_tab&amp;search_scope=EVERYTHING&amp;vid=01CRU&amp;lang=en_US&amp;offset=0&amp;query=any,contains,991005293159702656","Catalog Record")</f>
        <v/>
      </c>
      <c r="AT509">
        <f>HYPERLINK("http://www.worldcat.org/oclc/232605809","WorldCat Record")</f>
        <v/>
      </c>
      <c r="AU509" t="inlineStr">
        <is>
          <t>796723112:eng</t>
        </is>
      </c>
      <c r="AV509" t="inlineStr">
        <is>
          <t>232605809</t>
        </is>
      </c>
      <c r="AW509" t="inlineStr">
        <is>
          <t>991005293159702656</t>
        </is>
      </c>
      <c r="AX509" t="inlineStr">
        <is>
          <t>991005293159702656</t>
        </is>
      </c>
      <c r="AY509" t="inlineStr">
        <is>
          <t>2268848110002656</t>
        </is>
      </c>
      <c r="AZ509" t="inlineStr">
        <is>
          <t>BOOK</t>
        </is>
      </c>
      <c r="BB509" t="inlineStr">
        <is>
          <t>9780821418093</t>
        </is>
      </c>
      <c r="BC509" t="inlineStr">
        <is>
          <t>32285005504732</t>
        </is>
      </c>
      <c r="BD509" t="inlineStr">
        <is>
          <t>893701334</t>
        </is>
      </c>
    </row>
    <row r="510">
      <c r="A510" t="inlineStr">
        <is>
          <t>No</t>
        </is>
      </c>
      <c r="B510" t="inlineStr">
        <is>
          <t>HN783.5 .M38</t>
        </is>
      </c>
      <c r="C510" t="inlineStr">
        <is>
          <t>0                      HN 0783500M  38</t>
        </is>
      </c>
      <c r="D510" t="inlineStr">
        <is>
          <t>Rural politics in Nasser's Egypt; a quest for legitimacy [by] James B. Mayfield. Foreword by George Lenczowski.</t>
        </is>
      </c>
      <c r="F510" t="inlineStr">
        <is>
          <t>No</t>
        </is>
      </c>
      <c r="G510" t="inlineStr">
        <is>
          <t>1</t>
        </is>
      </c>
      <c r="H510" t="inlineStr">
        <is>
          <t>No</t>
        </is>
      </c>
      <c r="I510" t="inlineStr">
        <is>
          <t>No</t>
        </is>
      </c>
      <c r="J510" t="inlineStr">
        <is>
          <t>0</t>
        </is>
      </c>
      <c r="K510" t="inlineStr">
        <is>
          <t>Mayfield, James B.</t>
        </is>
      </c>
      <c r="L510" t="inlineStr">
        <is>
          <t>Austin, University of Texas Press [1971]</t>
        </is>
      </c>
      <c r="M510" t="inlineStr">
        <is>
          <t>1971</t>
        </is>
      </c>
      <c r="O510" t="inlineStr">
        <is>
          <t>eng</t>
        </is>
      </c>
      <c r="P510" t="inlineStr">
        <is>
          <t>txu</t>
        </is>
      </c>
      <c r="R510" t="inlineStr">
        <is>
          <t xml:space="preserve">HN </t>
        </is>
      </c>
      <c r="S510" t="n">
        <v>1</v>
      </c>
      <c r="T510" t="n">
        <v>1</v>
      </c>
      <c r="U510" t="inlineStr">
        <is>
          <t>2004-02-20</t>
        </is>
      </c>
      <c r="V510" t="inlineStr">
        <is>
          <t>2004-02-20</t>
        </is>
      </c>
      <c r="W510" t="inlineStr">
        <is>
          <t>1997-08-08</t>
        </is>
      </c>
      <c r="X510" t="inlineStr">
        <is>
          <t>1997-08-08</t>
        </is>
      </c>
      <c r="Y510" t="n">
        <v>423</v>
      </c>
      <c r="Z510" t="n">
        <v>342</v>
      </c>
      <c r="AA510" t="n">
        <v>357</v>
      </c>
      <c r="AB510" t="n">
        <v>3</v>
      </c>
      <c r="AC510" t="n">
        <v>3</v>
      </c>
      <c r="AD510" t="n">
        <v>12</v>
      </c>
      <c r="AE510" t="n">
        <v>12</v>
      </c>
      <c r="AF510" t="n">
        <v>2</v>
      </c>
      <c r="AG510" t="n">
        <v>2</v>
      </c>
      <c r="AH510" t="n">
        <v>3</v>
      </c>
      <c r="AI510" t="n">
        <v>3</v>
      </c>
      <c r="AJ510" t="n">
        <v>7</v>
      </c>
      <c r="AK510" t="n">
        <v>7</v>
      </c>
      <c r="AL510" t="n">
        <v>2</v>
      </c>
      <c r="AM510" t="n">
        <v>2</v>
      </c>
      <c r="AN510" t="n">
        <v>0</v>
      </c>
      <c r="AO510" t="n">
        <v>0</v>
      </c>
      <c r="AP510" t="inlineStr">
        <is>
          <t>No</t>
        </is>
      </c>
      <c r="AQ510" t="inlineStr">
        <is>
          <t>Yes</t>
        </is>
      </c>
      <c r="AR510">
        <f>HYPERLINK("http://catalog.hathitrust.org/Record/000976593","HathiTrust Record")</f>
        <v/>
      </c>
      <c r="AS510">
        <f>HYPERLINK("https://creighton-primo.hosted.exlibrisgroup.com/primo-explore/search?tab=default_tab&amp;search_scope=EVERYTHING&amp;vid=01CRU&amp;lang=en_US&amp;offset=0&amp;query=any,contains,991001234089702656","Catalog Record")</f>
        <v/>
      </c>
      <c r="AT510">
        <f>HYPERLINK("http://www.worldcat.org/oclc/204488","WorldCat Record")</f>
        <v/>
      </c>
      <c r="AU510" t="inlineStr">
        <is>
          <t>293067526:eng</t>
        </is>
      </c>
      <c r="AV510" t="inlineStr">
        <is>
          <t>204488</t>
        </is>
      </c>
      <c r="AW510" t="inlineStr">
        <is>
          <t>991001234089702656</t>
        </is>
      </c>
      <c r="AX510" t="inlineStr">
        <is>
          <t>991001234089702656</t>
        </is>
      </c>
      <c r="AY510" t="inlineStr">
        <is>
          <t>2255515380002656</t>
        </is>
      </c>
      <c r="AZ510" t="inlineStr">
        <is>
          <t>BOOK</t>
        </is>
      </c>
      <c r="BB510" t="inlineStr">
        <is>
          <t>9780292701366</t>
        </is>
      </c>
      <c r="BC510" t="inlineStr">
        <is>
          <t>32285003087136</t>
        </is>
      </c>
      <c r="BD510" t="inlineStr">
        <is>
          <t>893803466</t>
        </is>
      </c>
    </row>
    <row r="511">
      <c r="A511" t="inlineStr">
        <is>
          <t>No</t>
        </is>
      </c>
      <c r="B511" t="inlineStr">
        <is>
          <t>HN784.A8 A53 1986</t>
        </is>
      </c>
      <c r="C511" t="inlineStr">
        <is>
          <t>0                      HN 0784000A  8                  A  53          1986</t>
        </is>
      </c>
      <c r="D511" t="inlineStr">
        <is>
          <t>The state and social transformation in Tunisia and Libya, 1830-1980 / Lisa Anderson.</t>
        </is>
      </c>
      <c r="F511" t="inlineStr">
        <is>
          <t>No</t>
        </is>
      </c>
      <c r="G511" t="inlineStr">
        <is>
          <t>1</t>
        </is>
      </c>
      <c r="H511" t="inlineStr">
        <is>
          <t>No</t>
        </is>
      </c>
      <c r="I511" t="inlineStr">
        <is>
          <t>No</t>
        </is>
      </c>
      <c r="J511" t="inlineStr">
        <is>
          <t>0</t>
        </is>
      </c>
      <c r="K511" t="inlineStr">
        <is>
          <t>Anderson, Lisa, 1950-</t>
        </is>
      </c>
      <c r="L511" t="inlineStr">
        <is>
          <t>Princeton, N.J. : Princeton University Press, c1986.</t>
        </is>
      </c>
      <c r="M511" t="inlineStr">
        <is>
          <t>1986</t>
        </is>
      </c>
      <c r="O511" t="inlineStr">
        <is>
          <t>eng</t>
        </is>
      </c>
      <c r="P511" t="inlineStr">
        <is>
          <t>nju</t>
        </is>
      </c>
      <c r="Q511" t="inlineStr">
        <is>
          <t>Princeton studies on the Near East</t>
        </is>
      </c>
      <c r="R511" t="inlineStr">
        <is>
          <t xml:space="preserve">HN </t>
        </is>
      </c>
      <c r="S511" t="n">
        <v>2</v>
      </c>
      <c r="T511" t="n">
        <v>2</v>
      </c>
      <c r="U511" t="inlineStr">
        <is>
          <t>1995-01-25</t>
        </is>
      </c>
      <c r="V511" t="inlineStr">
        <is>
          <t>1995-01-25</t>
        </is>
      </c>
      <c r="W511" t="inlineStr">
        <is>
          <t>1990-07-23</t>
        </is>
      </c>
      <c r="X511" t="inlineStr">
        <is>
          <t>1990-07-23</t>
        </is>
      </c>
      <c r="Y511" t="n">
        <v>464</v>
      </c>
      <c r="Z511" t="n">
        <v>367</v>
      </c>
      <c r="AA511" t="n">
        <v>396</v>
      </c>
      <c r="AB511" t="n">
        <v>2</v>
      </c>
      <c r="AC511" t="n">
        <v>2</v>
      </c>
      <c r="AD511" t="n">
        <v>16</v>
      </c>
      <c r="AE511" t="n">
        <v>17</v>
      </c>
      <c r="AF511" t="n">
        <v>6</v>
      </c>
      <c r="AG511" t="n">
        <v>6</v>
      </c>
      <c r="AH511" t="n">
        <v>6</v>
      </c>
      <c r="AI511" t="n">
        <v>6</v>
      </c>
      <c r="AJ511" t="n">
        <v>9</v>
      </c>
      <c r="AK511" t="n">
        <v>10</v>
      </c>
      <c r="AL511" t="n">
        <v>1</v>
      </c>
      <c r="AM511" t="n">
        <v>1</v>
      </c>
      <c r="AN511" t="n">
        <v>0</v>
      </c>
      <c r="AO511" t="n">
        <v>0</v>
      </c>
      <c r="AP511" t="inlineStr">
        <is>
          <t>No</t>
        </is>
      </c>
      <c r="AQ511" t="inlineStr">
        <is>
          <t>No</t>
        </is>
      </c>
      <c r="AS511">
        <f>HYPERLINK("https://creighton-primo.hosted.exlibrisgroup.com/primo-explore/search?tab=default_tab&amp;search_scope=EVERYTHING&amp;vid=01CRU&amp;lang=en_US&amp;offset=0&amp;query=any,contains,991000738349702656","Catalog Record")</f>
        <v/>
      </c>
      <c r="AT511">
        <f>HYPERLINK("http://www.worldcat.org/oclc/12804736","WorldCat Record")</f>
        <v/>
      </c>
      <c r="AU511" t="inlineStr">
        <is>
          <t>117976207:eng</t>
        </is>
      </c>
      <c r="AV511" t="inlineStr">
        <is>
          <t>12804736</t>
        </is>
      </c>
      <c r="AW511" t="inlineStr">
        <is>
          <t>991000738349702656</t>
        </is>
      </c>
      <c r="AX511" t="inlineStr">
        <is>
          <t>991000738349702656</t>
        </is>
      </c>
      <c r="AY511" t="inlineStr">
        <is>
          <t>2255808870002656</t>
        </is>
      </c>
      <c r="AZ511" t="inlineStr">
        <is>
          <t>BOOK</t>
        </is>
      </c>
      <c r="BB511" t="inlineStr">
        <is>
          <t>9780691054629</t>
        </is>
      </c>
      <c r="BC511" t="inlineStr">
        <is>
          <t>32285000247378</t>
        </is>
      </c>
      <c r="BD511" t="inlineStr">
        <is>
          <t>893438555</t>
        </is>
      </c>
    </row>
    <row r="512">
      <c r="A512" t="inlineStr">
        <is>
          <t>No</t>
        </is>
      </c>
      <c r="B512" t="inlineStr">
        <is>
          <t>HN786.A8 T65 1990</t>
        </is>
      </c>
      <c r="C512" t="inlineStr">
        <is>
          <t>0                      HN 0786000A  8                  T  65          1990</t>
        </is>
      </c>
      <c r="D512" t="inlineStr">
        <is>
          <t>State and society in mid-nineteenth-century Egypt / Ehud R. Toledano.</t>
        </is>
      </c>
      <c r="F512" t="inlineStr">
        <is>
          <t>No</t>
        </is>
      </c>
      <c r="G512" t="inlineStr">
        <is>
          <t>1</t>
        </is>
      </c>
      <c r="H512" t="inlineStr">
        <is>
          <t>No</t>
        </is>
      </c>
      <c r="I512" t="inlineStr">
        <is>
          <t>No</t>
        </is>
      </c>
      <c r="J512" t="inlineStr">
        <is>
          <t>0</t>
        </is>
      </c>
      <c r="K512" t="inlineStr">
        <is>
          <t>Toledano, Ehud R.</t>
        </is>
      </c>
      <c r="L512" t="inlineStr">
        <is>
          <t>Cambridge [England] ; New York : Cambridge University Press, 1990.</t>
        </is>
      </c>
      <c r="M512" t="inlineStr">
        <is>
          <t>1990</t>
        </is>
      </c>
      <c r="O512" t="inlineStr">
        <is>
          <t>eng</t>
        </is>
      </c>
      <c r="P512" t="inlineStr">
        <is>
          <t>enk</t>
        </is>
      </c>
      <c r="Q512" t="inlineStr">
        <is>
          <t>Cambridge Middle East library ; 22</t>
        </is>
      </c>
      <c r="R512" t="inlineStr">
        <is>
          <t xml:space="preserve">HN </t>
        </is>
      </c>
      <c r="S512" t="n">
        <v>1</v>
      </c>
      <c r="T512" t="n">
        <v>1</v>
      </c>
      <c r="U512" t="inlineStr">
        <is>
          <t>1994-01-05</t>
        </is>
      </c>
      <c r="V512" t="inlineStr">
        <is>
          <t>1994-01-05</t>
        </is>
      </c>
      <c r="W512" t="inlineStr">
        <is>
          <t>1990-06-04</t>
        </is>
      </c>
      <c r="X512" t="inlineStr">
        <is>
          <t>1990-06-04</t>
        </is>
      </c>
      <c r="Y512" t="n">
        <v>344</v>
      </c>
      <c r="Z512" t="n">
        <v>249</v>
      </c>
      <c r="AA512" t="n">
        <v>263</v>
      </c>
      <c r="AB512" t="n">
        <v>2</v>
      </c>
      <c r="AC512" t="n">
        <v>2</v>
      </c>
      <c r="AD512" t="n">
        <v>14</v>
      </c>
      <c r="AE512" t="n">
        <v>14</v>
      </c>
      <c r="AF512" t="n">
        <v>3</v>
      </c>
      <c r="AG512" t="n">
        <v>3</v>
      </c>
      <c r="AH512" t="n">
        <v>6</v>
      </c>
      <c r="AI512" t="n">
        <v>6</v>
      </c>
      <c r="AJ512" t="n">
        <v>8</v>
      </c>
      <c r="AK512" t="n">
        <v>8</v>
      </c>
      <c r="AL512" t="n">
        <v>1</v>
      </c>
      <c r="AM512" t="n">
        <v>1</v>
      </c>
      <c r="AN512" t="n">
        <v>0</v>
      </c>
      <c r="AO512" t="n">
        <v>0</v>
      </c>
      <c r="AP512" t="inlineStr">
        <is>
          <t>No</t>
        </is>
      </c>
      <c r="AQ512" t="inlineStr">
        <is>
          <t>No</t>
        </is>
      </c>
      <c r="AS512">
        <f>HYPERLINK("https://creighton-primo.hosted.exlibrisgroup.com/primo-explore/search?tab=default_tab&amp;search_scope=EVERYTHING&amp;vid=01CRU&amp;lang=en_US&amp;offset=0&amp;query=any,contains,991001487079702656","Catalog Record")</f>
        <v/>
      </c>
      <c r="AT512">
        <f>HYPERLINK("http://www.worldcat.org/oclc/19670540","WorldCat Record")</f>
        <v/>
      </c>
      <c r="AU512" t="inlineStr">
        <is>
          <t>708610:eng</t>
        </is>
      </c>
      <c r="AV512" t="inlineStr">
        <is>
          <t>19670540</t>
        </is>
      </c>
      <c r="AW512" t="inlineStr">
        <is>
          <t>991001487079702656</t>
        </is>
      </c>
      <c r="AX512" t="inlineStr">
        <is>
          <t>991001487079702656</t>
        </is>
      </c>
      <c r="AY512" t="inlineStr">
        <is>
          <t>2264415950002656</t>
        </is>
      </c>
      <c r="AZ512" t="inlineStr">
        <is>
          <t>BOOK</t>
        </is>
      </c>
      <c r="BB512" t="inlineStr">
        <is>
          <t>9780521371940</t>
        </is>
      </c>
      <c r="BC512" t="inlineStr">
        <is>
          <t>32285000156884</t>
        </is>
      </c>
      <c r="BD512" t="inlineStr">
        <is>
          <t>893534563</t>
        </is>
      </c>
    </row>
    <row r="513">
      <c r="A513" t="inlineStr">
        <is>
          <t>No</t>
        </is>
      </c>
      <c r="B513" t="inlineStr">
        <is>
          <t>HN786.K33 F34 1987</t>
        </is>
      </c>
      <c r="C513" t="inlineStr">
        <is>
          <t>0                      HN 0786000K  33                 F  34          1987</t>
        </is>
      </c>
      <c r="D513" t="inlineStr">
        <is>
          <t>Kafr el-Elow : continuity and change in an Egyptian community / by Hani Fakhouri.</t>
        </is>
      </c>
      <c r="F513" t="inlineStr">
        <is>
          <t>No</t>
        </is>
      </c>
      <c r="G513" t="inlineStr">
        <is>
          <t>1</t>
        </is>
      </c>
      <c r="H513" t="inlineStr">
        <is>
          <t>No</t>
        </is>
      </c>
      <c r="I513" t="inlineStr">
        <is>
          <t>No</t>
        </is>
      </c>
      <c r="J513" t="inlineStr">
        <is>
          <t>0</t>
        </is>
      </c>
      <c r="K513" t="inlineStr">
        <is>
          <t>Fakhouri, Hani.</t>
        </is>
      </c>
      <c r="L513" t="inlineStr">
        <is>
          <t>Prospect Heights, Ill. : Waveland Press, c1987.</t>
        </is>
      </c>
      <c r="M513" t="inlineStr">
        <is>
          <t>1987</t>
        </is>
      </c>
      <c r="N513" t="inlineStr">
        <is>
          <t>2nd ed.</t>
        </is>
      </c>
      <c r="O513" t="inlineStr">
        <is>
          <t>eng</t>
        </is>
      </c>
      <c r="P513" t="inlineStr">
        <is>
          <t>ilu</t>
        </is>
      </c>
      <c r="R513" t="inlineStr">
        <is>
          <t xml:space="preserve">HN </t>
        </is>
      </c>
      <c r="S513" t="n">
        <v>2</v>
      </c>
      <c r="T513" t="n">
        <v>2</v>
      </c>
      <c r="U513" t="inlineStr">
        <is>
          <t>1998-06-26</t>
        </is>
      </c>
      <c r="V513" t="inlineStr">
        <is>
          <t>1998-06-26</t>
        </is>
      </c>
      <c r="W513" t="inlineStr">
        <is>
          <t>1992-10-14</t>
        </is>
      </c>
      <c r="X513" t="inlineStr">
        <is>
          <t>1992-10-14</t>
        </is>
      </c>
      <c r="Y513" t="n">
        <v>159</v>
      </c>
      <c r="Z513" t="n">
        <v>142</v>
      </c>
      <c r="AA513" t="n">
        <v>149</v>
      </c>
      <c r="AB513" t="n">
        <v>3</v>
      </c>
      <c r="AC513" t="n">
        <v>3</v>
      </c>
      <c r="AD513" t="n">
        <v>10</v>
      </c>
      <c r="AE513" t="n">
        <v>10</v>
      </c>
      <c r="AF513" t="n">
        <v>3</v>
      </c>
      <c r="AG513" t="n">
        <v>3</v>
      </c>
      <c r="AH513" t="n">
        <v>1</v>
      </c>
      <c r="AI513" t="n">
        <v>1</v>
      </c>
      <c r="AJ513" t="n">
        <v>6</v>
      </c>
      <c r="AK513" t="n">
        <v>6</v>
      </c>
      <c r="AL513" t="n">
        <v>2</v>
      </c>
      <c r="AM513" t="n">
        <v>2</v>
      </c>
      <c r="AN513" t="n">
        <v>0</v>
      </c>
      <c r="AO513" t="n">
        <v>0</v>
      </c>
      <c r="AP513" t="inlineStr">
        <is>
          <t>No</t>
        </is>
      </c>
      <c r="AQ513" t="inlineStr">
        <is>
          <t>Yes</t>
        </is>
      </c>
      <c r="AR513">
        <f>HYPERLINK("http://catalog.hathitrust.org/Record/006267228","HathiTrust Record")</f>
        <v/>
      </c>
      <c r="AS513">
        <f>HYPERLINK("https://creighton-primo.hosted.exlibrisgroup.com/primo-explore/search?tab=default_tab&amp;search_scope=EVERYTHING&amp;vid=01CRU&amp;lang=en_US&amp;offset=0&amp;query=any,contains,991001189999702656","Catalog Record")</f>
        <v/>
      </c>
      <c r="AT513">
        <f>HYPERLINK("http://www.worldcat.org/oclc/17243017","WorldCat Record")</f>
        <v/>
      </c>
      <c r="AU513" t="inlineStr">
        <is>
          <t>16146800:eng</t>
        </is>
      </c>
      <c r="AV513" t="inlineStr">
        <is>
          <t>17243017</t>
        </is>
      </c>
      <c r="AW513" t="inlineStr">
        <is>
          <t>991001189999702656</t>
        </is>
      </c>
      <c r="AX513" t="inlineStr">
        <is>
          <t>991001189999702656</t>
        </is>
      </c>
      <c r="AY513" t="inlineStr">
        <is>
          <t>2263612500002656</t>
        </is>
      </c>
      <c r="AZ513" t="inlineStr">
        <is>
          <t>BOOK</t>
        </is>
      </c>
      <c r="BB513" t="inlineStr">
        <is>
          <t>9780881332858</t>
        </is>
      </c>
      <c r="BC513" t="inlineStr">
        <is>
          <t>32285001357846</t>
        </is>
      </c>
      <c r="BD513" t="inlineStr">
        <is>
          <t>893891389</t>
        </is>
      </c>
    </row>
    <row r="514">
      <c r="A514" t="inlineStr">
        <is>
          <t>No</t>
        </is>
      </c>
      <c r="B514" t="inlineStr">
        <is>
          <t>HN786.Z9 S646 1995</t>
        </is>
      </c>
      <c r="C514" t="inlineStr">
        <is>
          <t>0                      HN 0786000Z  9                  S  646         1995</t>
        </is>
      </c>
      <c r="D514" t="inlineStr">
        <is>
          <t>Women and men in late eighteenth-century Egypt / Afaf Lutfi al-Sayyid Marsot.</t>
        </is>
      </c>
      <c r="F514" t="inlineStr">
        <is>
          <t>No</t>
        </is>
      </c>
      <c r="G514" t="inlineStr">
        <is>
          <t>1</t>
        </is>
      </c>
      <c r="H514" t="inlineStr">
        <is>
          <t>No</t>
        </is>
      </c>
      <c r="I514" t="inlineStr">
        <is>
          <t>No</t>
        </is>
      </c>
      <c r="J514" t="inlineStr">
        <is>
          <t>0</t>
        </is>
      </c>
      <c r="K514" t="inlineStr">
        <is>
          <t>Sayyid-Marsot, Afaf Lutfi.</t>
        </is>
      </c>
      <c r="L514" t="inlineStr">
        <is>
          <t>Austin : University of Texas Press, 1995.</t>
        </is>
      </c>
      <c r="M514" t="inlineStr">
        <is>
          <t>1995</t>
        </is>
      </c>
      <c r="N514" t="inlineStr">
        <is>
          <t>1st ed.</t>
        </is>
      </c>
      <c r="O514" t="inlineStr">
        <is>
          <t>eng</t>
        </is>
      </c>
      <c r="P514" t="inlineStr">
        <is>
          <t>txu</t>
        </is>
      </c>
      <c r="Q514" t="inlineStr">
        <is>
          <t>Modern Middle East series ; 18</t>
        </is>
      </c>
      <c r="R514" t="inlineStr">
        <is>
          <t xml:space="preserve">HN </t>
        </is>
      </c>
      <c r="S514" t="n">
        <v>2</v>
      </c>
      <c r="T514" t="n">
        <v>2</v>
      </c>
      <c r="U514" t="inlineStr">
        <is>
          <t>1997-10-30</t>
        </is>
      </c>
      <c r="V514" t="inlineStr">
        <is>
          <t>1997-10-30</t>
        </is>
      </c>
      <c r="W514" t="inlineStr">
        <is>
          <t>1996-09-10</t>
        </is>
      </c>
      <c r="X514" t="inlineStr">
        <is>
          <t>1996-09-10</t>
        </is>
      </c>
      <c r="Y514" t="n">
        <v>265</v>
      </c>
      <c r="Z514" t="n">
        <v>207</v>
      </c>
      <c r="AA514" t="n">
        <v>277</v>
      </c>
      <c r="AB514" t="n">
        <v>2</v>
      </c>
      <c r="AC514" t="n">
        <v>2</v>
      </c>
      <c r="AD514" t="n">
        <v>10</v>
      </c>
      <c r="AE514" t="n">
        <v>16</v>
      </c>
      <c r="AF514" t="n">
        <v>2</v>
      </c>
      <c r="AG514" t="n">
        <v>7</v>
      </c>
      <c r="AH514" t="n">
        <v>4</v>
      </c>
      <c r="AI514" t="n">
        <v>5</v>
      </c>
      <c r="AJ514" t="n">
        <v>7</v>
      </c>
      <c r="AK514" t="n">
        <v>8</v>
      </c>
      <c r="AL514" t="n">
        <v>1</v>
      </c>
      <c r="AM514" t="n">
        <v>1</v>
      </c>
      <c r="AN514" t="n">
        <v>0</v>
      </c>
      <c r="AO514" t="n">
        <v>0</v>
      </c>
      <c r="AP514" t="inlineStr">
        <is>
          <t>No</t>
        </is>
      </c>
      <c r="AQ514" t="inlineStr">
        <is>
          <t>No</t>
        </is>
      </c>
      <c r="AS514">
        <f>HYPERLINK("https://creighton-primo.hosted.exlibrisgroup.com/primo-explore/search?tab=default_tab&amp;search_scope=EVERYTHING&amp;vid=01CRU&amp;lang=en_US&amp;offset=0&amp;query=any,contains,991002492789702656","Catalog Record")</f>
        <v/>
      </c>
      <c r="AT514">
        <f>HYPERLINK("http://www.worldcat.org/oclc/32431115","WorldCat Record")</f>
        <v/>
      </c>
      <c r="AU514" t="inlineStr">
        <is>
          <t>36684954:eng</t>
        </is>
      </c>
      <c r="AV514" t="inlineStr">
        <is>
          <t>32431115</t>
        </is>
      </c>
      <c r="AW514" t="inlineStr">
        <is>
          <t>991002492789702656</t>
        </is>
      </c>
      <c r="AX514" t="inlineStr">
        <is>
          <t>991002492789702656</t>
        </is>
      </c>
      <c r="AY514" t="inlineStr">
        <is>
          <t>2255516410002656</t>
        </is>
      </c>
      <c r="AZ514" t="inlineStr">
        <is>
          <t>BOOK</t>
        </is>
      </c>
      <c r="BB514" t="inlineStr">
        <is>
          <t>9780292751804</t>
        </is>
      </c>
      <c r="BC514" t="inlineStr">
        <is>
          <t>32285002316650</t>
        </is>
      </c>
      <c r="BD514" t="inlineStr">
        <is>
          <t>893226911</t>
        </is>
      </c>
    </row>
    <row r="515">
      <c r="A515" t="inlineStr">
        <is>
          <t>No</t>
        </is>
      </c>
      <c r="B515" t="inlineStr">
        <is>
          <t>HN79.A13 G54 2008</t>
        </is>
      </c>
      <c r="C515" t="inlineStr">
        <is>
          <t>0                      HN 0079000A  13                 G  54          2008</t>
        </is>
      </c>
      <c r="D515" t="inlineStr">
        <is>
          <t>Defying Dixie : the radical roots of civil rights, 1919-1950 / Glenda Elizabeth Gilmore.</t>
        </is>
      </c>
      <c r="F515" t="inlineStr">
        <is>
          <t>No</t>
        </is>
      </c>
      <c r="G515" t="inlineStr">
        <is>
          <t>1</t>
        </is>
      </c>
      <c r="H515" t="inlineStr">
        <is>
          <t>No</t>
        </is>
      </c>
      <c r="I515" t="inlineStr">
        <is>
          <t>No</t>
        </is>
      </c>
      <c r="J515" t="inlineStr">
        <is>
          <t>0</t>
        </is>
      </c>
      <c r="K515" t="inlineStr">
        <is>
          <t>Gilmore, Glenda Elizabeth.</t>
        </is>
      </c>
      <c r="L515" t="inlineStr">
        <is>
          <t>New York : W.W. Norton &amp; Co., c2008.</t>
        </is>
      </c>
      <c r="M515" t="inlineStr">
        <is>
          <t>2008</t>
        </is>
      </c>
      <c r="N515" t="inlineStr">
        <is>
          <t>1st ed.</t>
        </is>
      </c>
      <c r="O515" t="inlineStr">
        <is>
          <t>eng</t>
        </is>
      </c>
      <c r="P515" t="inlineStr">
        <is>
          <t>nyu</t>
        </is>
      </c>
      <c r="R515" t="inlineStr">
        <is>
          <t xml:space="preserve">HN </t>
        </is>
      </c>
      <c r="S515" t="n">
        <v>1</v>
      </c>
      <c r="T515" t="n">
        <v>1</v>
      </c>
      <c r="U515" t="inlineStr">
        <is>
          <t>2009-03-11</t>
        </is>
      </c>
      <c r="V515" t="inlineStr">
        <is>
          <t>2009-03-11</t>
        </is>
      </c>
      <c r="W515" t="inlineStr">
        <is>
          <t>2009-03-11</t>
        </is>
      </c>
      <c r="X515" t="inlineStr">
        <is>
          <t>2009-03-11</t>
        </is>
      </c>
      <c r="Y515" t="n">
        <v>1262</v>
      </c>
      <c r="Z515" t="n">
        <v>1165</v>
      </c>
      <c r="AA515" t="n">
        <v>1326</v>
      </c>
      <c r="AB515" t="n">
        <v>9</v>
      </c>
      <c r="AC515" t="n">
        <v>10</v>
      </c>
      <c r="AD515" t="n">
        <v>40</v>
      </c>
      <c r="AE515" t="n">
        <v>49</v>
      </c>
      <c r="AF515" t="n">
        <v>15</v>
      </c>
      <c r="AG515" t="n">
        <v>22</v>
      </c>
      <c r="AH515" t="n">
        <v>6</v>
      </c>
      <c r="AI515" t="n">
        <v>7</v>
      </c>
      <c r="AJ515" t="n">
        <v>20</v>
      </c>
      <c r="AK515" t="n">
        <v>20</v>
      </c>
      <c r="AL515" t="n">
        <v>6</v>
      </c>
      <c r="AM515" t="n">
        <v>7</v>
      </c>
      <c r="AN515" t="n">
        <v>3</v>
      </c>
      <c r="AO515" t="n">
        <v>3</v>
      </c>
      <c r="AP515" t="inlineStr">
        <is>
          <t>No</t>
        </is>
      </c>
      <c r="AQ515" t="inlineStr">
        <is>
          <t>No</t>
        </is>
      </c>
      <c r="AS515">
        <f>HYPERLINK("https://creighton-primo.hosted.exlibrisgroup.com/primo-explore/search?tab=default_tab&amp;search_scope=EVERYTHING&amp;vid=01CRU&amp;lang=en_US&amp;offset=0&amp;query=any,contains,991005301179702656","Catalog Record")</f>
        <v/>
      </c>
      <c r="AT515">
        <f>HYPERLINK("http://www.worldcat.org/oclc/86090348","WorldCat Record")</f>
        <v/>
      </c>
      <c r="AU515" t="inlineStr">
        <is>
          <t>796529269:eng</t>
        </is>
      </c>
      <c r="AV515" t="inlineStr">
        <is>
          <t>86090348</t>
        </is>
      </c>
      <c r="AW515" t="inlineStr">
        <is>
          <t>991005301179702656</t>
        </is>
      </c>
      <c r="AX515" t="inlineStr">
        <is>
          <t>991005301179702656</t>
        </is>
      </c>
      <c r="AY515" t="inlineStr">
        <is>
          <t>2257340640002656</t>
        </is>
      </c>
      <c r="AZ515" t="inlineStr">
        <is>
          <t>BOOK</t>
        </is>
      </c>
      <c r="BB515" t="inlineStr">
        <is>
          <t>9780393062441</t>
        </is>
      </c>
      <c r="BC515" t="inlineStr">
        <is>
          <t>32285005508345</t>
        </is>
      </c>
      <c r="BD515" t="inlineStr">
        <is>
          <t>893527261</t>
        </is>
      </c>
    </row>
    <row r="516">
      <c r="A516" t="inlineStr">
        <is>
          <t>No</t>
        </is>
      </c>
      <c r="B516" t="inlineStr">
        <is>
          <t>HN79.A133 V52</t>
        </is>
      </c>
      <c r="C516" t="inlineStr">
        <is>
          <t>0                      HN 0079000A  133                V  52</t>
        </is>
      </c>
      <c r="D516" t="inlineStr">
        <is>
          <t>Violence and culture in the antebellum South / by Dickson D. Bruce, Jr.</t>
        </is>
      </c>
      <c r="F516" t="inlineStr">
        <is>
          <t>No</t>
        </is>
      </c>
      <c r="G516" t="inlineStr">
        <is>
          <t>1</t>
        </is>
      </c>
      <c r="H516" t="inlineStr">
        <is>
          <t>No</t>
        </is>
      </c>
      <c r="I516" t="inlineStr">
        <is>
          <t>No</t>
        </is>
      </c>
      <c r="J516" t="inlineStr">
        <is>
          <t>0</t>
        </is>
      </c>
      <c r="K516" t="inlineStr">
        <is>
          <t>Bruce, Dickson D., 1946-</t>
        </is>
      </c>
      <c r="L516" t="inlineStr">
        <is>
          <t>Austin : University of Texas Press, c1979.</t>
        </is>
      </c>
      <c r="M516" t="inlineStr">
        <is>
          <t>1979</t>
        </is>
      </c>
      <c r="O516" t="inlineStr">
        <is>
          <t>eng</t>
        </is>
      </c>
      <c r="P516" t="inlineStr">
        <is>
          <t>txu</t>
        </is>
      </c>
      <c r="R516" t="inlineStr">
        <is>
          <t xml:space="preserve">HN </t>
        </is>
      </c>
      <c r="S516" t="n">
        <v>2</v>
      </c>
      <c r="T516" t="n">
        <v>2</v>
      </c>
      <c r="U516" t="inlineStr">
        <is>
          <t>2003-10-08</t>
        </is>
      </c>
      <c r="V516" t="inlineStr">
        <is>
          <t>2003-10-08</t>
        </is>
      </c>
      <c r="W516" t="inlineStr">
        <is>
          <t>1992-09-29</t>
        </is>
      </c>
      <c r="X516" t="inlineStr">
        <is>
          <t>1992-09-29</t>
        </is>
      </c>
      <c r="Y516" t="n">
        <v>539</v>
      </c>
      <c r="Z516" t="n">
        <v>466</v>
      </c>
      <c r="AA516" t="n">
        <v>485</v>
      </c>
      <c r="AB516" t="n">
        <v>4</v>
      </c>
      <c r="AC516" t="n">
        <v>4</v>
      </c>
      <c r="AD516" t="n">
        <v>18</v>
      </c>
      <c r="AE516" t="n">
        <v>19</v>
      </c>
      <c r="AF516" t="n">
        <v>8</v>
      </c>
      <c r="AG516" t="n">
        <v>9</v>
      </c>
      <c r="AH516" t="n">
        <v>3</v>
      </c>
      <c r="AI516" t="n">
        <v>4</v>
      </c>
      <c r="AJ516" t="n">
        <v>9</v>
      </c>
      <c r="AK516" t="n">
        <v>9</v>
      </c>
      <c r="AL516" t="n">
        <v>3</v>
      </c>
      <c r="AM516" t="n">
        <v>3</v>
      </c>
      <c r="AN516" t="n">
        <v>0</v>
      </c>
      <c r="AO516" t="n">
        <v>0</v>
      </c>
      <c r="AP516" t="inlineStr">
        <is>
          <t>No</t>
        </is>
      </c>
      <c r="AQ516" t="inlineStr">
        <is>
          <t>Yes</t>
        </is>
      </c>
      <c r="AR516">
        <f>HYPERLINK("http://catalog.hathitrust.org/Record/000297717","HathiTrust Record")</f>
        <v/>
      </c>
      <c r="AS516">
        <f>HYPERLINK("https://creighton-primo.hosted.exlibrisgroup.com/primo-explore/search?tab=default_tab&amp;search_scope=EVERYTHING&amp;vid=01CRU&amp;lang=en_US&amp;offset=0&amp;query=any,contains,991004716319702656","Catalog Record")</f>
        <v/>
      </c>
      <c r="AT516">
        <f>HYPERLINK("http://www.worldcat.org/oclc/4776330","WorldCat Record")</f>
        <v/>
      </c>
      <c r="AU516" t="inlineStr">
        <is>
          <t>433405:eng</t>
        </is>
      </c>
      <c r="AV516" t="inlineStr">
        <is>
          <t>4776330</t>
        </is>
      </c>
      <c r="AW516" t="inlineStr">
        <is>
          <t>991004716319702656</t>
        </is>
      </c>
      <c r="AX516" t="inlineStr">
        <is>
          <t>991004716319702656</t>
        </is>
      </c>
      <c r="AY516" t="inlineStr">
        <is>
          <t>2256558060002656</t>
        </is>
      </c>
      <c r="AZ516" t="inlineStr">
        <is>
          <t>BOOK</t>
        </is>
      </c>
      <c r="BB516" t="inlineStr">
        <is>
          <t>9780292770188</t>
        </is>
      </c>
      <c r="BC516" t="inlineStr">
        <is>
          <t>32285001355543</t>
        </is>
      </c>
      <c r="BD516" t="inlineStr">
        <is>
          <t>893700570</t>
        </is>
      </c>
    </row>
    <row r="517">
      <c r="A517" t="inlineStr">
        <is>
          <t>No</t>
        </is>
      </c>
      <c r="B517" t="inlineStr">
        <is>
          <t>HN79.C22 S338</t>
        </is>
      </c>
      <c r="C517" t="inlineStr">
        <is>
          <t>0                      HN 0079000C  22                 S  338</t>
        </is>
      </c>
      <c r="D517" t="inlineStr">
        <is>
          <t>The consciousness reformation / Robert Wuthnow.</t>
        </is>
      </c>
      <c r="F517" t="inlineStr">
        <is>
          <t>No</t>
        </is>
      </c>
      <c r="G517" t="inlineStr">
        <is>
          <t>1</t>
        </is>
      </c>
      <c r="H517" t="inlineStr">
        <is>
          <t>No</t>
        </is>
      </c>
      <c r="I517" t="inlineStr">
        <is>
          <t>No</t>
        </is>
      </c>
      <c r="J517" t="inlineStr">
        <is>
          <t>0</t>
        </is>
      </c>
      <c r="K517" t="inlineStr">
        <is>
          <t>Wuthnow, Robert.</t>
        </is>
      </c>
      <c r="L517" t="inlineStr">
        <is>
          <t>Berkeley : University of California Press, c1976.</t>
        </is>
      </c>
      <c r="M517" t="inlineStr">
        <is>
          <t>1976</t>
        </is>
      </c>
      <c r="O517" t="inlineStr">
        <is>
          <t>eng</t>
        </is>
      </c>
      <c r="P517" t="inlineStr">
        <is>
          <t>cau</t>
        </is>
      </c>
      <c r="R517" t="inlineStr">
        <is>
          <t xml:space="preserve">HN </t>
        </is>
      </c>
      <c r="S517" t="n">
        <v>1</v>
      </c>
      <c r="T517" t="n">
        <v>1</v>
      </c>
      <c r="U517" t="inlineStr">
        <is>
          <t>1998-10-12</t>
        </is>
      </c>
      <c r="V517" t="inlineStr">
        <is>
          <t>1998-10-12</t>
        </is>
      </c>
      <c r="W517" t="inlineStr">
        <is>
          <t>1997-08-06</t>
        </is>
      </c>
      <c r="X517" t="inlineStr">
        <is>
          <t>1997-08-06</t>
        </is>
      </c>
      <c r="Y517" t="n">
        <v>573</v>
      </c>
      <c r="Z517" t="n">
        <v>471</v>
      </c>
      <c r="AA517" t="n">
        <v>472</v>
      </c>
      <c r="AB517" t="n">
        <v>3</v>
      </c>
      <c r="AC517" t="n">
        <v>3</v>
      </c>
      <c r="AD517" t="n">
        <v>19</v>
      </c>
      <c r="AE517" t="n">
        <v>19</v>
      </c>
      <c r="AF517" t="n">
        <v>5</v>
      </c>
      <c r="AG517" t="n">
        <v>5</v>
      </c>
      <c r="AH517" t="n">
        <v>5</v>
      </c>
      <c r="AI517" t="n">
        <v>5</v>
      </c>
      <c r="AJ517" t="n">
        <v>13</v>
      </c>
      <c r="AK517" t="n">
        <v>13</v>
      </c>
      <c r="AL517" t="n">
        <v>1</v>
      </c>
      <c r="AM517" t="n">
        <v>1</v>
      </c>
      <c r="AN517" t="n">
        <v>0</v>
      </c>
      <c r="AO517" t="n">
        <v>0</v>
      </c>
      <c r="AP517" t="inlineStr">
        <is>
          <t>No</t>
        </is>
      </c>
      <c r="AQ517" t="inlineStr">
        <is>
          <t>No</t>
        </is>
      </c>
      <c r="AS517">
        <f>HYPERLINK("https://creighton-primo.hosted.exlibrisgroup.com/primo-explore/search?tab=default_tab&amp;search_scope=EVERYTHING&amp;vid=01CRU&amp;lang=en_US&amp;offset=0&amp;query=any,contains,991004164089702656","Catalog Record")</f>
        <v/>
      </c>
      <c r="AT517">
        <f>HYPERLINK("http://www.worldcat.org/oclc/2561021","WorldCat Record")</f>
        <v/>
      </c>
      <c r="AU517" t="inlineStr">
        <is>
          <t>501291:eng</t>
        </is>
      </c>
      <c r="AV517" t="inlineStr">
        <is>
          <t>2561021</t>
        </is>
      </c>
      <c r="AW517" t="inlineStr">
        <is>
          <t>991004164089702656</t>
        </is>
      </c>
      <c r="AX517" t="inlineStr">
        <is>
          <t>991004164089702656</t>
        </is>
      </c>
      <c r="AY517" t="inlineStr">
        <is>
          <t>2258760690002656</t>
        </is>
      </c>
      <c r="AZ517" t="inlineStr">
        <is>
          <t>BOOK</t>
        </is>
      </c>
      <c r="BB517" t="inlineStr">
        <is>
          <t>9780520031388</t>
        </is>
      </c>
      <c r="BC517" t="inlineStr">
        <is>
          <t>32285003043725</t>
        </is>
      </c>
      <c r="BD517" t="inlineStr">
        <is>
          <t>893781922</t>
        </is>
      </c>
    </row>
    <row r="518">
      <c r="A518" t="inlineStr">
        <is>
          <t>No</t>
        </is>
      </c>
      <c r="B518" t="inlineStr">
        <is>
          <t>HN79.H3 W59 1995</t>
        </is>
      </c>
      <c r="C518" t="inlineStr">
        <is>
          <t>0                      HN 0079000H  3                  W  59          1995</t>
        </is>
      </c>
      <c r="D518" t="inlineStr">
        <is>
          <t>Return to paradise : continuity and change in Hawaii / Wayne S. Wooden.</t>
        </is>
      </c>
      <c r="F518" t="inlineStr">
        <is>
          <t>No</t>
        </is>
      </c>
      <c r="G518" t="inlineStr">
        <is>
          <t>1</t>
        </is>
      </c>
      <c r="H518" t="inlineStr">
        <is>
          <t>No</t>
        </is>
      </c>
      <c r="I518" t="inlineStr">
        <is>
          <t>No</t>
        </is>
      </c>
      <c r="J518" t="inlineStr">
        <is>
          <t>0</t>
        </is>
      </c>
      <c r="K518" t="inlineStr">
        <is>
          <t>Wooden, Wayne S.</t>
        </is>
      </c>
      <c r="L518" t="inlineStr">
        <is>
          <t>Lanham, MD : University Press of America, c1995.</t>
        </is>
      </c>
      <c r="M518" t="inlineStr">
        <is>
          <t>1995</t>
        </is>
      </c>
      <c r="O518" t="inlineStr">
        <is>
          <t>eng</t>
        </is>
      </c>
      <c r="P518" t="inlineStr">
        <is>
          <t>mdu</t>
        </is>
      </c>
      <c r="R518" t="inlineStr">
        <is>
          <t xml:space="preserve">HN </t>
        </is>
      </c>
      <c r="S518" t="n">
        <v>4</v>
      </c>
      <c r="T518" t="n">
        <v>4</v>
      </c>
      <c r="U518" t="inlineStr">
        <is>
          <t>1999-10-01</t>
        </is>
      </c>
      <c r="V518" t="inlineStr">
        <is>
          <t>1999-10-01</t>
        </is>
      </c>
      <c r="W518" t="inlineStr">
        <is>
          <t>1999-01-27</t>
        </is>
      </c>
      <c r="X518" t="inlineStr">
        <is>
          <t>1999-01-27</t>
        </is>
      </c>
      <c r="Y518" t="n">
        <v>115</v>
      </c>
      <c r="Z518" t="n">
        <v>101</v>
      </c>
      <c r="AA518" t="n">
        <v>101</v>
      </c>
      <c r="AB518" t="n">
        <v>2</v>
      </c>
      <c r="AC518" t="n">
        <v>2</v>
      </c>
      <c r="AD518" t="n">
        <v>6</v>
      </c>
      <c r="AE518" t="n">
        <v>6</v>
      </c>
      <c r="AF518" t="n">
        <v>0</v>
      </c>
      <c r="AG518" t="n">
        <v>0</v>
      </c>
      <c r="AH518" t="n">
        <v>1</v>
      </c>
      <c r="AI518" t="n">
        <v>1</v>
      </c>
      <c r="AJ518" t="n">
        <v>4</v>
      </c>
      <c r="AK518" t="n">
        <v>4</v>
      </c>
      <c r="AL518" t="n">
        <v>1</v>
      </c>
      <c r="AM518" t="n">
        <v>1</v>
      </c>
      <c r="AN518" t="n">
        <v>0</v>
      </c>
      <c r="AO518" t="n">
        <v>0</v>
      </c>
      <c r="AP518" t="inlineStr">
        <is>
          <t>No</t>
        </is>
      </c>
      <c r="AQ518" t="inlineStr">
        <is>
          <t>No</t>
        </is>
      </c>
      <c r="AS518">
        <f>HYPERLINK("https://creighton-primo.hosted.exlibrisgroup.com/primo-explore/search?tab=default_tab&amp;search_scope=EVERYTHING&amp;vid=01CRU&amp;lang=en_US&amp;offset=0&amp;query=any,contains,991002465219702656","Catalog Record")</f>
        <v/>
      </c>
      <c r="AT518">
        <f>HYPERLINK("http://www.worldcat.org/oclc/32130930","WorldCat Record")</f>
        <v/>
      </c>
      <c r="AU518" t="inlineStr">
        <is>
          <t>837033809:eng</t>
        </is>
      </c>
      <c r="AV518" t="inlineStr">
        <is>
          <t>32130930</t>
        </is>
      </c>
      <c r="AW518" t="inlineStr">
        <is>
          <t>991002465219702656</t>
        </is>
      </c>
      <c r="AX518" t="inlineStr">
        <is>
          <t>991002465219702656</t>
        </is>
      </c>
      <c r="AY518" t="inlineStr">
        <is>
          <t>2263489610002656</t>
        </is>
      </c>
      <c r="AZ518" t="inlineStr">
        <is>
          <t>BOOK</t>
        </is>
      </c>
      <c r="BB518" t="inlineStr">
        <is>
          <t>9780819199195</t>
        </is>
      </c>
      <c r="BC518" t="inlineStr">
        <is>
          <t>32285003516423</t>
        </is>
      </c>
      <c r="BD518" t="inlineStr">
        <is>
          <t>893409126</t>
        </is>
      </c>
    </row>
    <row r="519">
      <c r="A519" t="inlineStr">
        <is>
          <t>No</t>
        </is>
      </c>
      <c r="B519" t="inlineStr">
        <is>
          <t>HN79.M4 K56</t>
        </is>
      </c>
      <c r="C519" t="inlineStr">
        <is>
          <t>0                      HN 0079000M  4                  K  56</t>
        </is>
      </c>
      <c r="D519" t="inlineStr">
        <is>
          <t>Chain of change: struggles for black community development / Mel King.</t>
        </is>
      </c>
      <c r="F519" t="inlineStr">
        <is>
          <t>No</t>
        </is>
      </c>
      <c r="G519" t="inlineStr">
        <is>
          <t>1</t>
        </is>
      </c>
      <c r="H519" t="inlineStr">
        <is>
          <t>No</t>
        </is>
      </c>
      <c r="I519" t="inlineStr">
        <is>
          <t>No</t>
        </is>
      </c>
      <c r="J519" t="inlineStr">
        <is>
          <t>0</t>
        </is>
      </c>
      <c r="K519" t="inlineStr">
        <is>
          <t>King, Mel.</t>
        </is>
      </c>
      <c r="L519" t="inlineStr">
        <is>
          <t>Boston South End Press, c1981.</t>
        </is>
      </c>
      <c r="M519" t="inlineStr">
        <is>
          <t>1981</t>
        </is>
      </c>
      <c r="O519" t="inlineStr">
        <is>
          <t>eng</t>
        </is>
      </c>
      <c r="P519" t="inlineStr">
        <is>
          <t>mau</t>
        </is>
      </c>
      <c r="R519" t="inlineStr">
        <is>
          <t xml:space="preserve">HN </t>
        </is>
      </c>
      <c r="S519" t="n">
        <v>5</v>
      </c>
      <c r="T519" t="n">
        <v>5</v>
      </c>
      <c r="U519" t="inlineStr">
        <is>
          <t>1999-10-31</t>
        </is>
      </c>
      <c r="V519" t="inlineStr">
        <is>
          <t>1999-10-31</t>
        </is>
      </c>
      <c r="W519" t="inlineStr">
        <is>
          <t>1990-07-02</t>
        </is>
      </c>
      <c r="X519" t="inlineStr">
        <is>
          <t>1990-07-02</t>
        </is>
      </c>
      <c r="Y519" t="n">
        <v>339</v>
      </c>
      <c r="Z519" t="n">
        <v>323</v>
      </c>
      <c r="AA519" t="n">
        <v>331</v>
      </c>
      <c r="AB519" t="n">
        <v>2</v>
      </c>
      <c r="AC519" t="n">
        <v>2</v>
      </c>
      <c r="AD519" t="n">
        <v>12</v>
      </c>
      <c r="AE519" t="n">
        <v>12</v>
      </c>
      <c r="AF519" t="n">
        <v>2</v>
      </c>
      <c r="AG519" t="n">
        <v>2</v>
      </c>
      <c r="AH519" t="n">
        <v>3</v>
      </c>
      <c r="AI519" t="n">
        <v>3</v>
      </c>
      <c r="AJ519" t="n">
        <v>8</v>
      </c>
      <c r="AK519" t="n">
        <v>8</v>
      </c>
      <c r="AL519" t="n">
        <v>1</v>
      </c>
      <c r="AM519" t="n">
        <v>1</v>
      </c>
      <c r="AN519" t="n">
        <v>0</v>
      </c>
      <c r="AO519" t="n">
        <v>0</v>
      </c>
      <c r="AP519" t="inlineStr">
        <is>
          <t>No</t>
        </is>
      </c>
      <c r="AQ519" t="inlineStr">
        <is>
          <t>Yes</t>
        </is>
      </c>
      <c r="AR519">
        <f>HYPERLINK("http://catalog.hathitrust.org/Record/001073174","HathiTrust Record")</f>
        <v/>
      </c>
      <c r="AS519">
        <f>HYPERLINK("https://creighton-primo.hosted.exlibrisgroup.com/primo-explore/search?tab=default_tab&amp;search_scope=EVERYTHING&amp;vid=01CRU&amp;lang=en_US&amp;offset=0&amp;query=any,contains,991005189449702656","Catalog Record")</f>
        <v/>
      </c>
      <c r="AT519">
        <f>HYPERLINK("http://www.worldcat.org/oclc/7995750","WorldCat Record")</f>
        <v/>
      </c>
      <c r="AU519" t="inlineStr">
        <is>
          <t>365187256:eng</t>
        </is>
      </c>
      <c r="AV519" t="inlineStr">
        <is>
          <t>7995750</t>
        </is>
      </c>
      <c r="AW519" t="inlineStr">
        <is>
          <t>991005189449702656</t>
        </is>
      </c>
      <c r="AX519" t="inlineStr">
        <is>
          <t>991005189449702656</t>
        </is>
      </c>
      <c r="AY519" t="inlineStr">
        <is>
          <t>2260027720002656</t>
        </is>
      </c>
      <c r="AZ519" t="inlineStr">
        <is>
          <t>BOOK</t>
        </is>
      </c>
      <c r="BB519" t="inlineStr">
        <is>
          <t>9780896081055</t>
        </is>
      </c>
      <c r="BC519" t="inlineStr">
        <is>
          <t>32285000219575</t>
        </is>
      </c>
      <c r="BD519" t="inlineStr">
        <is>
          <t>893236440</t>
        </is>
      </c>
    </row>
    <row r="520">
      <c r="A520" t="inlineStr">
        <is>
          <t>No</t>
        </is>
      </c>
      <c r="B520" t="inlineStr">
        <is>
          <t>HN790.S3 A4 1966</t>
        </is>
      </c>
      <c r="C520" t="inlineStr">
        <is>
          <t>0                      HN 0790000S  3                  A  4           1966</t>
        </is>
      </c>
      <c r="D520" t="inlineStr">
        <is>
          <t>Growing up in an Egyptian village; Silwa, Province of Aswan.</t>
        </is>
      </c>
      <c r="F520" t="inlineStr">
        <is>
          <t>No</t>
        </is>
      </c>
      <c r="G520" t="inlineStr">
        <is>
          <t>1</t>
        </is>
      </c>
      <c r="H520" t="inlineStr">
        <is>
          <t>No</t>
        </is>
      </c>
      <c r="I520" t="inlineStr">
        <is>
          <t>No</t>
        </is>
      </c>
      <c r="J520" t="inlineStr">
        <is>
          <t>0</t>
        </is>
      </c>
      <c r="K520" t="inlineStr">
        <is>
          <t>ʻAmmār, Ḥāmid.</t>
        </is>
      </c>
      <c r="L520" t="inlineStr">
        <is>
          <t>New York, Octagon Books, 1966.</t>
        </is>
      </c>
      <c r="M520" t="inlineStr">
        <is>
          <t>1966</t>
        </is>
      </c>
      <c r="O520" t="inlineStr">
        <is>
          <t>eng</t>
        </is>
      </c>
      <c r="P520" t="inlineStr">
        <is>
          <t>nyu</t>
        </is>
      </c>
      <c r="R520" t="inlineStr">
        <is>
          <t xml:space="preserve">HN </t>
        </is>
      </c>
      <c r="S520" t="n">
        <v>5</v>
      </c>
      <c r="T520" t="n">
        <v>5</v>
      </c>
      <c r="U520" t="inlineStr">
        <is>
          <t>2002-05-06</t>
        </is>
      </c>
      <c r="V520" t="inlineStr">
        <is>
          <t>2002-05-06</t>
        </is>
      </c>
      <c r="W520" t="inlineStr">
        <is>
          <t>1997-08-08</t>
        </is>
      </c>
      <c r="X520" t="inlineStr">
        <is>
          <t>1997-08-08</t>
        </is>
      </c>
      <c r="Y520" t="n">
        <v>290</v>
      </c>
      <c r="Z520" t="n">
        <v>270</v>
      </c>
      <c r="AA520" t="n">
        <v>518</v>
      </c>
      <c r="AB520" t="n">
        <v>1</v>
      </c>
      <c r="AC520" t="n">
        <v>3</v>
      </c>
      <c r="AD520" t="n">
        <v>6</v>
      </c>
      <c r="AE520" t="n">
        <v>11</v>
      </c>
      <c r="AF520" t="n">
        <v>1</v>
      </c>
      <c r="AG520" t="n">
        <v>2</v>
      </c>
      <c r="AH520" t="n">
        <v>1</v>
      </c>
      <c r="AI520" t="n">
        <v>2</v>
      </c>
      <c r="AJ520" t="n">
        <v>5</v>
      </c>
      <c r="AK520" t="n">
        <v>7</v>
      </c>
      <c r="AL520" t="n">
        <v>0</v>
      </c>
      <c r="AM520" t="n">
        <v>2</v>
      </c>
      <c r="AN520" t="n">
        <v>0</v>
      </c>
      <c r="AO520" t="n">
        <v>0</v>
      </c>
      <c r="AP520" t="inlineStr">
        <is>
          <t>No</t>
        </is>
      </c>
      <c r="AQ520" t="inlineStr">
        <is>
          <t>Yes</t>
        </is>
      </c>
      <c r="AR520">
        <f>HYPERLINK("http://catalog.hathitrust.org/Record/000209963","HathiTrust Record")</f>
        <v/>
      </c>
      <c r="AS520">
        <f>HYPERLINK("https://creighton-primo.hosted.exlibrisgroup.com/primo-explore/search?tab=default_tab&amp;search_scope=EVERYTHING&amp;vid=01CRU&amp;lang=en_US&amp;offset=0&amp;query=any,contains,991002053749702656","Catalog Record")</f>
        <v/>
      </c>
      <c r="AT520">
        <f>HYPERLINK("http://www.worldcat.org/oclc/262125","WorldCat Record")</f>
        <v/>
      </c>
      <c r="AU520" t="inlineStr">
        <is>
          <t>881365:eng</t>
        </is>
      </c>
      <c r="AV520" t="inlineStr">
        <is>
          <t>262125</t>
        </is>
      </c>
      <c r="AW520" t="inlineStr">
        <is>
          <t>991002053749702656</t>
        </is>
      </c>
      <c r="AX520" t="inlineStr">
        <is>
          <t>991002053749702656</t>
        </is>
      </c>
      <c r="AY520" t="inlineStr">
        <is>
          <t>2266839090002656</t>
        </is>
      </c>
      <c r="AZ520" t="inlineStr">
        <is>
          <t>BOOK</t>
        </is>
      </c>
      <c r="BC520" t="inlineStr">
        <is>
          <t>32285003087151</t>
        </is>
      </c>
      <c r="BD520" t="inlineStr">
        <is>
          <t>893697282</t>
        </is>
      </c>
    </row>
    <row r="521">
      <c r="A521" t="inlineStr">
        <is>
          <t>No</t>
        </is>
      </c>
      <c r="B521" t="inlineStr">
        <is>
          <t>HN793.A8 K57 1980</t>
        </is>
      </c>
      <c r="C521" t="inlineStr">
        <is>
          <t>0                      HN 0793000A  8                  K  57          1980</t>
        </is>
      </c>
      <c r="D521" t="inlineStr">
        <is>
          <t>Class and economic change in Kenya : the making of an African petite bourgeoisie 1905-1970 / Gavin Kitching.</t>
        </is>
      </c>
      <c r="F521" t="inlineStr">
        <is>
          <t>No</t>
        </is>
      </c>
      <c r="G521" t="inlineStr">
        <is>
          <t>1</t>
        </is>
      </c>
      <c r="H521" t="inlineStr">
        <is>
          <t>No</t>
        </is>
      </c>
      <c r="I521" t="inlineStr">
        <is>
          <t>No</t>
        </is>
      </c>
      <c r="J521" t="inlineStr">
        <is>
          <t>0</t>
        </is>
      </c>
      <c r="K521" t="inlineStr">
        <is>
          <t>Kitching, Gavin.</t>
        </is>
      </c>
      <c r="L521" t="inlineStr">
        <is>
          <t>New Haven : Yale University Press, 1980.</t>
        </is>
      </c>
      <c r="M521" t="inlineStr">
        <is>
          <t>1980</t>
        </is>
      </c>
      <c r="O521" t="inlineStr">
        <is>
          <t>eng</t>
        </is>
      </c>
      <c r="P521" t="inlineStr">
        <is>
          <t>ctu</t>
        </is>
      </c>
      <c r="R521" t="inlineStr">
        <is>
          <t xml:space="preserve">HN </t>
        </is>
      </c>
      <c r="S521" t="n">
        <v>2</v>
      </c>
      <c r="T521" t="n">
        <v>2</v>
      </c>
      <c r="U521" t="inlineStr">
        <is>
          <t>2001-11-30</t>
        </is>
      </c>
      <c r="V521" t="inlineStr">
        <is>
          <t>2001-11-30</t>
        </is>
      </c>
      <c r="W521" t="inlineStr">
        <is>
          <t>1991-01-30</t>
        </is>
      </c>
      <c r="X521" t="inlineStr">
        <is>
          <t>1991-01-30</t>
        </is>
      </c>
      <c r="Y521" t="n">
        <v>488</v>
      </c>
      <c r="Z521" t="n">
        <v>336</v>
      </c>
      <c r="AA521" t="n">
        <v>346</v>
      </c>
      <c r="AB521" t="n">
        <v>2</v>
      </c>
      <c r="AC521" t="n">
        <v>2</v>
      </c>
      <c r="AD521" t="n">
        <v>9</v>
      </c>
      <c r="AE521" t="n">
        <v>9</v>
      </c>
      <c r="AF521" t="n">
        <v>2</v>
      </c>
      <c r="AG521" t="n">
        <v>2</v>
      </c>
      <c r="AH521" t="n">
        <v>2</v>
      </c>
      <c r="AI521" t="n">
        <v>2</v>
      </c>
      <c r="AJ521" t="n">
        <v>5</v>
      </c>
      <c r="AK521" t="n">
        <v>5</v>
      </c>
      <c r="AL521" t="n">
        <v>1</v>
      </c>
      <c r="AM521" t="n">
        <v>1</v>
      </c>
      <c r="AN521" t="n">
        <v>0</v>
      </c>
      <c r="AO521" t="n">
        <v>0</v>
      </c>
      <c r="AP521" t="inlineStr">
        <is>
          <t>No</t>
        </is>
      </c>
      <c r="AQ521" t="inlineStr">
        <is>
          <t>No</t>
        </is>
      </c>
      <c r="AS521">
        <f>HYPERLINK("https://creighton-primo.hosted.exlibrisgroup.com/primo-explore/search?tab=default_tab&amp;search_scope=EVERYTHING&amp;vid=01CRU&amp;lang=en_US&amp;offset=0&amp;query=any,contains,991004840309702656","Catalog Record")</f>
        <v/>
      </c>
      <c r="AT521">
        <f>HYPERLINK("http://www.worldcat.org/oclc/5496468","WorldCat Record")</f>
        <v/>
      </c>
      <c r="AU521" t="inlineStr">
        <is>
          <t>836630917:eng</t>
        </is>
      </c>
      <c r="AV521" t="inlineStr">
        <is>
          <t>5496468</t>
        </is>
      </c>
      <c r="AW521" t="inlineStr">
        <is>
          <t>991004840309702656</t>
        </is>
      </c>
      <c r="AX521" t="inlineStr">
        <is>
          <t>991004840309702656</t>
        </is>
      </c>
      <c r="AY521" t="inlineStr">
        <is>
          <t>2266400000002656</t>
        </is>
      </c>
      <c r="AZ521" t="inlineStr">
        <is>
          <t>BOOK</t>
        </is>
      </c>
      <c r="BB521" t="inlineStr">
        <is>
          <t>9780300023855</t>
        </is>
      </c>
      <c r="BC521" t="inlineStr">
        <is>
          <t>32285000462324</t>
        </is>
      </c>
      <c r="BD521" t="inlineStr">
        <is>
          <t>893719464</t>
        </is>
      </c>
    </row>
    <row r="522">
      <c r="A522" t="inlineStr">
        <is>
          <t>No</t>
        </is>
      </c>
      <c r="B522" t="inlineStr">
        <is>
          <t>HN797 .F6 1980</t>
        </is>
      </c>
      <c r="C522" t="inlineStr">
        <is>
          <t>0                      HN 0797000F  6           1980</t>
        </is>
      </c>
      <c r="D522" t="inlineStr">
        <is>
          <t>Peasants, officials and participation in rural Tanzania : experience with villagization and decentralization / Louise Fortmann.</t>
        </is>
      </c>
      <c r="F522" t="inlineStr">
        <is>
          <t>No</t>
        </is>
      </c>
      <c r="G522" t="inlineStr">
        <is>
          <t>1</t>
        </is>
      </c>
      <c r="H522" t="inlineStr">
        <is>
          <t>No</t>
        </is>
      </c>
      <c r="I522" t="inlineStr">
        <is>
          <t>No</t>
        </is>
      </c>
      <c r="J522" t="inlineStr">
        <is>
          <t>0</t>
        </is>
      </c>
      <c r="K522" t="inlineStr">
        <is>
          <t>Fortmann, Louise.</t>
        </is>
      </c>
      <c r="L522" t="inlineStr">
        <is>
          <t>Ithaca, N.Y. : Rural Development Committee, Center for International Studies, Cornell University, 1980.</t>
        </is>
      </c>
      <c r="M522" t="inlineStr">
        <is>
          <t>1980</t>
        </is>
      </c>
      <c r="O522" t="inlineStr">
        <is>
          <t>eng</t>
        </is>
      </c>
      <c r="P522" t="inlineStr">
        <is>
          <t>nyu</t>
        </is>
      </c>
      <c r="Q522" t="inlineStr">
        <is>
          <t>Special series on rural local organization / Rural Development Committee, Center for International Studies ; RLO no. 1</t>
        </is>
      </c>
      <c r="R522" t="inlineStr">
        <is>
          <t xml:space="preserve">HN </t>
        </is>
      </c>
      <c r="S522" t="n">
        <v>4</v>
      </c>
      <c r="T522" t="n">
        <v>4</v>
      </c>
      <c r="U522" t="inlineStr">
        <is>
          <t>2010-07-09</t>
        </is>
      </c>
      <c r="V522" t="inlineStr">
        <is>
          <t>2010-07-09</t>
        </is>
      </c>
      <c r="W522" t="inlineStr">
        <is>
          <t>1995-05-01</t>
        </is>
      </c>
      <c r="X522" t="inlineStr">
        <is>
          <t>1995-05-01</t>
        </is>
      </c>
      <c r="Y522" t="n">
        <v>79</v>
      </c>
      <c r="Z522" t="n">
        <v>53</v>
      </c>
      <c r="AA522" t="n">
        <v>54</v>
      </c>
      <c r="AB522" t="n">
        <v>1</v>
      </c>
      <c r="AC522" t="n">
        <v>1</v>
      </c>
      <c r="AD522" t="n">
        <v>0</v>
      </c>
      <c r="AE522" t="n">
        <v>0</v>
      </c>
      <c r="AF522" t="n">
        <v>0</v>
      </c>
      <c r="AG522" t="n">
        <v>0</v>
      </c>
      <c r="AH522" t="n">
        <v>0</v>
      </c>
      <c r="AI522" t="n">
        <v>0</v>
      </c>
      <c r="AJ522" t="n">
        <v>0</v>
      </c>
      <c r="AK522" t="n">
        <v>0</v>
      </c>
      <c r="AL522" t="n">
        <v>0</v>
      </c>
      <c r="AM522" t="n">
        <v>0</v>
      </c>
      <c r="AN522" t="n">
        <v>0</v>
      </c>
      <c r="AO522" t="n">
        <v>0</v>
      </c>
      <c r="AP522" t="inlineStr">
        <is>
          <t>No</t>
        </is>
      </c>
      <c r="AQ522" t="inlineStr">
        <is>
          <t>No</t>
        </is>
      </c>
      <c r="AS522">
        <f>HYPERLINK("https://creighton-primo.hosted.exlibrisgroup.com/primo-explore/search?tab=default_tab&amp;search_scope=EVERYTHING&amp;vid=01CRU&amp;lang=en_US&amp;offset=0&amp;query=any,contains,991005119909702656","Catalog Record")</f>
        <v/>
      </c>
      <c r="AT522">
        <f>HYPERLINK("http://www.worldcat.org/oclc/7494240","WorldCat Record")</f>
        <v/>
      </c>
      <c r="AU522" t="inlineStr">
        <is>
          <t>10076151190:eng</t>
        </is>
      </c>
      <c r="AV522" t="inlineStr">
        <is>
          <t>7494240</t>
        </is>
      </c>
      <c r="AW522" t="inlineStr">
        <is>
          <t>991005119909702656</t>
        </is>
      </c>
      <c r="AX522" t="inlineStr">
        <is>
          <t>991005119909702656</t>
        </is>
      </c>
      <c r="AY522" t="inlineStr">
        <is>
          <t>2268078700002656</t>
        </is>
      </c>
      <c r="AZ522" t="inlineStr">
        <is>
          <t>BOOK</t>
        </is>
      </c>
      <c r="BC522" t="inlineStr">
        <is>
          <t>32285002020716</t>
        </is>
      </c>
      <c r="BD522" t="inlineStr">
        <is>
          <t>893807845</t>
        </is>
      </c>
    </row>
    <row r="523">
      <c r="A523" t="inlineStr">
        <is>
          <t>No</t>
        </is>
      </c>
      <c r="B523" t="inlineStr">
        <is>
          <t>HN797.A8 H93</t>
        </is>
      </c>
      <c r="C523" t="inlineStr">
        <is>
          <t>0                      HN 0797000A  8                  H  93</t>
        </is>
      </c>
      <c r="D523" t="inlineStr">
        <is>
          <t>Beyond ujamaa in Tanzania : underdevelopment and an uncaptured peasantry / Goran Hyden.</t>
        </is>
      </c>
      <c r="F523" t="inlineStr">
        <is>
          <t>No</t>
        </is>
      </c>
      <c r="G523" t="inlineStr">
        <is>
          <t>1</t>
        </is>
      </c>
      <c r="H523" t="inlineStr">
        <is>
          <t>No</t>
        </is>
      </c>
      <c r="I523" t="inlineStr">
        <is>
          <t>No</t>
        </is>
      </c>
      <c r="J523" t="inlineStr">
        <is>
          <t>0</t>
        </is>
      </c>
      <c r="K523" t="inlineStr">
        <is>
          <t>Hydén, Göran, 1938-</t>
        </is>
      </c>
      <c r="L523" t="inlineStr">
        <is>
          <t>Berkeley : University of California Press, c1980.</t>
        </is>
      </c>
      <c r="M523" t="inlineStr">
        <is>
          <t>1980</t>
        </is>
      </c>
      <c r="O523" t="inlineStr">
        <is>
          <t>eng</t>
        </is>
      </c>
      <c r="P523" t="inlineStr">
        <is>
          <t>cau</t>
        </is>
      </c>
      <c r="R523" t="inlineStr">
        <is>
          <t xml:space="preserve">HN </t>
        </is>
      </c>
      <c r="S523" t="n">
        <v>34</v>
      </c>
      <c r="T523" t="n">
        <v>34</v>
      </c>
      <c r="U523" t="inlineStr">
        <is>
          <t>2005-10-12</t>
        </is>
      </c>
      <c r="V523" t="inlineStr">
        <is>
          <t>2005-10-12</t>
        </is>
      </c>
      <c r="W523" t="inlineStr">
        <is>
          <t>1990-07-23</t>
        </is>
      </c>
      <c r="X523" t="inlineStr">
        <is>
          <t>1990-07-23</t>
        </is>
      </c>
      <c r="Y523" t="n">
        <v>360</v>
      </c>
      <c r="Z523" t="n">
        <v>318</v>
      </c>
      <c r="AA523" t="n">
        <v>366</v>
      </c>
      <c r="AB523" t="n">
        <v>2</v>
      </c>
      <c r="AC523" t="n">
        <v>3</v>
      </c>
      <c r="AD523" t="n">
        <v>11</v>
      </c>
      <c r="AE523" t="n">
        <v>13</v>
      </c>
      <c r="AF523" t="n">
        <v>2</v>
      </c>
      <c r="AG523" t="n">
        <v>2</v>
      </c>
      <c r="AH523" t="n">
        <v>5</v>
      </c>
      <c r="AI523" t="n">
        <v>6</v>
      </c>
      <c r="AJ523" t="n">
        <v>6</v>
      </c>
      <c r="AK523" t="n">
        <v>7</v>
      </c>
      <c r="AL523" t="n">
        <v>1</v>
      </c>
      <c r="AM523" t="n">
        <v>2</v>
      </c>
      <c r="AN523" t="n">
        <v>0</v>
      </c>
      <c r="AO523" t="n">
        <v>0</v>
      </c>
      <c r="AP523" t="inlineStr">
        <is>
          <t>No</t>
        </is>
      </c>
      <c r="AQ523" t="inlineStr">
        <is>
          <t>No</t>
        </is>
      </c>
      <c r="AS523">
        <f>HYPERLINK("https://creighton-primo.hosted.exlibrisgroup.com/primo-explore/search?tab=default_tab&amp;search_scope=EVERYTHING&amp;vid=01CRU&amp;lang=en_US&amp;offset=0&amp;query=any,contains,991004830499702656","Catalog Record")</f>
        <v/>
      </c>
      <c r="AT523">
        <f>HYPERLINK("http://www.worldcat.org/oclc/5410301","WorldCat Record")</f>
        <v/>
      </c>
      <c r="AU523" t="inlineStr">
        <is>
          <t>502090:eng</t>
        </is>
      </c>
      <c r="AV523" t="inlineStr">
        <is>
          <t>5410301</t>
        </is>
      </c>
      <c r="AW523" t="inlineStr">
        <is>
          <t>991004830499702656</t>
        </is>
      </c>
      <c r="AX523" t="inlineStr">
        <is>
          <t>991004830499702656</t>
        </is>
      </c>
      <c r="AY523" t="inlineStr">
        <is>
          <t>2260573230002656</t>
        </is>
      </c>
      <c r="AZ523" t="inlineStr">
        <is>
          <t>BOOK</t>
        </is>
      </c>
      <c r="BB523" t="inlineStr">
        <is>
          <t>9780520039971</t>
        </is>
      </c>
      <c r="BC523" t="inlineStr">
        <is>
          <t>32285000247410</t>
        </is>
      </c>
      <c r="BD523" t="inlineStr">
        <is>
          <t>893436795</t>
        </is>
      </c>
    </row>
    <row r="524">
      <c r="A524" t="inlineStr">
        <is>
          <t>No</t>
        </is>
      </c>
      <c r="B524" t="inlineStr">
        <is>
          <t>HN8 .R88 2005</t>
        </is>
      </c>
      <c r="C524" t="inlineStr">
        <is>
          <t>0                      HN 0008000R  88          2005</t>
        </is>
      </c>
      <c r="D524" t="inlineStr">
        <is>
          <t>Hunger : an unnatural history / Sharman Apt Russell.</t>
        </is>
      </c>
      <c r="F524" t="inlineStr">
        <is>
          <t>No</t>
        </is>
      </c>
      <c r="G524" t="inlineStr">
        <is>
          <t>1</t>
        </is>
      </c>
      <c r="H524" t="inlineStr">
        <is>
          <t>No</t>
        </is>
      </c>
      <c r="I524" t="inlineStr">
        <is>
          <t>No</t>
        </is>
      </c>
      <c r="J524" t="inlineStr">
        <is>
          <t>0</t>
        </is>
      </c>
      <c r="K524" t="inlineStr">
        <is>
          <t>Russell, Sharman Apt.</t>
        </is>
      </c>
      <c r="L524" t="inlineStr">
        <is>
          <t>New York : Basic Books, c2005.</t>
        </is>
      </c>
      <c r="M524" t="inlineStr">
        <is>
          <t>2005</t>
        </is>
      </c>
      <c r="O524" t="inlineStr">
        <is>
          <t>eng</t>
        </is>
      </c>
      <c r="P524" t="inlineStr">
        <is>
          <t>nyu</t>
        </is>
      </c>
      <c r="R524" t="inlineStr">
        <is>
          <t xml:space="preserve">HN </t>
        </is>
      </c>
      <c r="S524" t="n">
        <v>1</v>
      </c>
      <c r="T524" t="n">
        <v>1</v>
      </c>
      <c r="U524" t="inlineStr">
        <is>
          <t>2005-10-05</t>
        </is>
      </c>
      <c r="V524" t="inlineStr">
        <is>
          <t>2005-10-05</t>
        </is>
      </c>
      <c r="W524" t="inlineStr">
        <is>
          <t>2005-10-05</t>
        </is>
      </c>
      <c r="X524" t="inlineStr">
        <is>
          <t>2005-10-05</t>
        </is>
      </c>
      <c r="Y524" t="n">
        <v>1027</v>
      </c>
      <c r="Z524" t="n">
        <v>971</v>
      </c>
      <c r="AA524" t="n">
        <v>1715</v>
      </c>
      <c r="AB524" t="n">
        <v>10</v>
      </c>
      <c r="AC524" t="n">
        <v>15</v>
      </c>
      <c r="AD524" t="n">
        <v>24</v>
      </c>
      <c r="AE524" t="n">
        <v>41</v>
      </c>
      <c r="AF524" t="n">
        <v>7</v>
      </c>
      <c r="AG524" t="n">
        <v>12</v>
      </c>
      <c r="AH524" t="n">
        <v>6</v>
      </c>
      <c r="AI524" t="n">
        <v>9</v>
      </c>
      <c r="AJ524" t="n">
        <v>11</v>
      </c>
      <c r="AK524" t="n">
        <v>18</v>
      </c>
      <c r="AL524" t="n">
        <v>6</v>
      </c>
      <c r="AM524" t="n">
        <v>11</v>
      </c>
      <c r="AN524" t="n">
        <v>0</v>
      </c>
      <c r="AO524" t="n">
        <v>1</v>
      </c>
      <c r="AP524" t="inlineStr">
        <is>
          <t>No</t>
        </is>
      </c>
      <c r="AQ524" t="inlineStr">
        <is>
          <t>No</t>
        </is>
      </c>
      <c r="AS524">
        <f>HYPERLINK("https://creighton-primo.hosted.exlibrisgroup.com/primo-explore/search?tab=default_tab&amp;search_scope=EVERYTHING&amp;vid=01CRU&amp;lang=en_US&amp;offset=0&amp;query=any,contains,991004656199702656","Catalog Record")</f>
        <v/>
      </c>
      <c r="AT524">
        <f>HYPERLINK("http://www.worldcat.org/oclc/58788881","WorldCat Record")</f>
        <v/>
      </c>
      <c r="AU524" t="inlineStr">
        <is>
          <t>865478820:eng</t>
        </is>
      </c>
      <c r="AV524" t="inlineStr">
        <is>
          <t>58788881</t>
        </is>
      </c>
      <c r="AW524" t="inlineStr">
        <is>
          <t>991004656199702656</t>
        </is>
      </c>
      <c r="AX524" t="inlineStr">
        <is>
          <t>991004656199702656</t>
        </is>
      </c>
      <c r="AY524" t="inlineStr">
        <is>
          <t>2267477260002656</t>
        </is>
      </c>
      <c r="AZ524" t="inlineStr">
        <is>
          <t>BOOK</t>
        </is>
      </c>
      <c r="BB524" t="inlineStr">
        <is>
          <t>9780465071630</t>
        </is>
      </c>
      <c r="BC524" t="inlineStr">
        <is>
          <t>32285005087860</t>
        </is>
      </c>
      <c r="BD524" t="inlineStr">
        <is>
          <t>893801193</t>
        </is>
      </c>
    </row>
    <row r="525">
      <c r="A525" t="inlineStr">
        <is>
          <t>No</t>
        </is>
      </c>
      <c r="B525" t="inlineStr">
        <is>
          <t>HN8 .S56 1994</t>
        </is>
      </c>
      <c r="C525" t="inlineStr">
        <is>
          <t>0                      HN 0008000S  56          1994</t>
        </is>
      </c>
      <c r="D525" t="inlineStr">
        <is>
          <t>Social construction of the past : representation as power / edited by George Clement Bond, Angela Gilliam.</t>
        </is>
      </c>
      <c r="F525" t="inlineStr">
        <is>
          <t>No</t>
        </is>
      </c>
      <c r="G525" t="inlineStr">
        <is>
          <t>1</t>
        </is>
      </c>
      <c r="H525" t="inlineStr">
        <is>
          <t>No</t>
        </is>
      </c>
      <c r="I525" t="inlineStr">
        <is>
          <t>No</t>
        </is>
      </c>
      <c r="J525" t="inlineStr">
        <is>
          <t>0</t>
        </is>
      </c>
      <c r="L525" t="inlineStr">
        <is>
          <t>London ; New York : Routledge, 1994.</t>
        </is>
      </c>
      <c r="M525" t="inlineStr">
        <is>
          <t>1994</t>
        </is>
      </c>
      <c r="O525" t="inlineStr">
        <is>
          <t>eng</t>
        </is>
      </c>
      <c r="P525" t="inlineStr">
        <is>
          <t>enk</t>
        </is>
      </c>
      <c r="Q525" t="inlineStr">
        <is>
          <t>One world archaeology ; 24</t>
        </is>
      </c>
      <c r="R525" t="inlineStr">
        <is>
          <t xml:space="preserve">HN </t>
        </is>
      </c>
      <c r="S525" t="n">
        <v>9</v>
      </c>
      <c r="T525" t="n">
        <v>9</v>
      </c>
      <c r="U525" t="inlineStr">
        <is>
          <t>2009-05-01</t>
        </is>
      </c>
      <c r="V525" t="inlineStr">
        <is>
          <t>2009-05-01</t>
        </is>
      </c>
      <c r="W525" t="inlineStr">
        <is>
          <t>1994-11-13</t>
        </is>
      </c>
      <c r="X525" t="inlineStr">
        <is>
          <t>1994-11-13</t>
        </is>
      </c>
      <c r="Y525" t="n">
        <v>337</v>
      </c>
      <c r="Z525" t="n">
        <v>196</v>
      </c>
      <c r="AA525" t="n">
        <v>218</v>
      </c>
      <c r="AB525" t="n">
        <v>1</v>
      </c>
      <c r="AC525" t="n">
        <v>1</v>
      </c>
      <c r="AD525" t="n">
        <v>11</v>
      </c>
      <c r="AE525" t="n">
        <v>11</v>
      </c>
      <c r="AF525" t="n">
        <v>3</v>
      </c>
      <c r="AG525" t="n">
        <v>3</v>
      </c>
      <c r="AH525" t="n">
        <v>3</v>
      </c>
      <c r="AI525" t="n">
        <v>3</v>
      </c>
      <c r="AJ525" t="n">
        <v>7</v>
      </c>
      <c r="AK525" t="n">
        <v>7</v>
      </c>
      <c r="AL525" t="n">
        <v>0</v>
      </c>
      <c r="AM525" t="n">
        <v>0</v>
      </c>
      <c r="AN525" t="n">
        <v>0</v>
      </c>
      <c r="AO525" t="n">
        <v>0</v>
      </c>
      <c r="AP525" t="inlineStr">
        <is>
          <t>No</t>
        </is>
      </c>
      <c r="AQ525" t="inlineStr">
        <is>
          <t>No</t>
        </is>
      </c>
      <c r="AS525">
        <f>HYPERLINK("https://creighton-primo.hosted.exlibrisgroup.com/primo-explore/search?tab=default_tab&amp;search_scope=EVERYTHING&amp;vid=01CRU&amp;lang=en_US&amp;offset=0&amp;query=any,contains,991002254579702656","Catalog Record")</f>
        <v/>
      </c>
      <c r="AT525">
        <f>HYPERLINK("http://www.worldcat.org/oclc/29219549","WorldCat Record")</f>
        <v/>
      </c>
      <c r="AU525" t="inlineStr">
        <is>
          <t>807697618:eng</t>
        </is>
      </c>
      <c r="AV525" t="inlineStr">
        <is>
          <t>29219549</t>
        </is>
      </c>
      <c r="AW525" t="inlineStr">
        <is>
          <t>991002254579702656</t>
        </is>
      </c>
      <c r="AX525" t="inlineStr">
        <is>
          <t>991002254579702656</t>
        </is>
      </c>
      <c r="AY525" t="inlineStr">
        <is>
          <t>2261456510002656</t>
        </is>
      </c>
      <c r="AZ525" t="inlineStr">
        <is>
          <t>BOOK</t>
        </is>
      </c>
      <c r="BB525" t="inlineStr">
        <is>
          <t>9780415090452</t>
        </is>
      </c>
      <c r="BC525" t="inlineStr">
        <is>
          <t>32285001957173</t>
        </is>
      </c>
      <c r="BD525" t="inlineStr">
        <is>
          <t>893439949</t>
        </is>
      </c>
    </row>
    <row r="526">
      <c r="A526" t="inlineStr">
        <is>
          <t>No</t>
        </is>
      </c>
      <c r="B526" t="inlineStr">
        <is>
          <t>HN80.B7 G65 1993</t>
        </is>
      </c>
      <c r="C526" t="inlineStr">
        <is>
          <t>0                      HN 0080000B  7                  G  65          1993</t>
        </is>
      </c>
      <c r="D526" t="inlineStr">
        <is>
          <t>A City year : on the streets and in the neighborhoods with twelve young community service volunteers / Suzanne Goldsmith.</t>
        </is>
      </c>
      <c r="F526" t="inlineStr">
        <is>
          <t>No</t>
        </is>
      </c>
      <c r="G526" t="inlineStr">
        <is>
          <t>1</t>
        </is>
      </c>
      <c r="H526" t="inlineStr">
        <is>
          <t>No</t>
        </is>
      </c>
      <c r="I526" t="inlineStr">
        <is>
          <t>No</t>
        </is>
      </c>
      <c r="J526" t="inlineStr">
        <is>
          <t>0</t>
        </is>
      </c>
      <c r="K526" t="inlineStr">
        <is>
          <t>Goldsmith-Hirsch, Suzanne.</t>
        </is>
      </c>
      <c r="L526" t="inlineStr">
        <is>
          <t>New York : New Press : Distributed by W.W. Norton, c1993.</t>
        </is>
      </c>
      <c r="M526" t="inlineStr">
        <is>
          <t>1993</t>
        </is>
      </c>
      <c r="O526" t="inlineStr">
        <is>
          <t>eng</t>
        </is>
      </c>
      <c r="P526" t="inlineStr">
        <is>
          <t>nyu</t>
        </is>
      </c>
      <c r="R526" t="inlineStr">
        <is>
          <t xml:space="preserve">HN </t>
        </is>
      </c>
      <c r="S526" t="n">
        <v>2</v>
      </c>
      <c r="T526" t="n">
        <v>2</v>
      </c>
      <c r="U526" t="inlineStr">
        <is>
          <t>1999-01-18</t>
        </is>
      </c>
      <c r="V526" t="inlineStr">
        <is>
          <t>1999-01-18</t>
        </is>
      </c>
      <c r="W526" t="inlineStr">
        <is>
          <t>1998-12-08</t>
        </is>
      </c>
      <c r="X526" t="inlineStr">
        <is>
          <t>1998-12-08</t>
        </is>
      </c>
      <c r="Y526" t="n">
        <v>290</v>
      </c>
      <c r="Z526" t="n">
        <v>281</v>
      </c>
      <c r="AA526" t="n">
        <v>356</v>
      </c>
      <c r="AB526" t="n">
        <v>2</v>
      </c>
      <c r="AC526" t="n">
        <v>3</v>
      </c>
      <c r="AD526" t="n">
        <v>14</v>
      </c>
      <c r="AE526" t="n">
        <v>16</v>
      </c>
      <c r="AF526" t="n">
        <v>2</v>
      </c>
      <c r="AG526" t="n">
        <v>3</v>
      </c>
      <c r="AH526" t="n">
        <v>6</v>
      </c>
      <c r="AI526" t="n">
        <v>6</v>
      </c>
      <c r="AJ526" t="n">
        <v>9</v>
      </c>
      <c r="AK526" t="n">
        <v>10</v>
      </c>
      <c r="AL526" t="n">
        <v>1</v>
      </c>
      <c r="AM526" t="n">
        <v>2</v>
      </c>
      <c r="AN526" t="n">
        <v>1</v>
      </c>
      <c r="AO526" t="n">
        <v>1</v>
      </c>
      <c r="AP526" t="inlineStr">
        <is>
          <t>No</t>
        </is>
      </c>
      <c r="AQ526" t="inlineStr">
        <is>
          <t>No</t>
        </is>
      </c>
      <c r="AS526">
        <f>HYPERLINK("https://creighton-primo.hosted.exlibrisgroup.com/primo-explore/search?tab=default_tab&amp;search_scope=EVERYTHING&amp;vid=01CRU&amp;lang=en_US&amp;offset=0&amp;query=any,contains,991002216549702656","Catalog Record")</f>
        <v/>
      </c>
      <c r="AT526">
        <f>HYPERLINK("http://www.worldcat.org/oclc/28547757","WorldCat Record")</f>
        <v/>
      </c>
      <c r="AU526" t="inlineStr">
        <is>
          <t>670261:eng</t>
        </is>
      </c>
      <c r="AV526" t="inlineStr">
        <is>
          <t>28547757</t>
        </is>
      </c>
      <c r="AW526" t="inlineStr">
        <is>
          <t>991002216549702656</t>
        </is>
      </c>
      <c r="AX526" t="inlineStr">
        <is>
          <t>991002216549702656</t>
        </is>
      </c>
      <c r="AY526" t="inlineStr">
        <is>
          <t>2257558430002656</t>
        </is>
      </c>
      <c r="AZ526" t="inlineStr">
        <is>
          <t>BOOK</t>
        </is>
      </c>
      <c r="BB526" t="inlineStr">
        <is>
          <t>9781565840935</t>
        </is>
      </c>
      <c r="BC526" t="inlineStr">
        <is>
          <t>32285003494811</t>
        </is>
      </c>
      <c r="BD526" t="inlineStr">
        <is>
          <t>893903770</t>
        </is>
      </c>
    </row>
    <row r="527">
      <c r="A527" t="inlineStr">
        <is>
          <t>No</t>
        </is>
      </c>
      <c r="B527" t="inlineStr">
        <is>
          <t>HN80.C5 W55 2006</t>
        </is>
      </c>
      <c r="C527" t="inlineStr">
        <is>
          <t>0                      HN 0080000C  5                  W  55          2006</t>
        </is>
      </c>
      <c r="D527" t="inlineStr">
        <is>
          <t>There goes the neighborhood : racial, ethnic, and class tensions in four Chicago neighborhoods and their meaning for America / by William Julius Wilson and Richard P. Taub.</t>
        </is>
      </c>
      <c r="F527" t="inlineStr">
        <is>
          <t>No</t>
        </is>
      </c>
      <c r="G527" t="inlineStr">
        <is>
          <t>1</t>
        </is>
      </c>
      <c r="H527" t="inlineStr">
        <is>
          <t>No</t>
        </is>
      </c>
      <c r="I527" t="inlineStr">
        <is>
          <t>No</t>
        </is>
      </c>
      <c r="J527" t="inlineStr">
        <is>
          <t>0</t>
        </is>
      </c>
      <c r="K527" t="inlineStr">
        <is>
          <t>Wilson, William J., 1935-</t>
        </is>
      </c>
      <c r="L527" t="inlineStr">
        <is>
          <t>New York : Knopf, 2006.</t>
        </is>
      </c>
      <c r="M527" t="inlineStr">
        <is>
          <t>2006</t>
        </is>
      </c>
      <c r="N527" t="inlineStr">
        <is>
          <t>1st ed.</t>
        </is>
      </c>
      <c r="O527" t="inlineStr">
        <is>
          <t>eng</t>
        </is>
      </c>
      <c r="P527" t="inlineStr">
        <is>
          <t>nyu</t>
        </is>
      </c>
      <c r="R527" t="inlineStr">
        <is>
          <t xml:space="preserve">HN </t>
        </is>
      </c>
      <c r="S527" t="n">
        <v>3</v>
      </c>
      <c r="T527" t="n">
        <v>3</v>
      </c>
      <c r="U527" t="inlineStr">
        <is>
          <t>2009-01-22</t>
        </is>
      </c>
      <c r="V527" t="inlineStr">
        <is>
          <t>2009-01-22</t>
        </is>
      </c>
      <c r="W527" t="inlineStr">
        <is>
          <t>2007-02-15</t>
        </is>
      </c>
      <c r="X527" t="inlineStr">
        <is>
          <t>2007-02-15</t>
        </is>
      </c>
      <c r="Y527" t="n">
        <v>658</v>
      </c>
      <c r="Z527" t="n">
        <v>626</v>
      </c>
      <c r="AA527" t="n">
        <v>736</v>
      </c>
      <c r="AB527" t="n">
        <v>4</v>
      </c>
      <c r="AC527" t="n">
        <v>4</v>
      </c>
      <c r="AD527" t="n">
        <v>35</v>
      </c>
      <c r="AE527" t="n">
        <v>36</v>
      </c>
      <c r="AF527" t="n">
        <v>16</v>
      </c>
      <c r="AG527" t="n">
        <v>17</v>
      </c>
      <c r="AH527" t="n">
        <v>7</v>
      </c>
      <c r="AI527" t="n">
        <v>8</v>
      </c>
      <c r="AJ527" t="n">
        <v>16</v>
      </c>
      <c r="AK527" t="n">
        <v>16</v>
      </c>
      <c r="AL527" t="n">
        <v>3</v>
      </c>
      <c r="AM527" t="n">
        <v>3</v>
      </c>
      <c r="AN527" t="n">
        <v>2</v>
      </c>
      <c r="AO527" t="n">
        <v>2</v>
      </c>
      <c r="AP527" t="inlineStr">
        <is>
          <t>No</t>
        </is>
      </c>
      <c r="AQ527" t="inlineStr">
        <is>
          <t>Yes</t>
        </is>
      </c>
      <c r="AR527">
        <f>HYPERLINK("http://catalog.hathitrust.org/Record/005345192","HathiTrust Record")</f>
        <v/>
      </c>
      <c r="AS527">
        <f>HYPERLINK("https://creighton-primo.hosted.exlibrisgroup.com/primo-explore/search?tab=default_tab&amp;search_scope=EVERYTHING&amp;vid=01CRU&amp;lang=en_US&amp;offset=0&amp;query=any,contains,991005031599702656","Catalog Record")</f>
        <v/>
      </c>
      <c r="AT527">
        <f>HYPERLINK("http://www.worldcat.org/oclc/64487186","WorldCat Record")</f>
        <v/>
      </c>
      <c r="AU527" t="inlineStr">
        <is>
          <t>198152954:eng</t>
        </is>
      </c>
      <c r="AV527" t="inlineStr">
        <is>
          <t>64487186</t>
        </is>
      </c>
      <c r="AW527" t="inlineStr">
        <is>
          <t>991005031599702656</t>
        </is>
      </c>
      <c r="AX527" t="inlineStr">
        <is>
          <t>991005031599702656</t>
        </is>
      </c>
      <c r="AY527" t="inlineStr">
        <is>
          <t>2262522080002656</t>
        </is>
      </c>
      <c r="AZ527" t="inlineStr">
        <is>
          <t>BOOK</t>
        </is>
      </c>
      <c r="BB527" t="inlineStr">
        <is>
          <t>9780394579368</t>
        </is>
      </c>
      <c r="BC527" t="inlineStr">
        <is>
          <t>32285005277560</t>
        </is>
      </c>
      <c r="BD527" t="inlineStr">
        <is>
          <t>893713341</t>
        </is>
      </c>
    </row>
    <row r="528">
      <c r="A528" t="inlineStr">
        <is>
          <t>No</t>
        </is>
      </c>
      <c r="B528" t="inlineStr">
        <is>
          <t>HN80.C55 E87 1992</t>
        </is>
      </c>
      <c r="C528" t="inlineStr">
        <is>
          <t>0                      HN 0080000C  55                 E  87          1992</t>
        </is>
      </c>
      <c r="D528" t="inlineStr">
        <is>
          <t>Ethnic diversity and civic identity : patterns of conflict and cohesion in Cincinnati since 1820 / edited by Henry D. Shapiro and Jonathan D. Sarna.</t>
        </is>
      </c>
      <c r="F528" t="inlineStr">
        <is>
          <t>No</t>
        </is>
      </c>
      <c r="G528" t="inlineStr">
        <is>
          <t>1</t>
        </is>
      </c>
      <c r="H528" t="inlineStr">
        <is>
          <t>No</t>
        </is>
      </c>
      <c r="I528" t="inlineStr">
        <is>
          <t>No</t>
        </is>
      </c>
      <c r="J528" t="inlineStr">
        <is>
          <t>0</t>
        </is>
      </c>
      <c r="L528" t="inlineStr">
        <is>
          <t>Urbana : University of Illinois Press, c1992.</t>
        </is>
      </c>
      <c r="M528" t="inlineStr">
        <is>
          <t>1992</t>
        </is>
      </c>
      <c r="O528" t="inlineStr">
        <is>
          <t>eng</t>
        </is>
      </c>
      <c r="P528" t="inlineStr">
        <is>
          <t>ilu</t>
        </is>
      </c>
      <c r="Q528" t="inlineStr">
        <is>
          <t>Greater Cincinnati bicentennial history series</t>
        </is>
      </c>
      <c r="R528" t="inlineStr">
        <is>
          <t xml:space="preserve">HN </t>
        </is>
      </c>
      <c r="S528" t="n">
        <v>8</v>
      </c>
      <c r="T528" t="n">
        <v>8</v>
      </c>
      <c r="U528" t="inlineStr">
        <is>
          <t>2000-04-30</t>
        </is>
      </c>
      <c r="V528" t="inlineStr">
        <is>
          <t>2000-04-30</t>
        </is>
      </c>
      <c r="W528" t="inlineStr">
        <is>
          <t>1994-12-28</t>
        </is>
      </c>
      <c r="X528" t="inlineStr">
        <is>
          <t>1994-12-28</t>
        </is>
      </c>
      <c r="Y528" t="n">
        <v>272</v>
      </c>
      <c r="Z528" t="n">
        <v>241</v>
      </c>
      <c r="AA528" t="n">
        <v>241</v>
      </c>
      <c r="AB528" t="n">
        <v>2</v>
      </c>
      <c r="AC528" t="n">
        <v>2</v>
      </c>
      <c r="AD528" t="n">
        <v>16</v>
      </c>
      <c r="AE528" t="n">
        <v>16</v>
      </c>
      <c r="AF528" t="n">
        <v>5</v>
      </c>
      <c r="AG528" t="n">
        <v>5</v>
      </c>
      <c r="AH528" t="n">
        <v>5</v>
      </c>
      <c r="AI528" t="n">
        <v>5</v>
      </c>
      <c r="AJ528" t="n">
        <v>13</v>
      </c>
      <c r="AK528" t="n">
        <v>13</v>
      </c>
      <c r="AL528" t="n">
        <v>1</v>
      </c>
      <c r="AM528" t="n">
        <v>1</v>
      </c>
      <c r="AN528" t="n">
        <v>0</v>
      </c>
      <c r="AO528" t="n">
        <v>0</v>
      </c>
      <c r="AP528" t="inlineStr">
        <is>
          <t>No</t>
        </is>
      </c>
      <c r="AQ528" t="inlineStr">
        <is>
          <t>No</t>
        </is>
      </c>
      <c r="AS528">
        <f>HYPERLINK("https://creighton-primo.hosted.exlibrisgroup.com/primo-explore/search?tab=default_tab&amp;search_scope=EVERYTHING&amp;vid=01CRU&amp;lang=en_US&amp;offset=0&amp;query=any,contains,991001914069702656","Catalog Record")</f>
        <v/>
      </c>
      <c r="AT528">
        <f>HYPERLINK("http://www.worldcat.org/oclc/24173698","WorldCat Record")</f>
        <v/>
      </c>
      <c r="AU528" t="inlineStr">
        <is>
          <t>476178730:eng</t>
        </is>
      </c>
      <c r="AV528" t="inlineStr">
        <is>
          <t>24173698</t>
        </is>
      </c>
      <c r="AW528" t="inlineStr">
        <is>
          <t>991001914069702656</t>
        </is>
      </c>
      <c r="AX528" t="inlineStr">
        <is>
          <t>991001914069702656</t>
        </is>
      </c>
      <c r="AY528" t="inlineStr">
        <is>
          <t>2269044550002656</t>
        </is>
      </c>
      <c r="AZ528" t="inlineStr">
        <is>
          <t>BOOK</t>
        </is>
      </c>
      <c r="BB528" t="inlineStr">
        <is>
          <t>9780252018831</t>
        </is>
      </c>
      <c r="BC528" t="inlineStr">
        <is>
          <t>32285001979342</t>
        </is>
      </c>
      <c r="BD528" t="inlineStr">
        <is>
          <t>893709631</t>
        </is>
      </c>
    </row>
    <row r="529">
      <c r="A529" t="inlineStr">
        <is>
          <t>No</t>
        </is>
      </c>
      <c r="B529" t="inlineStr">
        <is>
          <t>HN80.H8 H68 1983</t>
        </is>
      </c>
      <c r="C529" t="inlineStr">
        <is>
          <t>0                      HN 0080000H  8                  H  68          1983</t>
        </is>
      </c>
      <c r="D529" t="inlineStr">
        <is>
          <t>Houston, a twentieth century urban frontier / edited by Francisco A. Rosales and Barry J. Kaplan.</t>
        </is>
      </c>
      <c r="F529" t="inlineStr">
        <is>
          <t>No</t>
        </is>
      </c>
      <c r="G529" t="inlineStr">
        <is>
          <t>1</t>
        </is>
      </c>
      <c r="H529" t="inlineStr">
        <is>
          <t>No</t>
        </is>
      </c>
      <c r="I529" t="inlineStr">
        <is>
          <t>No</t>
        </is>
      </c>
      <c r="J529" t="inlineStr">
        <is>
          <t>0</t>
        </is>
      </c>
      <c r="L529" t="inlineStr">
        <is>
          <t>Port Washington, N.Y. : Associated Faculty Press, 1983.</t>
        </is>
      </c>
      <c r="M529" t="inlineStr">
        <is>
          <t>1983</t>
        </is>
      </c>
      <c r="O529" t="inlineStr">
        <is>
          <t>eng</t>
        </is>
      </c>
      <c r="P529" t="inlineStr">
        <is>
          <t>nyu</t>
        </is>
      </c>
      <c r="Q529" t="inlineStr">
        <is>
          <t>National university publications</t>
        </is>
      </c>
      <c r="R529" t="inlineStr">
        <is>
          <t xml:space="preserve">HN </t>
        </is>
      </c>
      <c r="S529" t="n">
        <v>1</v>
      </c>
      <c r="T529" t="n">
        <v>1</v>
      </c>
      <c r="U529" t="inlineStr">
        <is>
          <t>1992-11-02</t>
        </is>
      </c>
      <c r="V529" t="inlineStr">
        <is>
          <t>1992-11-02</t>
        </is>
      </c>
      <c r="W529" t="inlineStr">
        <is>
          <t>1992-09-29</t>
        </is>
      </c>
      <c r="X529" t="inlineStr">
        <is>
          <t>1992-09-29</t>
        </is>
      </c>
      <c r="Y529" t="n">
        <v>146</v>
      </c>
      <c r="Z529" t="n">
        <v>130</v>
      </c>
      <c r="AA529" t="n">
        <v>132</v>
      </c>
      <c r="AB529" t="n">
        <v>2</v>
      </c>
      <c r="AC529" t="n">
        <v>2</v>
      </c>
      <c r="AD529" t="n">
        <v>4</v>
      </c>
      <c r="AE529" t="n">
        <v>4</v>
      </c>
      <c r="AF529" t="n">
        <v>0</v>
      </c>
      <c r="AG529" t="n">
        <v>0</v>
      </c>
      <c r="AH529" t="n">
        <v>2</v>
      </c>
      <c r="AI529" t="n">
        <v>2</v>
      </c>
      <c r="AJ529" t="n">
        <v>1</v>
      </c>
      <c r="AK529" t="n">
        <v>1</v>
      </c>
      <c r="AL529" t="n">
        <v>1</v>
      </c>
      <c r="AM529" t="n">
        <v>1</v>
      </c>
      <c r="AN529" t="n">
        <v>0</v>
      </c>
      <c r="AO529" t="n">
        <v>0</v>
      </c>
      <c r="AP529" t="inlineStr">
        <is>
          <t>No</t>
        </is>
      </c>
      <c r="AQ529" t="inlineStr">
        <is>
          <t>No</t>
        </is>
      </c>
      <c r="AS529">
        <f>HYPERLINK("https://creighton-primo.hosted.exlibrisgroup.com/primo-explore/search?tab=default_tab&amp;search_scope=EVERYTHING&amp;vid=01CRU&amp;lang=en_US&amp;offset=0&amp;query=any,contains,991000374369702656","Catalog Record")</f>
        <v/>
      </c>
      <c r="AT529">
        <f>HYPERLINK("http://www.worldcat.org/oclc/10457276","WorldCat Record")</f>
        <v/>
      </c>
      <c r="AU529" t="inlineStr">
        <is>
          <t>1374289335:eng</t>
        </is>
      </c>
      <c r="AV529" t="inlineStr">
        <is>
          <t>10457276</t>
        </is>
      </c>
      <c r="AW529" t="inlineStr">
        <is>
          <t>991000374369702656</t>
        </is>
      </c>
      <c r="AX529" t="inlineStr">
        <is>
          <t>991000374369702656</t>
        </is>
      </c>
      <c r="AY529" t="inlineStr">
        <is>
          <t>2262928900002656</t>
        </is>
      </c>
      <c r="AZ529" t="inlineStr">
        <is>
          <t>BOOK</t>
        </is>
      </c>
      <c r="BB529" t="inlineStr">
        <is>
          <t>9780804693035</t>
        </is>
      </c>
      <c r="BC529" t="inlineStr">
        <is>
          <t>32285001355618</t>
        </is>
      </c>
      <c r="BD529" t="inlineStr">
        <is>
          <t>893890607</t>
        </is>
      </c>
    </row>
    <row r="530">
      <c r="A530" t="inlineStr">
        <is>
          <t>No</t>
        </is>
      </c>
      <c r="B530" t="inlineStr">
        <is>
          <t>HN80.N5 K87 2004</t>
        </is>
      </c>
      <c r="C530" t="inlineStr">
        <is>
          <t>0                      HN 0080000N  5                  K  87          2004</t>
        </is>
      </c>
      <c r="D530" t="inlineStr">
        <is>
          <t>American individualisms : child rearing and social class in three neighborhoods / Adrie S. Kusserow.</t>
        </is>
      </c>
      <c r="F530" t="inlineStr">
        <is>
          <t>No</t>
        </is>
      </c>
      <c r="G530" t="inlineStr">
        <is>
          <t>1</t>
        </is>
      </c>
      <c r="H530" t="inlineStr">
        <is>
          <t>No</t>
        </is>
      </c>
      <c r="I530" t="inlineStr">
        <is>
          <t>No</t>
        </is>
      </c>
      <c r="J530" t="inlineStr">
        <is>
          <t>0</t>
        </is>
      </c>
      <c r="K530" t="inlineStr">
        <is>
          <t>Kusserow, Adrie.</t>
        </is>
      </c>
      <c r="L530" t="inlineStr">
        <is>
          <t>New York : Palgrave Macmillan, 2004.</t>
        </is>
      </c>
      <c r="M530" t="inlineStr">
        <is>
          <t>2004</t>
        </is>
      </c>
      <c r="N530" t="inlineStr">
        <is>
          <t>1st ed.</t>
        </is>
      </c>
      <c r="O530" t="inlineStr">
        <is>
          <t>eng</t>
        </is>
      </c>
      <c r="P530" t="inlineStr">
        <is>
          <t>nyu</t>
        </is>
      </c>
      <c r="Q530" t="inlineStr">
        <is>
          <t>Culture, mind, and society</t>
        </is>
      </c>
      <c r="R530" t="inlineStr">
        <is>
          <t xml:space="preserve">HN </t>
        </is>
      </c>
      <c r="S530" t="n">
        <v>3</v>
      </c>
      <c r="T530" t="n">
        <v>3</v>
      </c>
      <c r="U530" t="inlineStr">
        <is>
          <t>2010-10-09</t>
        </is>
      </c>
      <c r="V530" t="inlineStr">
        <is>
          <t>2010-10-09</t>
        </is>
      </c>
      <c r="W530" t="inlineStr">
        <is>
          <t>2006-07-17</t>
        </is>
      </c>
      <c r="X530" t="inlineStr">
        <is>
          <t>2006-07-17</t>
        </is>
      </c>
      <c r="Y530" t="n">
        <v>560</v>
      </c>
      <c r="Z530" t="n">
        <v>515</v>
      </c>
      <c r="AA530" t="n">
        <v>832</v>
      </c>
      <c r="AB530" t="n">
        <v>5</v>
      </c>
      <c r="AC530" t="n">
        <v>7</v>
      </c>
      <c r="AD530" t="n">
        <v>28</v>
      </c>
      <c r="AE530" t="n">
        <v>42</v>
      </c>
      <c r="AF530" t="n">
        <v>15</v>
      </c>
      <c r="AG530" t="n">
        <v>19</v>
      </c>
      <c r="AH530" t="n">
        <v>5</v>
      </c>
      <c r="AI530" t="n">
        <v>8</v>
      </c>
      <c r="AJ530" t="n">
        <v>12</v>
      </c>
      <c r="AK530" t="n">
        <v>17</v>
      </c>
      <c r="AL530" t="n">
        <v>4</v>
      </c>
      <c r="AM530" t="n">
        <v>6</v>
      </c>
      <c r="AN530" t="n">
        <v>0</v>
      </c>
      <c r="AO530" t="n">
        <v>1</v>
      </c>
      <c r="AP530" t="inlineStr">
        <is>
          <t>No</t>
        </is>
      </c>
      <c r="AQ530" t="inlineStr">
        <is>
          <t>No</t>
        </is>
      </c>
      <c r="AS530">
        <f>HYPERLINK("https://creighton-primo.hosted.exlibrisgroup.com/primo-explore/search?tab=default_tab&amp;search_scope=EVERYTHING&amp;vid=01CRU&amp;lang=en_US&amp;offset=0&amp;query=any,contains,991004844819702656","Catalog Record")</f>
        <v/>
      </c>
      <c r="AT530">
        <f>HYPERLINK("http://www.worldcat.org/oclc/53903751","WorldCat Record")</f>
        <v/>
      </c>
      <c r="AU530" t="inlineStr">
        <is>
          <t>793964673:eng</t>
        </is>
      </c>
      <c r="AV530" t="inlineStr">
        <is>
          <t>53903751</t>
        </is>
      </c>
      <c r="AW530" t="inlineStr">
        <is>
          <t>991004844819702656</t>
        </is>
      </c>
      <c r="AX530" t="inlineStr">
        <is>
          <t>991004844819702656</t>
        </is>
      </c>
      <c r="AY530" t="inlineStr">
        <is>
          <t>2259478550002656</t>
        </is>
      </c>
      <c r="AZ530" t="inlineStr">
        <is>
          <t>BOOK</t>
        </is>
      </c>
      <c r="BB530" t="inlineStr">
        <is>
          <t>9781403964809</t>
        </is>
      </c>
      <c r="BC530" t="inlineStr">
        <is>
          <t>32285005194815</t>
        </is>
      </c>
      <c r="BD530" t="inlineStr">
        <is>
          <t>893706904</t>
        </is>
      </c>
    </row>
    <row r="531">
      <c r="A531" t="inlineStr">
        <is>
          <t>No</t>
        </is>
      </c>
      <c r="B531" t="inlineStr">
        <is>
          <t>HN80.O16 G66</t>
        </is>
      </c>
      <c r="C531" t="inlineStr">
        <is>
          <t>0                      HN 0080000O  16                 G  66</t>
        </is>
      </c>
      <c r="D531" t="inlineStr">
        <is>
          <t>The Oak Park strategy : community control of racial change / Carole Goodwin.</t>
        </is>
      </c>
      <c r="F531" t="inlineStr">
        <is>
          <t>No</t>
        </is>
      </c>
      <c r="G531" t="inlineStr">
        <is>
          <t>1</t>
        </is>
      </c>
      <c r="H531" t="inlineStr">
        <is>
          <t>No</t>
        </is>
      </c>
      <c r="I531" t="inlineStr">
        <is>
          <t>No</t>
        </is>
      </c>
      <c r="J531" t="inlineStr">
        <is>
          <t>0</t>
        </is>
      </c>
      <c r="K531" t="inlineStr">
        <is>
          <t>Goodwin, Carole.</t>
        </is>
      </c>
      <c r="L531" t="inlineStr">
        <is>
          <t>Chicago : University of Chicago Press, 1979.</t>
        </is>
      </c>
      <c r="M531" t="inlineStr">
        <is>
          <t>1979</t>
        </is>
      </c>
      <c r="O531" t="inlineStr">
        <is>
          <t>eng</t>
        </is>
      </c>
      <c r="P531" t="inlineStr">
        <is>
          <t>ilu</t>
        </is>
      </c>
      <c r="Q531" t="inlineStr">
        <is>
          <t>Studies of urban society</t>
        </is>
      </c>
      <c r="R531" t="inlineStr">
        <is>
          <t xml:space="preserve">HN </t>
        </is>
      </c>
      <c r="S531" t="n">
        <v>3</v>
      </c>
      <c r="T531" t="n">
        <v>3</v>
      </c>
      <c r="U531" t="inlineStr">
        <is>
          <t>2009-04-19</t>
        </is>
      </c>
      <c r="V531" t="inlineStr">
        <is>
          <t>2009-04-19</t>
        </is>
      </c>
      <c r="W531" t="inlineStr">
        <is>
          <t>1992-09-29</t>
        </is>
      </c>
      <c r="X531" t="inlineStr">
        <is>
          <t>1992-09-29</t>
        </is>
      </c>
      <c r="Y531" t="n">
        <v>450</v>
      </c>
      <c r="Z531" t="n">
        <v>410</v>
      </c>
      <c r="AA531" t="n">
        <v>415</v>
      </c>
      <c r="AB531" t="n">
        <v>3</v>
      </c>
      <c r="AC531" t="n">
        <v>3</v>
      </c>
      <c r="AD531" t="n">
        <v>23</v>
      </c>
      <c r="AE531" t="n">
        <v>23</v>
      </c>
      <c r="AF531" t="n">
        <v>9</v>
      </c>
      <c r="AG531" t="n">
        <v>9</v>
      </c>
      <c r="AH531" t="n">
        <v>6</v>
      </c>
      <c r="AI531" t="n">
        <v>6</v>
      </c>
      <c r="AJ531" t="n">
        <v>10</v>
      </c>
      <c r="AK531" t="n">
        <v>10</v>
      </c>
      <c r="AL531" t="n">
        <v>2</v>
      </c>
      <c r="AM531" t="n">
        <v>2</v>
      </c>
      <c r="AN531" t="n">
        <v>2</v>
      </c>
      <c r="AO531" t="n">
        <v>2</v>
      </c>
      <c r="AP531" t="inlineStr">
        <is>
          <t>No</t>
        </is>
      </c>
      <c r="AQ531" t="inlineStr">
        <is>
          <t>No</t>
        </is>
      </c>
      <c r="AS531">
        <f>HYPERLINK("https://creighton-primo.hosted.exlibrisgroup.com/primo-explore/search?tab=default_tab&amp;search_scope=EVERYTHING&amp;vid=01CRU&amp;lang=en_US&amp;offset=0&amp;query=any,contains,991004758119702656","Catalog Record")</f>
        <v/>
      </c>
      <c r="AT531">
        <f>HYPERLINK("http://www.worldcat.org/oclc/4983072","WorldCat Record")</f>
        <v/>
      </c>
      <c r="AU531" t="inlineStr">
        <is>
          <t>418443:eng</t>
        </is>
      </c>
      <c r="AV531" t="inlineStr">
        <is>
          <t>4983072</t>
        </is>
      </c>
      <c r="AW531" t="inlineStr">
        <is>
          <t>991004758119702656</t>
        </is>
      </c>
      <c r="AX531" t="inlineStr">
        <is>
          <t>991004758119702656</t>
        </is>
      </c>
      <c r="AY531" t="inlineStr">
        <is>
          <t>2266147010002656</t>
        </is>
      </c>
      <c r="AZ531" t="inlineStr">
        <is>
          <t>BOOK</t>
        </is>
      </c>
      <c r="BB531" t="inlineStr">
        <is>
          <t>9780226303963</t>
        </is>
      </c>
      <c r="BC531" t="inlineStr">
        <is>
          <t>32285001355642</t>
        </is>
      </c>
      <c r="BD531" t="inlineStr">
        <is>
          <t>893235897</t>
        </is>
      </c>
    </row>
    <row r="532">
      <c r="A532" t="inlineStr">
        <is>
          <t>No</t>
        </is>
      </c>
      <c r="B532" t="inlineStr">
        <is>
          <t>HN80.O5 A53</t>
        </is>
      </c>
      <c r="C532" t="inlineStr">
        <is>
          <t>0                      HN 0080000O  5                  A  53</t>
        </is>
      </c>
      <c r="D532" t="inlineStr">
        <is>
          <t>A study of South Omaha / by Jack D. Angus ... [et al.].</t>
        </is>
      </c>
      <c r="F532" t="inlineStr">
        <is>
          <t>No</t>
        </is>
      </c>
      <c r="G532" t="inlineStr">
        <is>
          <t>1</t>
        </is>
      </c>
      <c r="H532" t="inlineStr">
        <is>
          <t>No</t>
        </is>
      </c>
      <c r="I532" t="inlineStr">
        <is>
          <t>No</t>
        </is>
      </c>
      <c r="J532" t="inlineStr">
        <is>
          <t>0</t>
        </is>
      </c>
      <c r="K532" t="inlineStr">
        <is>
          <t>Angus, Jack D.</t>
        </is>
      </c>
      <c r="L532" t="inlineStr">
        <is>
          <t>Omaha : College of Arts and Sciences, Creighton University, 1978.</t>
        </is>
      </c>
      <c r="M532" t="inlineStr">
        <is>
          <t>1978</t>
        </is>
      </c>
      <c r="O532" t="inlineStr">
        <is>
          <t>eng</t>
        </is>
      </c>
      <c r="P532" t="inlineStr">
        <is>
          <t>nbu</t>
        </is>
      </c>
      <c r="Q532" t="inlineStr">
        <is>
          <t>Faculty working papers</t>
        </is>
      </c>
      <c r="R532" t="inlineStr">
        <is>
          <t xml:space="preserve">HN </t>
        </is>
      </c>
      <c r="S532" t="n">
        <v>2</v>
      </c>
      <c r="T532" t="n">
        <v>2</v>
      </c>
      <c r="U532" t="inlineStr">
        <is>
          <t>2006-02-06</t>
        </is>
      </c>
      <c r="V532" t="inlineStr">
        <is>
          <t>2006-02-06</t>
        </is>
      </c>
      <c r="W532" t="inlineStr">
        <is>
          <t>1990-02-19</t>
        </is>
      </c>
      <c r="X532" t="inlineStr">
        <is>
          <t>1990-02-19</t>
        </is>
      </c>
      <c r="Y532" t="n">
        <v>1</v>
      </c>
      <c r="Z532" t="n">
        <v>1</v>
      </c>
      <c r="AA532" t="n">
        <v>1</v>
      </c>
      <c r="AB532" t="n">
        <v>1</v>
      </c>
      <c r="AC532" t="n">
        <v>1</v>
      </c>
      <c r="AD532" t="n">
        <v>0</v>
      </c>
      <c r="AE532" t="n">
        <v>0</v>
      </c>
      <c r="AF532" t="n">
        <v>0</v>
      </c>
      <c r="AG532" t="n">
        <v>0</v>
      </c>
      <c r="AH532" t="n">
        <v>0</v>
      </c>
      <c r="AI532" t="n">
        <v>0</v>
      </c>
      <c r="AJ532" t="n">
        <v>0</v>
      </c>
      <c r="AK532" t="n">
        <v>0</v>
      </c>
      <c r="AL532" t="n">
        <v>0</v>
      </c>
      <c r="AM532" t="n">
        <v>0</v>
      </c>
      <c r="AN532" t="n">
        <v>0</v>
      </c>
      <c r="AO532" t="n">
        <v>0</v>
      </c>
      <c r="AP532" t="inlineStr">
        <is>
          <t>No</t>
        </is>
      </c>
      <c r="AQ532" t="inlineStr">
        <is>
          <t>No</t>
        </is>
      </c>
      <c r="AS532">
        <f>HYPERLINK("https://creighton-primo.hosted.exlibrisgroup.com/primo-explore/search?tab=default_tab&amp;search_scope=EVERYTHING&amp;vid=01CRU&amp;lang=en_US&amp;offset=0&amp;query=any,contains,991000073559702656","Catalog Record")</f>
        <v/>
      </c>
      <c r="AT532">
        <f>HYPERLINK("http://www.worldcat.org/oclc/8796252","WorldCat Record")</f>
        <v/>
      </c>
      <c r="AU532" t="inlineStr">
        <is>
          <t>43437163:eng</t>
        </is>
      </c>
      <c r="AV532" t="inlineStr">
        <is>
          <t>8796252</t>
        </is>
      </c>
      <c r="AW532" t="inlineStr">
        <is>
          <t>991000073559702656</t>
        </is>
      </c>
      <c r="AX532" t="inlineStr">
        <is>
          <t>991000073559702656</t>
        </is>
      </c>
      <c r="AY532" t="inlineStr">
        <is>
          <t>2263066640002656</t>
        </is>
      </c>
      <c r="AZ532" t="inlineStr">
        <is>
          <t>BOOK</t>
        </is>
      </c>
      <c r="BC532" t="inlineStr">
        <is>
          <t>32285000054436</t>
        </is>
      </c>
      <c r="BD532" t="inlineStr">
        <is>
          <t>893502201</t>
        </is>
      </c>
    </row>
    <row r="533">
      <c r="A533" t="inlineStr">
        <is>
          <t>No</t>
        </is>
      </c>
      <c r="B533" t="inlineStr">
        <is>
          <t>HN80.P5 P477 1991</t>
        </is>
      </c>
      <c r="C533" t="inlineStr">
        <is>
          <t>0                      HN 0080000P  5                  P  477         1991</t>
        </is>
      </c>
      <c r="D533" t="inlineStr">
        <is>
          <t>Philadelphia : neighborhoods, division, and conflict in a postindustrial city / Carolyn Adams ... [et al.].</t>
        </is>
      </c>
      <c r="F533" t="inlineStr">
        <is>
          <t>No</t>
        </is>
      </c>
      <c r="G533" t="inlineStr">
        <is>
          <t>1</t>
        </is>
      </c>
      <c r="H533" t="inlineStr">
        <is>
          <t>No</t>
        </is>
      </c>
      <c r="I533" t="inlineStr">
        <is>
          <t>No</t>
        </is>
      </c>
      <c r="J533" t="inlineStr">
        <is>
          <t>0</t>
        </is>
      </c>
      <c r="L533" t="inlineStr">
        <is>
          <t>Philadelphia : Temple University Press, 1991.</t>
        </is>
      </c>
      <c r="M533" t="inlineStr">
        <is>
          <t>1991</t>
        </is>
      </c>
      <c r="O533" t="inlineStr">
        <is>
          <t>eng</t>
        </is>
      </c>
      <c r="P533" t="inlineStr">
        <is>
          <t>pau</t>
        </is>
      </c>
      <c r="Q533" t="inlineStr">
        <is>
          <t>Comparative American cities</t>
        </is>
      </c>
      <c r="R533" t="inlineStr">
        <is>
          <t xml:space="preserve">HN </t>
        </is>
      </c>
      <c r="S533" t="n">
        <v>3</v>
      </c>
      <c r="T533" t="n">
        <v>3</v>
      </c>
      <c r="U533" t="inlineStr">
        <is>
          <t>1996-11-04</t>
        </is>
      </c>
      <c r="V533" t="inlineStr">
        <is>
          <t>1996-11-04</t>
        </is>
      </c>
      <c r="W533" t="inlineStr">
        <is>
          <t>1992-05-15</t>
        </is>
      </c>
      <c r="X533" t="inlineStr">
        <is>
          <t>1992-05-15</t>
        </is>
      </c>
      <c r="Y533" t="n">
        <v>402</v>
      </c>
      <c r="Z533" t="n">
        <v>369</v>
      </c>
      <c r="AA533" t="n">
        <v>374</v>
      </c>
      <c r="AB533" t="n">
        <v>2</v>
      </c>
      <c r="AC533" t="n">
        <v>2</v>
      </c>
      <c r="AD533" t="n">
        <v>20</v>
      </c>
      <c r="AE533" t="n">
        <v>20</v>
      </c>
      <c r="AF533" t="n">
        <v>6</v>
      </c>
      <c r="AG533" t="n">
        <v>6</v>
      </c>
      <c r="AH533" t="n">
        <v>6</v>
      </c>
      <c r="AI533" t="n">
        <v>6</v>
      </c>
      <c r="AJ533" t="n">
        <v>14</v>
      </c>
      <c r="AK533" t="n">
        <v>14</v>
      </c>
      <c r="AL533" t="n">
        <v>1</v>
      </c>
      <c r="AM533" t="n">
        <v>1</v>
      </c>
      <c r="AN533" t="n">
        <v>0</v>
      </c>
      <c r="AO533" t="n">
        <v>0</v>
      </c>
      <c r="AP533" t="inlineStr">
        <is>
          <t>No</t>
        </is>
      </c>
      <c r="AQ533" t="inlineStr">
        <is>
          <t>No</t>
        </is>
      </c>
      <c r="AS533">
        <f>HYPERLINK("https://creighton-primo.hosted.exlibrisgroup.com/primo-explore/search?tab=default_tab&amp;search_scope=EVERYTHING&amp;vid=01CRU&amp;lang=en_US&amp;offset=0&amp;query=any,contains,991001842389702656","Catalog Record")</f>
        <v/>
      </c>
      <c r="AT533">
        <f>HYPERLINK("http://www.worldcat.org/oclc/23143264","WorldCat Record")</f>
        <v/>
      </c>
      <c r="AU533" t="inlineStr">
        <is>
          <t>24682060:eng</t>
        </is>
      </c>
      <c r="AV533" t="inlineStr">
        <is>
          <t>23143264</t>
        </is>
      </c>
      <c r="AW533" t="inlineStr">
        <is>
          <t>991001842389702656</t>
        </is>
      </c>
      <c r="AX533" t="inlineStr">
        <is>
          <t>991001842389702656</t>
        </is>
      </c>
      <c r="AY533" t="inlineStr">
        <is>
          <t>2265657090002656</t>
        </is>
      </c>
      <c r="AZ533" t="inlineStr">
        <is>
          <t>BOOK</t>
        </is>
      </c>
      <c r="BB533" t="inlineStr">
        <is>
          <t>9780877228424</t>
        </is>
      </c>
      <c r="BC533" t="inlineStr">
        <is>
          <t>32285001115913</t>
        </is>
      </c>
      <c r="BD533" t="inlineStr">
        <is>
          <t>893697082</t>
        </is>
      </c>
    </row>
    <row r="534">
      <c r="A534" t="inlineStr">
        <is>
          <t>No</t>
        </is>
      </c>
      <c r="B534" t="inlineStr">
        <is>
          <t>HN80.P6 A35 1984</t>
        </is>
      </c>
      <c r="C534" t="inlineStr">
        <is>
          <t>0                      HN 0080000P  6                  A  35          1984</t>
        </is>
      </c>
      <c r="D534" t="inlineStr">
        <is>
          <t>Neighborhoods, people, and community / Roger S. Ahlbrandt, Jr.</t>
        </is>
      </c>
      <c r="F534" t="inlineStr">
        <is>
          <t>No</t>
        </is>
      </c>
      <c r="G534" t="inlineStr">
        <is>
          <t>1</t>
        </is>
      </c>
      <c r="H534" t="inlineStr">
        <is>
          <t>No</t>
        </is>
      </c>
      <c r="I534" t="inlineStr">
        <is>
          <t>No</t>
        </is>
      </c>
      <c r="J534" t="inlineStr">
        <is>
          <t>0</t>
        </is>
      </c>
      <c r="K534" t="inlineStr">
        <is>
          <t>Ahlbrandt, Roger S.</t>
        </is>
      </c>
      <c r="L534" t="inlineStr">
        <is>
          <t>New York : Plenum Press, c1984.</t>
        </is>
      </c>
      <c r="M534" t="inlineStr">
        <is>
          <t>1984</t>
        </is>
      </c>
      <c r="O534" t="inlineStr">
        <is>
          <t>eng</t>
        </is>
      </c>
      <c r="P534" t="inlineStr">
        <is>
          <t>nyu</t>
        </is>
      </c>
      <c r="Q534" t="inlineStr">
        <is>
          <t>Environment, development, and public policy. Cities and development</t>
        </is>
      </c>
      <c r="R534" t="inlineStr">
        <is>
          <t xml:space="preserve">HN </t>
        </is>
      </c>
      <c r="S534" t="n">
        <v>6</v>
      </c>
      <c r="T534" t="n">
        <v>6</v>
      </c>
      <c r="U534" t="inlineStr">
        <is>
          <t>2000-04-03</t>
        </is>
      </c>
      <c r="V534" t="inlineStr">
        <is>
          <t>2000-04-03</t>
        </is>
      </c>
      <c r="W534" t="inlineStr">
        <is>
          <t>1992-09-29</t>
        </is>
      </c>
      <c r="X534" t="inlineStr">
        <is>
          <t>1992-09-29</t>
        </is>
      </c>
      <c r="Y534" t="n">
        <v>570</v>
      </c>
      <c r="Z534" t="n">
        <v>480</v>
      </c>
      <c r="AA534" t="n">
        <v>488</v>
      </c>
      <c r="AB534" t="n">
        <v>4</v>
      </c>
      <c r="AC534" t="n">
        <v>4</v>
      </c>
      <c r="AD534" t="n">
        <v>21</v>
      </c>
      <c r="AE534" t="n">
        <v>21</v>
      </c>
      <c r="AF534" t="n">
        <v>6</v>
      </c>
      <c r="AG534" t="n">
        <v>6</v>
      </c>
      <c r="AH534" t="n">
        <v>4</v>
      </c>
      <c r="AI534" t="n">
        <v>4</v>
      </c>
      <c r="AJ534" t="n">
        <v>11</v>
      </c>
      <c r="AK534" t="n">
        <v>11</v>
      </c>
      <c r="AL534" t="n">
        <v>3</v>
      </c>
      <c r="AM534" t="n">
        <v>3</v>
      </c>
      <c r="AN534" t="n">
        <v>0</v>
      </c>
      <c r="AO534" t="n">
        <v>0</v>
      </c>
      <c r="AP534" t="inlineStr">
        <is>
          <t>No</t>
        </is>
      </c>
      <c r="AQ534" t="inlineStr">
        <is>
          <t>Yes</t>
        </is>
      </c>
      <c r="AR534">
        <f>HYPERLINK("http://catalog.hathitrust.org/Record/000124608","HathiTrust Record")</f>
        <v/>
      </c>
      <c r="AS534">
        <f>HYPERLINK("https://creighton-primo.hosted.exlibrisgroup.com/primo-explore/search?tab=default_tab&amp;search_scope=EVERYTHING&amp;vid=01CRU&amp;lang=en_US&amp;offset=0&amp;query=any,contains,991000425369702656","Catalog Record")</f>
        <v/>
      </c>
      <c r="AT534">
        <f>HYPERLINK("http://www.worldcat.org/oclc/10753144","WorldCat Record")</f>
        <v/>
      </c>
      <c r="AU534" t="inlineStr">
        <is>
          <t>2908090:eng</t>
        </is>
      </c>
      <c r="AV534" t="inlineStr">
        <is>
          <t>10753144</t>
        </is>
      </c>
      <c r="AW534" t="inlineStr">
        <is>
          <t>991000425369702656</t>
        </is>
      </c>
      <c r="AX534" t="inlineStr">
        <is>
          <t>991000425369702656</t>
        </is>
      </c>
      <c r="AY534" t="inlineStr">
        <is>
          <t>2265427680002656</t>
        </is>
      </c>
      <c r="AZ534" t="inlineStr">
        <is>
          <t>BOOK</t>
        </is>
      </c>
      <c r="BB534" t="inlineStr">
        <is>
          <t>9780306415425</t>
        </is>
      </c>
      <c r="BC534" t="inlineStr">
        <is>
          <t>32285001355675</t>
        </is>
      </c>
      <c r="BD534" t="inlineStr">
        <is>
          <t>893784196</t>
        </is>
      </c>
    </row>
    <row r="535">
      <c r="A535" t="inlineStr">
        <is>
          <t>No</t>
        </is>
      </c>
      <c r="B535" t="inlineStr">
        <is>
          <t>HN80.S4 L33 2005</t>
        </is>
      </c>
      <c r="C535" t="inlineStr">
        <is>
          <t>0                      HN 0080000S  4                  L  33          2005</t>
        </is>
      </c>
      <c r="D535" t="inlineStr">
        <is>
          <t>The Digital city : the American metropolis and information technology / Michel S. Laguerre.</t>
        </is>
      </c>
      <c r="F535" t="inlineStr">
        <is>
          <t>No</t>
        </is>
      </c>
      <c r="G535" t="inlineStr">
        <is>
          <t>1</t>
        </is>
      </c>
      <c r="H535" t="inlineStr">
        <is>
          <t>No</t>
        </is>
      </c>
      <c r="I535" t="inlineStr">
        <is>
          <t>No</t>
        </is>
      </c>
      <c r="J535" t="inlineStr">
        <is>
          <t>0</t>
        </is>
      </c>
      <c r="K535" t="inlineStr">
        <is>
          <t>Laguerre, Michel S.</t>
        </is>
      </c>
      <c r="L535" t="inlineStr">
        <is>
          <t>Houndmills, Basingstoke, Hampshire ; New York : Palgrave Macmillan, 2005.</t>
        </is>
      </c>
      <c r="M535" t="inlineStr">
        <is>
          <t>2005</t>
        </is>
      </c>
      <c r="O535" t="inlineStr">
        <is>
          <t>eng</t>
        </is>
      </c>
      <c r="P535" t="inlineStr">
        <is>
          <t>nyu</t>
        </is>
      </c>
      <c r="R535" t="inlineStr">
        <is>
          <t xml:space="preserve">HN </t>
        </is>
      </c>
      <c r="S535" t="n">
        <v>2</v>
      </c>
      <c r="T535" t="n">
        <v>2</v>
      </c>
      <c r="U535" t="inlineStr">
        <is>
          <t>2008-01-17</t>
        </is>
      </c>
      <c r="V535" t="inlineStr">
        <is>
          <t>2008-01-17</t>
        </is>
      </c>
      <c r="W535" t="inlineStr">
        <is>
          <t>2007-12-06</t>
        </is>
      </c>
      <c r="X535" t="inlineStr">
        <is>
          <t>2007-12-06</t>
        </is>
      </c>
      <c r="Y535" t="n">
        <v>280</v>
      </c>
      <c r="Z535" t="n">
        <v>210</v>
      </c>
      <c r="AA535" t="n">
        <v>244</v>
      </c>
      <c r="AB535" t="n">
        <v>2</v>
      </c>
      <c r="AC535" t="n">
        <v>3</v>
      </c>
      <c r="AD535" t="n">
        <v>9</v>
      </c>
      <c r="AE535" t="n">
        <v>12</v>
      </c>
      <c r="AF535" t="n">
        <v>2</v>
      </c>
      <c r="AG535" t="n">
        <v>4</v>
      </c>
      <c r="AH535" t="n">
        <v>4</v>
      </c>
      <c r="AI535" t="n">
        <v>4</v>
      </c>
      <c r="AJ535" t="n">
        <v>5</v>
      </c>
      <c r="AK535" t="n">
        <v>7</v>
      </c>
      <c r="AL535" t="n">
        <v>1</v>
      </c>
      <c r="AM535" t="n">
        <v>2</v>
      </c>
      <c r="AN535" t="n">
        <v>0</v>
      </c>
      <c r="AO535" t="n">
        <v>0</v>
      </c>
      <c r="AP535" t="inlineStr">
        <is>
          <t>No</t>
        </is>
      </c>
      <c r="AQ535" t="inlineStr">
        <is>
          <t>No</t>
        </is>
      </c>
      <c r="AS535">
        <f>HYPERLINK("https://creighton-primo.hosted.exlibrisgroup.com/primo-explore/search?tab=default_tab&amp;search_scope=EVERYTHING&amp;vid=01CRU&amp;lang=en_US&amp;offset=0&amp;query=any,contains,991005135329702656","Catalog Record")</f>
        <v/>
      </c>
      <c r="AT535">
        <f>HYPERLINK("http://www.worldcat.org/oclc/60312016","WorldCat Record")</f>
        <v/>
      </c>
      <c r="AU535" t="inlineStr">
        <is>
          <t>43705398:eng</t>
        </is>
      </c>
      <c r="AV535" t="inlineStr">
        <is>
          <t>60312016</t>
        </is>
      </c>
      <c r="AW535" t="inlineStr">
        <is>
          <t>991005135329702656</t>
        </is>
      </c>
      <c r="AX535" t="inlineStr">
        <is>
          <t>991005135329702656</t>
        </is>
      </c>
      <c r="AY535" t="inlineStr">
        <is>
          <t>2256289650002656</t>
        </is>
      </c>
      <c r="AZ535" t="inlineStr">
        <is>
          <t>BOOK</t>
        </is>
      </c>
      <c r="BB535" t="inlineStr">
        <is>
          <t>9781403997104</t>
        </is>
      </c>
      <c r="BC535" t="inlineStr">
        <is>
          <t>32285005370621</t>
        </is>
      </c>
      <c r="BD535" t="inlineStr">
        <is>
          <t>893520487</t>
        </is>
      </c>
    </row>
    <row r="536">
      <c r="A536" t="inlineStr">
        <is>
          <t>No</t>
        </is>
      </c>
      <c r="B536" t="inlineStr">
        <is>
          <t>HN80.S78 B6</t>
        </is>
      </c>
      <c r="C536" t="inlineStr">
        <is>
          <t>0                      HN 0080000S  78                 B  6</t>
        </is>
      </c>
      <c r="D536" t="inlineStr">
        <is>
          <t>Immigration and industrialization : ethnicity in an American mill town, 1870-1940 / John Bodnar.</t>
        </is>
      </c>
      <c r="F536" t="inlineStr">
        <is>
          <t>No</t>
        </is>
      </c>
      <c r="G536" t="inlineStr">
        <is>
          <t>1</t>
        </is>
      </c>
      <c r="H536" t="inlineStr">
        <is>
          <t>No</t>
        </is>
      </c>
      <c r="I536" t="inlineStr">
        <is>
          <t>No</t>
        </is>
      </c>
      <c r="J536" t="inlineStr">
        <is>
          <t>0</t>
        </is>
      </c>
      <c r="K536" t="inlineStr">
        <is>
          <t>Bodnar, John E., 1944-</t>
        </is>
      </c>
      <c r="L536" t="inlineStr">
        <is>
          <t>Pittsburgh : University of Pittsburgh Press, c1977.</t>
        </is>
      </c>
      <c r="M536" t="inlineStr">
        <is>
          <t>1977</t>
        </is>
      </c>
      <c r="O536" t="inlineStr">
        <is>
          <t>eng</t>
        </is>
      </c>
      <c r="P536" t="inlineStr">
        <is>
          <t>pau</t>
        </is>
      </c>
      <c r="R536" t="inlineStr">
        <is>
          <t xml:space="preserve">HN </t>
        </is>
      </c>
      <c r="S536" t="n">
        <v>8</v>
      </c>
      <c r="T536" t="n">
        <v>8</v>
      </c>
      <c r="U536" t="inlineStr">
        <is>
          <t>2002-04-23</t>
        </is>
      </c>
      <c r="V536" t="inlineStr">
        <is>
          <t>2002-04-23</t>
        </is>
      </c>
      <c r="W536" t="inlineStr">
        <is>
          <t>1992-09-29</t>
        </is>
      </c>
      <c r="X536" t="inlineStr">
        <is>
          <t>1992-09-29</t>
        </is>
      </c>
      <c r="Y536" t="n">
        <v>645</v>
      </c>
      <c r="Z536" t="n">
        <v>570</v>
      </c>
      <c r="AA536" t="n">
        <v>585</v>
      </c>
      <c r="AB536" t="n">
        <v>3</v>
      </c>
      <c r="AC536" t="n">
        <v>3</v>
      </c>
      <c r="AD536" t="n">
        <v>25</v>
      </c>
      <c r="AE536" t="n">
        <v>25</v>
      </c>
      <c r="AF536" t="n">
        <v>8</v>
      </c>
      <c r="AG536" t="n">
        <v>8</v>
      </c>
      <c r="AH536" t="n">
        <v>6</v>
      </c>
      <c r="AI536" t="n">
        <v>6</v>
      </c>
      <c r="AJ536" t="n">
        <v>17</v>
      </c>
      <c r="AK536" t="n">
        <v>17</v>
      </c>
      <c r="AL536" t="n">
        <v>2</v>
      </c>
      <c r="AM536" t="n">
        <v>2</v>
      </c>
      <c r="AN536" t="n">
        <v>0</v>
      </c>
      <c r="AO536" t="n">
        <v>0</v>
      </c>
      <c r="AP536" t="inlineStr">
        <is>
          <t>No</t>
        </is>
      </c>
      <c r="AQ536" t="inlineStr">
        <is>
          <t>No</t>
        </is>
      </c>
      <c r="AS536">
        <f>HYPERLINK("https://creighton-primo.hosted.exlibrisgroup.com/primo-explore/search?tab=default_tab&amp;search_scope=EVERYTHING&amp;vid=01CRU&amp;lang=en_US&amp;offset=0&amp;query=any,contains,991004297809702656","Catalog Record")</f>
        <v/>
      </c>
      <c r="AT536">
        <f>HYPERLINK("http://www.worldcat.org/oclc/2966242","WorldCat Record")</f>
        <v/>
      </c>
      <c r="AU536" t="inlineStr">
        <is>
          <t>1151049776:eng</t>
        </is>
      </c>
      <c r="AV536" t="inlineStr">
        <is>
          <t>2966242</t>
        </is>
      </c>
      <c r="AW536" t="inlineStr">
        <is>
          <t>991004297809702656</t>
        </is>
      </c>
      <c r="AX536" t="inlineStr">
        <is>
          <t>991004297809702656</t>
        </is>
      </c>
      <c r="AY536" t="inlineStr">
        <is>
          <t>2267570600002656</t>
        </is>
      </c>
      <c r="AZ536" t="inlineStr">
        <is>
          <t>BOOK</t>
        </is>
      </c>
      <c r="BB536" t="inlineStr">
        <is>
          <t>9780822933489</t>
        </is>
      </c>
      <c r="BC536" t="inlineStr">
        <is>
          <t>32285001355691</t>
        </is>
      </c>
      <c r="BD536" t="inlineStr">
        <is>
          <t>893229179</t>
        </is>
      </c>
    </row>
    <row r="537">
      <c r="A537" t="inlineStr">
        <is>
          <t>No</t>
        </is>
      </c>
      <c r="B537" t="inlineStr">
        <is>
          <t>HN80.S78 B6 1990</t>
        </is>
      </c>
      <c r="C537" t="inlineStr">
        <is>
          <t>0                      HN 0080000S  78                 B  6           1990</t>
        </is>
      </c>
      <c r="D537" t="inlineStr">
        <is>
          <t>Steelton : immigration and industrialization, 1870-1940 / John Bodnar.</t>
        </is>
      </c>
      <c r="F537" t="inlineStr">
        <is>
          <t>No</t>
        </is>
      </c>
      <c r="G537" t="inlineStr">
        <is>
          <t>1</t>
        </is>
      </c>
      <c r="H537" t="inlineStr">
        <is>
          <t>No</t>
        </is>
      </c>
      <c r="I537" t="inlineStr">
        <is>
          <t>No</t>
        </is>
      </c>
      <c r="J537" t="inlineStr">
        <is>
          <t>0</t>
        </is>
      </c>
      <c r="K537" t="inlineStr">
        <is>
          <t>Bodnar, John E., 1944-</t>
        </is>
      </c>
      <c r="L537" t="inlineStr">
        <is>
          <t>Pittsburgh, Pa. : University of Pittsburgh Press, 1990.</t>
        </is>
      </c>
      <c r="M537" t="inlineStr">
        <is>
          <t>1990</t>
        </is>
      </c>
      <c r="O537" t="inlineStr">
        <is>
          <t>eng</t>
        </is>
      </c>
      <c r="P537" t="inlineStr">
        <is>
          <t>pau</t>
        </is>
      </c>
      <c r="Q537" t="inlineStr">
        <is>
          <t>Pittsburgh series in social and labor history</t>
        </is>
      </c>
      <c r="R537" t="inlineStr">
        <is>
          <t xml:space="preserve">HN </t>
        </is>
      </c>
      <c r="S537" t="n">
        <v>1</v>
      </c>
      <c r="T537" t="n">
        <v>1</v>
      </c>
      <c r="U537" t="inlineStr">
        <is>
          <t>2004-10-29</t>
        </is>
      </c>
      <c r="V537" t="inlineStr">
        <is>
          <t>2004-10-29</t>
        </is>
      </c>
      <c r="W537" t="inlineStr">
        <is>
          <t>1991-12-13</t>
        </is>
      </c>
      <c r="X537" t="inlineStr">
        <is>
          <t>1991-12-13</t>
        </is>
      </c>
      <c r="Y537" t="n">
        <v>111</v>
      </c>
      <c r="Z537" t="n">
        <v>98</v>
      </c>
      <c r="AA537" t="n">
        <v>478</v>
      </c>
      <c r="AB537" t="n">
        <v>1</v>
      </c>
      <c r="AC537" t="n">
        <v>4</v>
      </c>
      <c r="AD537" t="n">
        <v>2</v>
      </c>
      <c r="AE537" t="n">
        <v>23</v>
      </c>
      <c r="AF537" t="n">
        <v>1</v>
      </c>
      <c r="AG537" t="n">
        <v>11</v>
      </c>
      <c r="AH537" t="n">
        <v>1</v>
      </c>
      <c r="AI537" t="n">
        <v>6</v>
      </c>
      <c r="AJ537" t="n">
        <v>1</v>
      </c>
      <c r="AK537" t="n">
        <v>10</v>
      </c>
      <c r="AL537" t="n">
        <v>0</v>
      </c>
      <c r="AM537" t="n">
        <v>2</v>
      </c>
      <c r="AN537" t="n">
        <v>0</v>
      </c>
      <c r="AO537" t="n">
        <v>0</v>
      </c>
      <c r="AP537" t="inlineStr">
        <is>
          <t>No</t>
        </is>
      </c>
      <c r="AQ537" t="inlineStr">
        <is>
          <t>Yes</t>
        </is>
      </c>
      <c r="AR537">
        <f>HYPERLINK("http://catalog.hathitrust.org/Record/002430967","HathiTrust Record")</f>
        <v/>
      </c>
      <c r="AS537">
        <f>HYPERLINK("https://creighton-primo.hosted.exlibrisgroup.com/primo-explore/search?tab=default_tab&amp;search_scope=EVERYTHING&amp;vid=01CRU&amp;lang=en_US&amp;offset=0&amp;query=any,contains,991001680859702656","Catalog Record")</f>
        <v/>
      </c>
      <c r="AT537">
        <f>HYPERLINK("http://www.worldcat.org/oclc/21340429","WorldCat Record")</f>
        <v/>
      </c>
      <c r="AU537" t="inlineStr">
        <is>
          <t>487926:eng</t>
        </is>
      </c>
      <c r="AV537" t="inlineStr">
        <is>
          <t>21340429</t>
        </is>
      </c>
      <c r="AW537" t="inlineStr">
        <is>
          <t>991001680859702656</t>
        </is>
      </c>
      <c r="AX537" t="inlineStr">
        <is>
          <t>991001680859702656</t>
        </is>
      </c>
      <c r="AY537" t="inlineStr">
        <is>
          <t>2258716200002656</t>
        </is>
      </c>
      <c r="AZ537" t="inlineStr">
        <is>
          <t>BOOK</t>
        </is>
      </c>
      <c r="BB537" t="inlineStr">
        <is>
          <t>9780822960935</t>
        </is>
      </c>
      <c r="BC537" t="inlineStr">
        <is>
          <t>32285000819440</t>
        </is>
      </c>
      <c r="BD537" t="inlineStr">
        <is>
          <t>893522742</t>
        </is>
      </c>
    </row>
    <row r="538">
      <c r="A538" t="inlineStr">
        <is>
          <t>No</t>
        </is>
      </c>
      <c r="B538" t="inlineStr">
        <is>
          <t>HN800.N5 C6 1969</t>
        </is>
      </c>
      <c r="C538" t="inlineStr">
        <is>
          <t>0                      HN 0800000N  5                  C  6           1969</t>
        </is>
      </c>
      <c r="D538" t="inlineStr">
        <is>
          <t>Custom &amp; politics in urban Africa; a study of Hausa migrants in Yoruba towns.</t>
        </is>
      </c>
      <c r="F538" t="inlineStr">
        <is>
          <t>No</t>
        </is>
      </c>
      <c r="G538" t="inlineStr">
        <is>
          <t>1</t>
        </is>
      </c>
      <c r="H538" t="inlineStr">
        <is>
          <t>No</t>
        </is>
      </c>
      <c r="I538" t="inlineStr">
        <is>
          <t>No</t>
        </is>
      </c>
      <c r="J538" t="inlineStr">
        <is>
          <t>0</t>
        </is>
      </c>
      <c r="K538" t="inlineStr">
        <is>
          <t>Cohen, Abner.</t>
        </is>
      </c>
      <c r="L538" t="inlineStr">
        <is>
          <t>Berkeley, University of California Press, 1969.</t>
        </is>
      </c>
      <c r="M538" t="inlineStr">
        <is>
          <t>1969</t>
        </is>
      </c>
      <c r="O538" t="inlineStr">
        <is>
          <t>eng</t>
        </is>
      </c>
      <c r="P538" t="inlineStr">
        <is>
          <t>cau</t>
        </is>
      </c>
      <c r="R538" t="inlineStr">
        <is>
          <t xml:space="preserve">HN </t>
        </is>
      </c>
      <c r="S538" t="n">
        <v>2</v>
      </c>
      <c r="T538" t="n">
        <v>2</v>
      </c>
      <c r="U538" t="inlineStr">
        <is>
          <t>2001-02-22</t>
        </is>
      </c>
      <c r="V538" t="inlineStr">
        <is>
          <t>2001-02-22</t>
        </is>
      </c>
      <c r="W538" t="inlineStr">
        <is>
          <t>1997-08-08</t>
        </is>
      </c>
      <c r="X538" t="inlineStr">
        <is>
          <t>1997-08-08</t>
        </is>
      </c>
      <c r="Y538" t="n">
        <v>626</v>
      </c>
      <c r="Z538" t="n">
        <v>562</v>
      </c>
      <c r="AA538" t="n">
        <v>592</v>
      </c>
      <c r="AB538" t="n">
        <v>3</v>
      </c>
      <c r="AC538" t="n">
        <v>3</v>
      </c>
      <c r="AD538" t="n">
        <v>26</v>
      </c>
      <c r="AE538" t="n">
        <v>26</v>
      </c>
      <c r="AF538" t="n">
        <v>8</v>
      </c>
      <c r="AG538" t="n">
        <v>8</v>
      </c>
      <c r="AH538" t="n">
        <v>7</v>
      </c>
      <c r="AI538" t="n">
        <v>7</v>
      </c>
      <c r="AJ538" t="n">
        <v>15</v>
      </c>
      <c r="AK538" t="n">
        <v>15</v>
      </c>
      <c r="AL538" t="n">
        <v>2</v>
      </c>
      <c r="AM538" t="n">
        <v>2</v>
      </c>
      <c r="AN538" t="n">
        <v>0</v>
      </c>
      <c r="AO538" t="n">
        <v>0</v>
      </c>
      <c r="AP538" t="inlineStr">
        <is>
          <t>No</t>
        </is>
      </c>
      <c r="AQ538" t="inlineStr">
        <is>
          <t>No</t>
        </is>
      </c>
      <c r="AS538">
        <f>HYPERLINK("https://creighton-primo.hosted.exlibrisgroup.com/primo-explore/search?tab=default_tab&amp;search_scope=EVERYTHING&amp;vid=01CRU&amp;lang=en_US&amp;offset=0&amp;query=any,contains,991000002159702656","Catalog Record")</f>
        <v/>
      </c>
      <c r="AT538">
        <f>HYPERLINK("http://www.worldcat.org/oclc/10945","WorldCat Record")</f>
        <v/>
      </c>
      <c r="AU538" t="inlineStr">
        <is>
          <t>9020750161:eng</t>
        </is>
      </c>
      <c r="AV538" t="inlineStr">
        <is>
          <t>10945</t>
        </is>
      </c>
      <c r="AW538" t="inlineStr">
        <is>
          <t>991000002159702656</t>
        </is>
      </c>
      <c r="AX538" t="inlineStr">
        <is>
          <t>991000002159702656</t>
        </is>
      </c>
      <c r="AY538" t="inlineStr">
        <is>
          <t>2268134920002656</t>
        </is>
      </c>
      <c r="AZ538" t="inlineStr">
        <is>
          <t>BOOK</t>
        </is>
      </c>
      <c r="BB538" t="inlineStr">
        <is>
          <t>9780520015715</t>
        </is>
      </c>
      <c r="BC538" t="inlineStr">
        <is>
          <t>32285003087227</t>
        </is>
      </c>
      <c r="BD538" t="inlineStr">
        <is>
          <t>893230797</t>
        </is>
      </c>
    </row>
    <row r="539">
      <c r="A539" t="inlineStr">
        <is>
          <t>No</t>
        </is>
      </c>
      <c r="B539" t="inlineStr">
        <is>
          <t>HN800.R6 P6 1973</t>
        </is>
      </c>
      <c r="C539" t="inlineStr">
        <is>
          <t>0                      HN 0800000R  6                  P  6           1973</t>
        </is>
      </c>
      <c r="D539" t="inlineStr">
        <is>
          <t>Copper town: changing Africa; the human situation on the Rhodesian Copperbelt.</t>
        </is>
      </c>
      <c r="F539" t="inlineStr">
        <is>
          <t>No</t>
        </is>
      </c>
      <c r="G539" t="inlineStr">
        <is>
          <t>1</t>
        </is>
      </c>
      <c r="H539" t="inlineStr">
        <is>
          <t>No</t>
        </is>
      </c>
      <c r="I539" t="inlineStr">
        <is>
          <t>No</t>
        </is>
      </c>
      <c r="J539" t="inlineStr">
        <is>
          <t>0</t>
        </is>
      </c>
      <c r="K539" t="inlineStr">
        <is>
          <t>Powdermaker, Hortense, 1903-1970.</t>
        </is>
      </c>
      <c r="L539" t="inlineStr">
        <is>
          <t>Westport, Conn., Greenwood Press [1973, c1962]</t>
        </is>
      </c>
      <c r="M539" t="inlineStr">
        <is>
          <t>1973</t>
        </is>
      </c>
      <c r="O539" t="inlineStr">
        <is>
          <t>eng</t>
        </is>
      </c>
      <c r="P539" t="inlineStr">
        <is>
          <t>ctu</t>
        </is>
      </c>
      <c r="R539" t="inlineStr">
        <is>
          <t xml:space="preserve">HN </t>
        </is>
      </c>
      <c r="S539" t="n">
        <v>4</v>
      </c>
      <c r="T539" t="n">
        <v>4</v>
      </c>
      <c r="U539" t="inlineStr">
        <is>
          <t>1998-03-30</t>
        </is>
      </c>
      <c r="V539" t="inlineStr">
        <is>
          <t>1998-03-30</t>
        </is>
      </c>
      <c r="W539" t="inlineStr">
        <is>
          <t>1997-08-08</t>
        </is>
      </c>
      <c r="X539" t="inlineStr">
        <is>
          <t>1997-08-08</t>
        </is>
      </c>
      <c r="Y539" t="n">
        <v>85</v>
      </c>
      <c r="Z539" t="n">
        <v>70</v>
      </c>
      <c r="AA539" t="n">
        <v>71</v>
      </c>
      <c r="AB539" t="n">
        <v>1</v>
      </c>
      <c r="AC539" t="n">
        <v>1</v>
      </c>
      <c r="AD539" t="n">
        <v>2</v>
      </c>
      <c r="AE539" t="n">
        <v>2</v>
      </c>
      <c r="AF539" t="n">
        <v>1</v>
      </c>
      <c r="AG539" t="n">
        <v>1</v>
      </c>
      <c r="AH539" t="n">
        <v>2</v>
      </c>
      <c r="AI539" t="n">
        <v>2</v>
      </c>
      <c r="AJ539" t="n">
        <v>1</v>
      </c>
      <c r="AK539" t="n">
        <v>1</v>
      </c>
      <c r="AL539" t="n">
        <v>0</v>
      </c>
      <c r="AM539" t="n">
        <v>0</v>
      </c>
      <c r="AN539" t="n">
        <v>0</v>
      </c>
      <c r="AO539" t="n">
        <v>0</v>
      </c>
      <c r="AP539" t="inlineStr">
        <is>
          <t>No</t>
        </is>
      </c>
      <c r="AQ539" t="inlineStr">
        <is>
          <t>Yes</t>
        </is>
      </c>
      <c r="AR539">
        <f>HYPERLINK("http://catalog.hathitrust.org/Record/004398658","HathiTrust Record")</f>
        <v/>
      </c>
      <c r="AS539">
        <f>HYPERLINK("https://creighton-primo.hosted.exlibrisgroup.com/primo-explore/search?tab=default_tab&amp;search_scope=EVERYTHING&amp;vid=01CRU&amp;lang=en_US&amp;offset=0&amp;query=any,contains,991002896449702656","Catalog Record")</f>
        <v/>
      </c>
      <c r="AT539">
        <f>HYPERLINK("http://www.worldcat.org/oclc/514525","WorldCat Record")</f>
        <v/>
      </c>
      <c r="AU539" t="inlineStr">
        <is>
          <t>3955236555:eng</t>
        </is>
      </c>
      <c r="AV539" t="inlineStr">
        <is>
          <t>514525</t>
        </is>
      </c>
      <c r="AW539" t="inlineStr">
        <is>
          <t>991002896449702656</t>
        </is>
      </c>
      <c r="AX539" t="inlineStr">
        <is>
          <t>991002896449702656</t>
        </is>
      </c>
      <c r="AY539" t="inlineStr">
        <is>
          <t>2261917260002656</t>
        </is>
      </c>
      <c r="AZ539" t="inlineStr">
        <is>
          <t>BOOK</t>
        </is>
      </c>
      <c r="BB539" t="inlineStr">
        <is>
          <t>9780837166322</t>
        </is>
      </c>
      <c r="BC539" t="inlineStr">
        <is>
          <t>32285003087276</t>
        </is>
      </c>
      <c r="BD539" t="inlineStr">
        <is>
          <t>893329688</t>
        </is>
      </c>
    </row>
    <row r="540">
      <c r="A540" t="inlineStr">
        <is>
          <t>No</t>
        </is>
      </c>
      <c r="B540" t="inlineStr">
        <is>
          <t>HN800.S63 E26 1973</t>
        </is>
      </c>
      <c r="C540" t="inlineStr">
        <is>
          <t>0                      HN 0800000S  63                 E  26          1973</t>
        </is>
      </c>
      <c r="D540" t="inlineStr">
        <is>
          <t>The second generation; a study of the family among urbanized Bantu in East London [by] B. A. Pauw.</t>
        </is>
      </c>
      <c r="F540" t="inlineStr">
        <is>
          <t>No</t>
        </is>
      </c>
      <c r="G540" t="inlineStr">
        <is>
          <t>1</t>
        </is>
      </c>
      <c r="H540" t="inlineStr">
        <is>
          <t>No</t>
        </is>
      </c>
      <c r="I540" t="inlineStr">
        <is>
          <t>No</t>
        </is>
      </c>
      <c r="J540" t="inlineStr">
        <is>
          <t>0</t>
        </is>
      </c>
      <c r="K540" t="inlineStr">
        <is>
          <t>Pauw, B. A. (Berthold Adolf)</t>
        </is>
      </c>
      <c r="L540" t="inlineStr">
        <is>
          <t>Cape Town, New York, Published on behalf of the Institute of Social and Economic Research, Rhodes University [by] Oxford University Press [1973]</t>
        </is>
      </c>
      <c r="M540" t="inlineStr">
        <is>
          <t>1973</t>
        </is>
      </c>
      <c r="N540" t="inlineStr">
        <is>
          <t>[2d ed.]</t>
        </is>
      </c>
      <c r="O540" t="inlineStr">
        <is>
          <t>eng</t>
        </is>
      </c>
      <c r="P540" t="inlineStr">
        <is>
          <t xml:space="preserve">sa </t>
        </is>
      </c>
      <c r="Q540" t="inlineStr">
        <is>
          <t>Oxford paperbacks from South Africa</t>
        </is>
      </c>
      <c r="R540" t="inlineStr">
        <is>
          <t xml:space="preserve">HN </t>
        </is>
      </c>
      <c r="S540" t="n">
        <v>2</v>
      </c>
      <c r="T540" t="n">
        <v>2</v>
      </c>
      <c r="U540" t="inlineStr">
        <is>
          <t>1998-03-30</t>
        </is>
      </c>
      <c r="V540" t="inlineStr">
        <is>
          <t>1998-03-30</t>
        </is>
      </c>
      <c r="W540" t="inlineStr">
        <is>
          <t>1997-08-08</t>
        </is>
      </c>
      <c r="X540" t="inlineStr">
        <is>
          <t>1997-08-08</t>
        </is>
      </c>
      <c r="Y540" t="n">
        <v>264</v>
      </c>
      <c r="Z540" t="n">
        <v>149</v>
      </c>
      <c r="AA540" t="n">
        <v>291</v>
      </c>
      <c r="AB540" t="n">
        <v>3</v>
      </c>
      <c r="AC540" t="n">
        <v>3</v>
      </c>
      <c r="AD540" t="n">
        <v>6</v>
      </c>
      <c r="AE540" t="n">
        <v>12</v>
      </c>
      <c r="AF540" t="n">
        <v>1</v>
      </c>
      <c r="AG540" t="n">
        <v>2</v>
      </c>
      <c r="AH540" t="n">
        <v>1</v>
      </c>
      <c r="AI540" t="n">
        <v>3</v>
      </c>
      <c r="AJ540" t="n">
        <v>2</v>
      </c>
      <c r="AK540" t="n">
        <v>8</v>
      </c>
      <c r="AL540" t="n">
        <v>2</v>
      </c>
      <c r="AM540" t="n">
        <v>2</v>
      </c>
      <c r="AN540" t="n">
        <v>0</v>
      </c>
      <c r="AO540" t="n">
        <v>0</v>
      </c>
      <c r="AP540" t="inlineStr">
        <is>
          <t>No</t>
        </is>
      </c>
      <c r="AQ540" t="inlineStr">
        <is>
          <t>Yes</t>
        </is>
      </c>
      <c r="AR540">
        <f>HYPERLINK("http://catalog.hathitrust.org/Record/000011405","HathiTrust Record")</f>
        <v/>
      </c>
      <c r="AS540">
        <f>HYPERLINK("https://creighton-primo.hosted.exlibrisgroup.com/primo-explore/search?tab=default_tab&amp;search_scope=EVERYTHING&amp;vid=01CRU&amp;lang=en_US&amp;offset=0&amp;query=any,contains,991003248919702656","Catalog Record")</f>
        <v/>
      </c>
      <c r="AT540">
        <f>HYPERLINK("http://www.worldcat.org/oclc/773613","WorldCat Record")</f>
        <v/>
      </c>
      <c r="AU540" t="inlineStr">
        <is>
          <t>1470432:eng</t>
        </is>
      </c>
      <c r="AV540" t="inlineStr">
        <is>
          <t>773613</t>
        </is>
      </c>
      <c r="AW540" t="inlineStr">
        <is>
          <t>991003248919702656</t>
        </is>
      </c>
      <c r="AX540" t="inlineStr">
        <is>
          <t>991003248919702656</t>
        </is>
      </c>
      <c r="AY540" t="inlineStr">
        <is>
          <t>2265796050002656</t>
        </is>
      </c>
      <c r="AZ540" t="inlineStr">
        <is>
          <t>BOOK</t>
        </is>
      </c>
      <c r="BB540" t="inlineStr">
        <is>
          <t>9780195700282</t>
        </is>
      </c>
      <c r="BC540" t="inlineStr">
        <is>
          <t>32285003087284</t>
        </is>
      </c>
      <c r="BD540" t="inlineStr">
        <is>
          <t>893422347</t>
        </is>
      </c>
    </row>
    <row r="541">
      <c r="A541" t="inlineStr">
        <is>
          <t>No</t>
        </is>
      </c>
      <c r="B541" t="inlineStr">
        <is>
          <t>HN800.U354 S615</t>
        </is>
      </c>
      <c r="C541" t="inlineStr">
        <is>
          <t>0                      HN 0800000U  354                S  615</t>
        </is>
      </c>
      <c r="D541" t="inlineStr">
        <is>
          <t>Politics and class formation in Uganda / by Mahmood Mamdani.</t>
        </is>
      </c>
      <c r="F541" t="inlineStr">
        <is>
          <t>No</t>
        </is>
      </c>
      <c r="G541" t="inlineStr">
        <is>
          <t>1</t>
        </is>
      </c>
      <c r="H541" t="inlineStr">
        <is>
          <t>No</t>
        </is>
      </c>
      <c r="I541" t="inlineStr">
        <is>
          <t>No</t>
        </is>
      </c>
      <c r="J541" t="inlineStr">
        <is>
          <t>0</t>
        </is>
      </c>
      <c r="K541" t="inlineStr">
        <is>
          <t>Mamdani, Mahmood, 1946-</t>
        </is>
      </c>
      <c r="L541" t="inlineStr">
        <is>
          <t>New York : Monthly Review Press, c1976.</t>
        </is>
      </c>
      <c r="M541" t="inlineStr">
        <is>
          <t>1976</t>
        </is>
      </c>
      <c r="O541" t="inlineStr">
        <is>
          <t>eng</t>
        </is>
      </c>
      <c r="P541" t="inlineStr">
        <is>
          <t>nyu</t>
        </is>
      </c>
      <c r="R541" t="inlineStr">
        <is>
          <t xml:space="preserve">HN </t>
        </is>
      </c>
      <c r="S541" t="n">
        <v>20</v>
      </c>
      <c r="T541" t="n">
        <v>20</v>
      </c>
      <c r="U541" t="inlineStr">
        <is>
          <t>2008-04-07</t>
        </is>
      </c>
      <c r="V541" t="inlineStr">
        <is>
          <t>2008-04-07</t>
        </is>
      </c>
      <c r="W541" t="inlineStr">
        <is>
          <t>1992-04-07</t>
        </is>
      </c>
      <c r="X541" t="inlineStr">
        <is>
          <t>1992-04-07</t>
        </is>
      </c>
      <c r="Y541" t="n">
        <v>521</v>
      </c>
      <c r="Z541" t="n">
        <v>429</v>
      </c>
      <c r="AA541" t="n">
        <v>441</v>
      </c>
      <c r="AB541" t="n">
        <v>5</v>
      </c>
      <c r="AC541" t="n">
        <v>5</v>
      </c>
      <c r="AD541" t="n">
        <v>23</v>
      </c>
      <c r="AE541" t="n">
        <v>23</v>
      </c>
      <c r="AF541" t="n">
        <v>7</v>
      </c>
      <c r="AG541" t="n">
        <v>7</v>
      </c>
      <c r="AH541" t="n">
        <v>5</v>
      </c>
      <c r="AI541" t="n">
        <v>5</v>
      </c>
      <c r="AJ541" t="n">
        <v>10</v>
      </c>
      <c r="AK541" t="n">
        <v>10</v>
      </c>
      <c r="AL541" t="n">
        <v>4</v>
      </c>
      <c r="AM541" t="n">
        <v>4</v>
      </c>
      <c r="AN541" t="n">
        <v>0</v>
      </c>
      <c r="AO541" t="n">
        <v>0</v>
      </c>
      <c r="AP541" t="inlineStr">
        <is>
          <t>No</t>
        </is>
      </c>
      <c r="AQ541" t="inlineStr">
        <is>
          <t>Yes</t>
        </is>
      </c>
      <c r="AR541">
        <f>HYPERLINK("http://catalog.hathitrust.org/Record/000701797","HathiTrust Record")</f>
        <v/>
      </c>
      <c r="AS541">
        <f>HYPERLINK("https://creighton-primo.hosted.exlibrisgroup.com/primo-explore/search?tab=default_tab&amp;search_scope=EVERYTHING&amp;vid=01CRU&amp;lang=en_US&amp;offset=0&amp;query=any,contains,991004001249702656","Catalog Record")</f>
        <v/>
      </c>
      <c r="AT541">
        <f>HYPERLINK("http://www.worldcat.org/oclc/2073894","WorldCat Record")</f>
        <v/>
      </c>
      <c r="AU541" t="inlineStr">
        <is>
          <t>3981161:eng</t>
        </is>
      </c>
      <c r="AV541" t="inlineStr">
        <is>
          <t>2073894</t>
        </is>
      </c>
      <c r="AW541" t="inlineStr">
        <is>
          <t>991004001249702656</t>
        </is>
      </c>
      <c r="AX541" t="inlineStr">
        <is>
          <t>991004001249702656</t>
        </is>
      </c>
      <c r="AY541" t="inlineStr">
        <is>
          <t>2255356570002656</t>
        </is>
      </c>
      <c r="AZ541" t="inlineStr">
        <is>
          <t>BOOK</t>
        </is>
      </c>
      <c r="BB541" t="inlineStr">
        <is>
          <t>9780853453789</t>
        </is>
      </c>
      <c r="BC541" t="inlineStr">
        <is>
          <t>32285001055325</t>
        </is>
      </c>
      <c r="BD541" t="inlineStr">
        <is>
          <t>893318682</t>
        </is>
      </c>
    </row>
    <row r="542">
      <c r="A542" t="inlineStr">
        <is>
          <t>No</t>
        </is>
      </c>
      <c r="B542" t="inlineStr">
        <is>
          <t>HN803.A8 B37 1976</t>
        </is>
      </c>
      <c r="C542" t="inlineStr">
        <is>
          <t>0                      HN 0803000A  8                  B  37          1976</t>
        </is>
      </c>
      <c r="D542" t="inlineStr">
        <is>
          <t>Rural responses to industrialization : a study of village Zambia / Robert H. Bates.</t>
        </is>
      </c>
      <c r="F542" t="inlineStr">
        <is>
          <t>No</t>
        </is>
      </c>
      <c r="G542" t="inlineStr">
        <is>
          <t>1</t>
        </is>
      </c>
      <c r="H542" t="inlineStr">
        <is>
          <t>No</t>
        </is>
      </c>
      <c r="I542" t="inlineStr">
        <is>
          <t>No</t>
        </is>
      </c>
      <c r="J542" t="inlineStr">
        <is>
          <t>0</t>
        </is>
      </c>
      <c r="K542" t="inlineStr">
        <is>
          <t>Bates, Robert H.</t>
        </is>
      </c>
      <c r="L542" t="inlineStr">
        <is>
          <t>New Haven : Yale University Press, 1976.</t>
        </is>
      </c>
      <c r="M542" t="inlineStr">
        <is>
          <t>1976</t>
        </is>
      </c>
      <c r="O542" t="inlineStr">
        <is>
          <t>eng</t>
        </is>
      </c>
      <c r="P542" t="inlineStr">
        <is>
          <t>ctu</t>
        </is>
      </c>
      <c r="R542" t="inlineStr">
        <is>
          <t xml:space="preserve">HN </t>
        </is>
      </c>
      <c r="S542" t="n">
        <v>2</v>
      </c>
      <c r="T542" t="n">
        <v>2</v>
      </c>
      <c r="U542" t="inlineStr">
        <is>
          <t>2003-09-25</t>
        </is>
      </c>
      <c r="V542" t="inlineStr">
        <is>
          <t>2003-09-25</t>
        </is>
      </c>
      <c r="W542" t="inlineStr">
        <is>
          <t>1990-07-24</t>
        </is>
      </c>
      <c r="X542" t="inlineStr">
        <is>
          <t>1990-07-24</t>
        </is>
      </c>
      <c r="Y542" t="n">
        <v>386</v>
      </c>
      <c r="Z542" t="n">
        <v>274</v>
      </c>
      <c r="AA542" t="n">
        <v>275</v>
      </c>
      <c r="AB542" t="n">
        <v>2</v>
      </c>
      <c r="AC542" t="n">
        <v>2</v>
      </c>
      <c r="AD542" t="n">
        <v>10</v>
      </c>
      <c r="AE542" t="n">
        <v>10</v>
      </c>
      <c r="AF542" t="n">
        <v>3</v>
      </c>
      <c r="AG542" t="n">
        <v>3</v>
      </c>
      <c r="AH542" t="n">
        <v>3</v>
      </c>
      <c r="AI542" t="n">
        <v>3</v>
      </c>
      <c r="AJ542" t="n">
        <v>6</v>
      </c>
      <c r="AK542" t="n">
        <v>6</v>
      </c>
      <c r="AL542" t="n">
        <v>1</v>
      </c>
      <c r="AM542" t="n">
        <v>1</v>
      </c>
      <c r="AN542" t="n">
        <v>0</v>
      </c>
      <c r="AO542" t="n">
        <v>0</v>
      </c>
      <c r="AP542" t="inlineStr">
        <is>
          <t>No</t>
        </is>
      </c>
      <c r="AQ542" t="inlineStr">
        <is>
          <t>No</t>
        </is>
      </c>
      <c r="AS542">
        <f>HYPERLINK("https://creighton-primo.hosted.exlibrisgroup.com/primo-explore/search?tab=default_tab&amp;search_scope=EVERYTHING&amp;vid=01CRU&amp;lang=en_US&amp;offset=0&amp;query=any,contains,991004183319702656","Catalog Record")</f>
        <v/>
      </c>
      <c r="AT542">
        <f>HYPERLINK("http://www.worldcat.org/oclc/2611182","WorldCat Record")</f>
        <v/>
      </c>
      <c r="AU542" t="inlineStr">
        <is>
          <t>827461395:eng</t>
        </is>
      </c>
      <c r="AV542" t="inlineStr">
        <is>
          <t>2611182</t>
        </is>
      </c>
      <c r="AW542" t="inlineStr">
        <is>
          <t>991004183319702656</t>
        </is>
      </c>
      <c r="AX542" t="inlineStr">
        <is>
          <t>991004183319702656</t>
        </is>
      </c>
      <c r="AY542" t="inlineStr">
        <is>
          <t>2270922010002656</t>
        </is>
      </c>
      <c r="AZ542" t="inlineStr">
        <is>
          <t>BOOK</t>
        </is>
      </c>
      <c r="BB542" t="inlineStr">
        <is>
          <t>9780300019209</t>
        </is>
      </c>
      <c r="BC542" t="inlineStr">
        <is>
          <t>32285000247725</t>
        </is>
      </c>
      <c r="BD542" t="inlineStr">
        <is>
          <t>893337408</t>
        </is>
      </c>
    </row>
    <row r="543">
      <c r="A543" t="inlineStr">
        <is>
          <t>No</t>
        </is>
      </c>
      <c r="B543" t="inlineStr">
        <is>
          <t>HN820.Z9 C64 1986</t>
        </is>
      </c>
      <c r="C543" t="inlineStr">
        <is>
          <t>0                      HN 0820000Z  9                  C  64          1986</t>
        </is>
      </c>
      <c r="D543" t="inlineStr">
        <is>
          <t>Development economics on trial : the anthropological case for a prosecution / Polly Hill.</t>
        </is>
      </c>
      <c r="F543" t="inlineStr">
        <is>
          <t>No</t>
        </is>
      </c>
      <c r="G543" t="inlineStr">
        <is>
          <t>1</t>
        </is>
      </c>
      <c r="H543" t="inlineStr">
        <is>
          <t>No</t>
        </is>
      </c>
      <c r="I543" t="inlineStr">
        <is>
          <t>No</t>
        </is>
      </c>
      <c r="J543" t="inlineStr">
        <is>
          <t>0</t>
        </is>
      </c>
      <c r="K543" t="inlineStr">
        <is>
          <t>Hill, Polly, 1914-2005.</t>
        </is>
      </c>
      <c r="L543" t="inlineStr">
        <is>
          <t>Cambridge [Cambridgeshire] ; New York : Cambridge University Press, 1986.</t>
        </is>
      </c>
      <c r="M543" t="inlineStr">
        <is>
          <t>1986</t>
        </is>
      </c>
      <c r="O543" t="inlineStr">
        <is>
          <t>eng</t>
        </is>
      </c>
      <c r="P543" t="inlineStr">
        <is>
          <t>enk</t>
        </is>
      </c>
      <c r="R543" t="inlineStr">
        <is>
          <t xml:space="preserve">HN </t>
        </is>
      </c>
      <c r="S543" t="n">
        <v>2</v>
      </c>
      <c r="T543" t="n">
        <v>2</v>
      </c>
      <c r="U543" t="inlineStr">
        <is>
          <t>1992-09-24</t>
        </is>
      </c>
      <c r="V543" t="inlineStr">
        <is>
          <t>1992-09-24</t>
        </is>
      </c>
      <c r="W543" t="inlineStr">
        <is>
          <t>1992-03-09</t>
        </is>
      </c>
      <c r="X543" t="inlineStr">
        <is>
          <t>1992-03-09</t>
        </is>
      </c>
      <c r="Y543" t="n">
        <v>529</v>
      </c>
      <c r="Z543" t="n">
        <v>366</v>
      </c>
      <c r="AA543" t="n">
        <v>376</v>
      </c>
      <c r="AB543" t="n">
        <v>3</v>
      </c>
      <c r="AC543" t="n">
        <v>3</v>
      </c>
      <c r="AD543" t="n">
        <v>11</v>
      </c>
      <c r="AE543" t="n">
        <v>11</v>
      </c>
      <c r="AF543" t="n">
        <v>2</v>
      </c>
      <c r="AG543" t="n">
        <v>2</v>
      </c>
      <c r="AH543" t="n">
        <v>2</v>
      </c>
      <c r="AI543" t="n">
        <v>2</v>
      </c>
      <c r="AJ543" t="n">
        <v>8</v>
      </c>
      <c r="AK543" t="n">
        <v>8</v>
      </c>
      <c r="AL543" t="n">
        <v>2</v>
      </c>
      <c r="AM543" t="n">
        <v>2</v>
      </c>
      <c r="AN543" t="n">
        <v>0</v>
      </c>
      <c r="AO543" t="n">
        <v>0</v>
      </c>
      <c r="AP543" t="inlineStr">
        <is>
          <t>No</t>
        </is>
      </c>
      <c r="AQ543" t="inlineStr">
        <is>
          <t>No</t>
        </is>
      </c>
      <c r="AS543">
        <f>HYPERLINK("https://creighton-primo.hosted.exlibrisgroup.com/primo-explore/search?tab=default_tab&amp;search_scope=EVERYTHING&amp;vid=01CRU&amp;lang=en_US&amp;offset=0&amp;query=any,contains,991000792259702656","Catalog Record")</f>
        <v/>
      </c>
      <c r="AT543">
        <f>HYPERLINK("http://www.worldcat.org/oclc/13159238","WorldCat Record")</f>
        <v/>
      </c>
      <c r="AU543" t="inlineStr">
        <is>
          <t>53318448:eng</t>
        </is>
      </c>
      <c r="AV543" t="inlineStr">
        <is>
          <t>13159238</t>
        </is>
      </c>
      <c r="AW543" t="inlineStr">
        <is>
          <t>991000792259702656</t>
        </is>
      </c>
      <c r="AX543" t="inlineStr">
        <is>
          <t>991000792259702656</t>
        </is>
      </c>
      <c r="AY543" t="inlineStr">
        <is>
          <t>2267889320002656</t>
        </is>
      </c>
      <c r="AZ543" t="inlineStr">
        <is>
          <t>BOOK</t>
        </is>
      </c>
      <c r="BB543" t="inlineStr">
        <is>
          <t>9780521310963</t>
        </is>
      </c>
      <c r="BC543" t="inlineStr">
        <is>
          <t>32285000992965</t>
        </is>
      </c>
      <c r="BD543" t="inlineStr">
        <is>
          <t>893702438</t>
        </is>
      </c>
    </row>
    <row r="544">
      <c r="A544" t="inlineStr">
        <is>
          <t>No</t>
        </is>
      </c>
      <c r="B544" t="inlineStr">
        <is>
          <t>HN843.5 .C68 1988</t>
        </is>
      </c>
      <c r="C544" t="inlineStr">
        <is>
          <t>0                      HN 0843500C  68          1988</t>
        </is>
      </c>
      <c r="D544" t="inlineStr">
        <is>
          <t>Black, white or brindle : race in rural Australia / Gillian Cowlishaw.</t>
        </is>
      </c>
      <c r="F544" t="inlineStr">
        <is>
          <t>No</t>
        </is>
      </c>
      <c r="G544" t="inlineStr">
        <is>
          <t>1</t>
        </is>
      </c>
      <c r="H544" t="inlineStr">
        <is>
          <t>No</t>
        </is>
      </c>
      <c r="I544" t="inlineStr">
        <is>
          <t>No</t>
        </is>
      </c>
      <c r="J544" t="inlineStr">
        <is>
          <t>0</t>
        </is>
      </c>
      <c r="K544" t="inlineStr">
        <is>
          <t>Cowlishaw, Gillian.</t>
        </is>
      </c>
      <c r="L544" t="inlineStr">
        <is>
          <t>Cambridge [Cambridgeshire] ; New York, NY, USA : Cambridge University Press, c1988.</t>
        </is>
      </c>
      <c r="M544" t="inlineStr">
        <is>
          <t>1988</t>
        </is>
      </c>
      <c r="O544" t="inlineStr">
        <is>
          <t>eng</t>
        </is>
      </c>
      <c r="P544" t="inlineStr">
        <is>
          <t>enk</t>
        </is>
      </c>
      <c r="R544" t="inlineStr">
        <is>
          <t xml:space="preserve">HN </t>
        </is>
      </c>
      <c r="S544" t="n">
        <v>1</v>
      </c>
      <c r="T544" t="n">
        <v>1</v>
      </c>
      <c r="U544" t="inlineStr">
        <is>
          <t>2001-03-29</t>
        </is>
      </c>
      <c r="V544" t="inlineStr">
        <is>
          <t>2001-03-29</t>
        </is>
      </c>
      <c r="W544" t="inlineStr">
        <is>
          <t>1990-07-24</t>
        </is>
      </c>
      <c r="X544" t="inlineStr">
        <is>
          <t>1990-07-24</t>
        </is>
      </c>
      <c r="Y544" t="n">
        <v>377</v>
      </c>
      <c r="Z544" t="n">
        <v>290</v>
      </c>
      <c r="AA544" t="n">
        <v>292</v>
      </c>
      <c r="AB544" t="n">
        <v>3</v>
      </c>
      <c r="AC544" t="n">
        <v>3</v>
      </c>
      <c r="AD544" t="n">
        <v>16</v>
      </c>
      <c r="AE544" t="n">
        <v>16</v>
      </c>
      <c r="AF544" t="n">
        <v>4</v>
      </c>
      <c r="AG544" t="n">
        <v>4</v>
      </c>
      <c r="AH544" t="n">
        <v>6</v>
      </c>
      <c r="AI544" t="n">
        <v>6</v>
      </c>
      <c r="AJ544" t="n">
        <v>7</v>
      </c>
      <c r="AK544" t="n">
        <v>7</v>
      </c>
      <c r="AL544" t="n">
        <v>2</v>
      </c>
      <c r="AM544" t="n">
        <v>2</v>
      </c>
      <c r="AN544" t="n">
        <v>0</v>
      </c>
      <c r="AO544" t="n">
        <v>0</v>
      </c>
      <c r="AP544" t="inlineStr">
        <is>
          <t>No</t>
        </is>
      </c>
      <c r="AQ544" t="inlineStr">
        <is>
          <t>Yes</t>
        </is>
      </c>
      <c r="AR544">
        <f>HYPERLINK("http://catalog.hathitrust.org/Record/001087174","HathiTrust Record")</f>
        <v/>
      </c>
      <c r="AS544">
        <f>HYPERLINK("https://creighton-primo.hosted.exlibrisgroup.com/primo-explore/search?tab=default_tab&amp;search_scope=EVERYTHING&amp;vid=01CRU&amp;lang=en_US&amp;offset=0&amp;query=any,contains,991001280039702656","Catalog Record")</f>
        <v/>
      </c>
      <c r="AT544">
        <f>HYPERLINK("http://www.worldcat.org/oclc/17916623","WorldCat Record")</f>
        <v/>
      </c>
      <c r="AU544" t="inlineStr">
        <is>
          <t>793878459:eng</t>
        </is>
      </c>
      <c r="AV544" t="inlineStr">
        <is>
          <t>17916623</t>
        </is>
      </c>
      <c r="AW544" t="inlineStr">
        <is>
          <t>991001280039702656</t>
        </is>
      </c>
      <c r="AX544" t="inlineStr">
        <is>
          <t>991001280039702656</t>
        </is>
      </c>
      <c r="AY544" t="inlineStr">
        <is>
          <t>2270531900002656</t>
        </is>
      </c>
      <c r="AZ544" t="inlineStr">
        <is>
          <t>BOOK</t>
        </is>
      </c>
      <c r="BB544" t="inlineStr">
        <is>
          <t>9780521346603</t>
        </is>
      </c>
      <c r="BC544" t="inlineStr">
        <is>
          <t>32285000247733</t>
        </is>
      </c>
      <c r="BD544" t="inlineStr">
        <is>
          <t>893596373</t>
        </is>
      </c>
    </row>
    <row r="545">
      <c r="A545" t="inlineStr">
        <is>
          <t>No</t>
        </is>
      </c>
      <c r="B545" t="inlineStr">
        <is>
          <t>HN85.A3 A85 2010</t>
        </is>
      </c>
      <c r="C545" t="inlineStr">
        <is>
          <t>0                      HN 0085000A  3                  A  85          2010</t>
        </is>
      </c>
      <c r="D545" t="inlineStr">
        <is>
          <t>Seeds of change : the story of ACORN, America's most controversial antipoverty community organizing group / John Atlas.</t>
        </is>
      </c>
      <c r="F545" t="inlineStr">
        <is>
          <t>No</t>
        </is>
      </c>
      <c r="G545" t="inlineStr">
        <is>
          <t>1</t>
        </is>
      </c>
      <c r="H545" t="inlineStr">
        <is>
          <t>No</t>
        </is>
      </c>
      <c r="I545" t="inlineStr">
        <is>
          <t>No</t>
        </is>
      </c>
      <c r="J545" t="inlineStr">
        <is>
          <t>0</t>
        </is>
      </c>
      <c r="K545" t="inlineStr">
        <is>
          <t>Atlas, John.</t>
        </is>
      </c>
      <c r="L545" t="inlineStr">
        <is>
          <t>Nashville, Tenn. : Vanderbilt University Press, c2010.</t>
        </is>
      </c>
      <c r="M545" t="inlineStr">
        <is>
          <t>2010</t>
        </is>
      </c>
      <c r="N545" t="inlineStr">
        <is>
          <t>1st ed.</t>
        </is>
      </c>
      <c r="O545" t="inlineStr">
        <is>
          <t>eng</t>
        </is>
      </c>
      <c r="P545" t="inlineStr">
        <is>
          <t>tnu</t>
        </is>
      </c>
      <c r="R545" t="inlineStr">
        <is>
          <t xml:space="preserve">HN </t>
        </is>
      </c>
      <c r="S545" t="n">
        <v>1</v>
      </c>
      <c r="T545" t="n">
        <v>1</v>
      </c>
      <c r="U545" t="inlineStr">
        <is>
          <t>2010-12-07</t>
        </is>
      </c>
      <c r="V545" t="inlineStr">
        <is>
          <t>2010-12-07</t>
        </is>
      </c>
      <c r="W545" t="inlineStr">
        <is>
          <t>2010-12-07</t>
        </is>
      </c>
      <c r="X545" t="inlineStr">
        <is>
          <t>2010-12-07</t>
        </is>
      </c>
      <c r="Y545" t="n">
        <v>311</v>
      </c>
      <c r="Z545" t="n">
        <v>283</v>
      </c>
      <c r="AA545" t="n">
        <v>838</v>
      </c>
      <c r="AB545" t="n">
        <v>2</v>
      </c>
      <c r="AC545" t="n">
        <v>17</v>
      </c>
      <c r="AD545" t="n">
        <v>14</v>
      </c>
      <c r="AE545" t="n">
        <v>35</v>
      </c>
      <c r="AF545" t="n">
        <v>4</v>
      </c>
      <c r="AG545" t="n">
        <v>12</v>
      </c>
      <c r="AH545" t="n">
        <v>4</v>
      </c>
      <c r="AI545" t="n">
        <v>6</v>
      </c>
      <c r="AJ545" t="n">
        <v>6</v>
      </c>
      <c r="AK545" t="n">
        <v>10</v>
      </c>
      <c r="AL545" t="n">
        <v>1</v>
      </c>
      <c r="AM545" t="n">
        <v>12</v>
      </c>
      <c r="AN545" t="n">
        <v>1</v>
      </c>
      <c r="AO545" t="n">
        <v>1</v>
      </c>
      <c r="AP545" t="inlineStr">
        <is>
          <t>No</t>
        </is>
      </c>
      <c r="AQ545" t="inlineStr">
        <is>
          <t>No</t>
        </is>
      </c>
      <c r="AS545">
        <f>HYPERLINK("https://creighton-primo.hosted.exlibrisgroup.com/primo-explore/search?tab=default_tab&amp;search_scope=EVERYTHING&amp;vid=01CRU&amp;lang=en_US&amp;offset=0&amp;query=any,contains,991000375279702656","Catalog Record")</f>
        <v/>
      </c>
      <c r="AT545">
        <f>HYPERLINK("http://www.worldcat.org/oclc/430056251","WorldCat Record")</f>
        <v/>
      </c>
      <c r="AU545" t="inlineStr">
        <is>
          <t>317126641:eng</t>
        </is>
      </c>
      <c r="AV545" t="inlineStr">
        <is>
          <t>430056251</t>
        </is>
      </c>
      <c r="AW545" t="inlineStr">
        <is>
          <t>991000375279702656</t>
        </is>
      </c>
      <c r="AX545" t="inlineStr">
        <is>
          <t>991000375279702656</t>
        </is>
      </c>
      <c r="AY545" t="inlineStr">
        <is>
          <t>2255581520002656</t>
        </is>
      </c>
      <c r="AZ545" t="inlineStr">
        <is>
          <t>BOOK</t>
        </is>
      </c>
      <c r="BB545" t="inlineStr">
        <is>
          <t>9780826517050</t>
        </is>
      </c>
      <c r="BC545" t="inlineStr">
        <is>
          <t>32285005609242</t>
        </is>
      </c>
      <c r="BD545" t="inlineStr">
        <is>
          <t>893314859</t>
        </is>
      </c>
    </row>
    <row r="546">
      <c r="A546" t="inlineStr">
        <is>
          <t>No</t>
        </is>
      </c>
      <c r="B546" t="inlineStr">
        <is>
          <t>HN90.C6 A69 1986</t>
        </is>
      </c>
      <c r="C546" t="inlineStr">
        <is>
          <t>0                      HN 0090000C  6                  A  69          1986</t>
        </is>
      </c>
      <c r="D546" t="inlineStr">
        <is>
          <t>American community organizations : a historical dictionary / edited by Patricia Mooney Melvin.</t>
        </is>
      </c>
      <c r="F546" t="inlineStr">
        <is>
          <t>No</t>
        </is>
      </c>
      <c r="G546" t="inlineStr">
        <is>
          <t>1</t>
        </is>
      </c>
      <c r="H546" t="inlineStr">
        <is>
          <t>No</t>
        </is>
      </c>
      <c r="I546" t="inlineStr">
        <is>
          <t>No</t>
        </is>
      </c>
      <c r="J546" t="inlineStr">
        <is>
          <t>0</t>
        </is>
      </c>
      <c r="L546" t="inlineStr">
        <is>
          <t>New York : Greenwood Press, 1986.</t>
        </is>
      </c>
      <c r="M546" t="inlineStr">
        <is>
          <t>1986</t>
        </is>
      </c>
      <c r="O546" t="inlineStr">
        <is>
          <t>eng</t>
        </is>
      </c>
      <c r="P546" t="inlineStr">
        <is>
          <t>nyu</t>
        </is>
      </c>
      <c r="R546" t="inlineStr">
        <is>
          <t xml:space="preserve">HN </t>
        </is>
      </c>
      <c r="S546" t="n">
        <v>7</v>
      </c>
      <c r="T546" t="n">
        <v>7</v>
      </c>
      <c r="U546" t="inlineStr">
        <is>
          <t>1998-09-15</t>
        </is>
      </c>
      <c r="V546" t="inlineStr">
        <is>
          <t>1998-09-15</t>
        </is>
      </c>
      <c r="W546" t="inlineStr">
        <is>
          <t>1992-09-29</t>
        </is>
      </c>
      <c r="X546" t="inlineStr">
        <is>
          <t>1992-09-29</t>
        </is>
      </c>
      <c r="Y546" t="n">
        <v>391</v>
      </c>
      <c r="Z546" t="n">
        <v>356</v>
      </c>
      <c r="AA546" t="n">
        <v>363</v>
      </c>
      <c r="AB546" t="n">
        <v>5</v>
      </c>
      <c r="AC546" t="n">
        <v>5</v>
      </c>
      <c r="AD546" t="n">
        <v>16</v>
      </c>
      <c r="AE546" t="n">
        <v>16</v>
      </c>
      <c r="AF546" t="n">
        <v>2</v>
      </c>
      <c r="AG546" t="n">
        <v>2</v>
      </c>
      <c r="AH546" t="n">
        <v>4</v>
      </c>
      <c r="AI546" t="n">
        <v>4</v>
      </c>
      <c r="AJ546" t="n">
        <v>10</v>
      </c>
      <c r="AK546" t="n">
        <v>10</v>
      </c>
      <c r="AL546" t="n">
        <v>3</v>
      </c>
      <c r="AM546" t="n">
        <v>3</v>
      </c>
      <c r="AN546" t="n">
        <v>0</v>
      </c>
      <c r="AO546" t="n">
        <v>0</v>
      </c>
      <c r="AP546" t="inlineStr">
        <is>
          <t>No</t>
        </is>
      </c>
      <c r="AQ546" t="inlineStr">
        <is>
          <t>Yes</t>
        </is>
      </c>
      <c r="AR546">
        <f>HYPERLINK("http://catalog.hathitrust.org/Record/000592716","HathiTrust Record")</f>
        <v/>
      </c>
      <c r="AS546">
        <f>HYPERLINK("https://creighton-primo.hosted.exlibrisgroup.com/primo-explore/search?tab=default_tab&amp;search_scope=EVERYTHING&amp;vid=01CRU&amp;lang=en_US&amp;offset=0&amp;query=any,contains,991000839469702656","Catalog Record")</f>
        <v/>
      </c>
      <c r="AT546">
        <f>HYPERLINK("http://www.worldcat.org/oclc/13524852","WorldCat Record")</f>
        <v/>
      </c>
      <c r="AU546" t="inlineStr">
        <is>
          <t>836638530:eng</t>
        </is>
      </c>
      <c r="AV546" t="inlineStr">
        <is>
          <t>13524852</t>
        </is>
      </c>
      <c r="AW546" t="inlineStr">
        <is>
          <t>991000839469702656</t>
        </is>
      </c>
      <c r="AX546" t="inlineStr">
        <is>
          <t>991000839469702656</t>
        </is>
      </c>
      <c r="AY546" t="inlineStr">
        <is>
          <t>2264230060002656</t>
        </is>
      </c>
      <c r="AZ546" t="inlineStr">
        <is>
          <t>BOOK</t>
        </is>
      </c>
      <c r="BB546" t="inlineStr">
        <is>
          <t>9780313240539</t>
        </is>
      </c>
      <c r="BC546" t="inlineStr">
        <is>
          <t>32285001355725</t>
        </is>
      </c>
      <c r="BD546" t="inlineStr">
        <is>
          <t>893778290</t>
        </is>
      </c>
    </row>
    <row r="547">
      <c r="A547" t="inlineStr">
        <is>
          <t>No</t>
        </is>
      </c>
      <c r="B547" t="inlineStr">
        <is>
          <t>HN90.C6 B49 1989</t>
        </is>
      </c>
      <c r="C547" t="inlineStr">
        <is>
          <t>0                      HN 0090000C  6                  B  49          1989</t>
        </is>
      </c>
      <c r="D547" t="inlineStr">
        <is>
          <t>The Better community catalog : a sourcebook of ideas, people, and strategies for improving the place where you live / [by the editors and members of] Partners for Livable Places.</t>
        </is>
      </c>
      <c r="F547" t="inlineStr">
        <is>
          <t>No</t>
        </is>
      </c>
      <c r="G547" t="inlineStr">
        <is>
          <t>1</t>
        </is>
      </c>
      <c r="H547" t="inlineStr">
        <is>
          <t>No</t>
        </is>
      </c>
      <c r="I547" t="inlineStr">
        <is>
          <t>No</t>
        </is>
      </c>
      <c r="J547" t="inlineStr">
        <is>
          <t>0</t>
        </is>
      </c>
      <c r="L547" t="inlineStr">
        <is>
          <t>Washington, D.C. : Published by Acropolis Books, 1989.</t>
        </is>
      </c>
      <c r="M547" t="inlineStr">
        <is>
          <t>1989</t>
        </is>
      </c>
      <c r="O547" t="inlineStr">
        <is>
          <t>eng</t>
        </is>
      </c>
      <c r="P547" t="inlineStr">
        <is>
          <t>dcu</t>
        </is>
      </c>
      <c r="R547" t="inlineStr">
        <is>
          <t xml:space="preserve">HN </t>
        </is>
      </c>
      <c r="S547" t="n">
        <v>1</v>
      </c>
      <c r="T547" t="n">
        <v>1</v>
      </c>
      <c r="U547" t="inlineStr">
        <is>
          <t>1994-10-04</t>
        </is>
      </c>
      <c r="V547" t="inlineStr">
        <is>
          <t>1994-10-04</t>
        </is>
      </c>
      <c r="W547" t="inlineStr">
        <is>
          <t>1991-11-16</t>
        </is>
      </c>
      <c r="X547" t="inlineStr">
        <is>
          <t>1991-11-16</t>
        </is>
      </c>
      <c r="Y547" t="n">
        <v>116</v>
      </c>
      <c r="Z547" t="n">
        <v>104</v>
      </c>
      <c r="AA547" t="n">
        <v>107</v>
      </c>
      <c r="AB547" t="n">
        <v>2</v>
      </c>
      <c r="AC547" t="n">
        <v>2</v>
      </c>
      <c r="AD547" t="n">
        <v>1</v>
      </c>
      <c r="AE547" t="n">
        <v>1</v>
      </c>
      <c r="AF547" t="n">
        <v>0</v>
      </c>
      <c r="AG547" t="n">
        <v>0</v>
      </c>
      <c r="AH547" t="n">
        <v>0</v>
      </c>
      <c r="AI547" t="n">
        <v>0</v>
      </c>
      <c r="AJ547" t="n">
        <v>0</v>
      </c>
      <c r="AK547" t="n">
        <v>0</v>
      </c>
      <c r="AL547" t="n">
        <v>1</v>
      </c>
      <c r="AM547" t="n">
        <v>1</v>
      </c>
      <c r="AN547" t="n">
        <v>0</v>
      </c>
      <c r="AO547" t="n">
        <v>0</v>
      </c>
      <c r="AP547" t="inlineStr">
        <is>
          <t>No</t>
        </is>
      </c>
      <c r="AQ547" t="inlineStr">
        <is>
          <t>Yes</t>
        </is>
      </c>
      <c r="AR547">
        <f>HYPERLINK("http://catalog.hathitrust.org/Record/002581147","HathiTrust Record")</f>
        <v/>
      </c>
      <c r="AS547">
        <f>HYPERLINK("https://creighton-primo.hosted.exlibrisgroup.com/primo-explore/search?tab=default_tab&amp;search_scope=EVERYTHING&amp;vid=01CRU&amp;lang=en_US&amp;offset=0&amp;query=any,contains,991001450999702656","Catalog Record")</f>
        <v/>
      </c>
      <c r="AT547">
        <f>HYPERLINK("http://www.worldcat.org/oclc/19324981","WorldCat Record")</f>
        <v/>
      </c>
      <c r="AU547" t="inlineStr">
        <is>
          <t>21420291:eng</t>
        </is>
      </c>
      <c r="AV547" t="inlineStr">
        <is>
          <t>19324981</t>
        </is>
      </c>
      <c r="AW547" t="inlineStr">
        <is>
          <t>991001450999702656</t>
        </is>
      </c>
      <c r="AX547" t="inlineStr">
        <is>
          <t>991001450999702656</t>
        </is>
      </c>
      <c r="AY547" t="inlineStr">
        <is>
          <t>2268203980002656</t>
        </is>
      </c>
      <c r="AZ547" t="inlineStr">
        <is>
          <t>BOOK</t>
        </is>
      </c>
      <c r="BC547" t="inlineStr">
        <is>
          <t>32285000815711</t>
        </is>
      </c>
      <c r="BD547" t="inlineStr">
        <is>
          <t>893866235</t>
        </is>
      </c>
    </row>
    <row r="548">
      <c r="A548" t="inlineStr">
        <is>
          <t>No</t>
        </is>
      </c>
      <c r="B548" t="inlineStr">
        <is>
          <t>HN90.C6 C663</t>
        </is>
      </c>
      <c r="C548" t="inlineStr">
        <is>
          <t>0                      HN 0090000C  6                  C  663</t>
        </is>
      </c>
      <c r="D548" t="inlineStr">
        <is>
          <t>Community organization for urban social change : a historical perspective / edited by Robert Fisher and Peter Romanofsky.</t>
        </is>
      </c>
      <c r="F548" t="inlineStr">
        <is>
          <t>No</t>
        </is>
      </c>
      <c r="G548" t="inlineStr">
        <is>
          <t>1</t>
        </is>
      </c>
      <c r="H548" t="inlineStr">
        <is>
          <t>No</t>
        </is>
      </c>
      <c r="I548" t="inlineStr">
        <is>
          <t>No</t>
        </is>
      </c>
      <c r="J548" t="inlineStr">
        <is>
          <t>0</t>
        </is>
      </c>
      <c r="L548" t="inlineStr">
        <is>
          <t>Westport, Conn. : Greenwood Press, c1981.</t>
        </is>
      </c>
      <c r="M548" t="inlineStr">
        <is>
          <t>1981</t>
        </is>
      </c>
      <c r="O548" t="inlineStr">
        <is>
          <t>eng</t>
        </is>
      </c>
      <c r="P548" t="inlineStr">
        <is>
          <t>ctu</t>
        </is>
      </c>
      <c r="R548" t="inlineStr">
        <is>
          <t xml:space="preserve">HN </t>
        </is>
      </c>
      <c r="S548" t="n">
        <v>9</v>
      </c>
      <c r="T548" t="n">
        <v>9</v>
      </c>
      <c r="U548" t="inlineStr">
        <is>
          <t>1996-10-04</t>
        </is>
      </c>
      <c r="V548" t="inlineStr">
        <is>
          <t>1996-10-04</t>
        </is>
      </c>
      <c r="W548" t="inlineStr">
        <is>
          <t>1992-09-29</t>
        </is>
      </c>
      <c r="X548" t="inlineStr">
        <is>
          <t>1992-09-29</t>
        </is>
      </c>
      <c r="Y548" t="n">
        <v>355</v>
      </c>
      <c r="Z548" t="n">
        <v>297</v>
      </c>
      <c r="AA548" t="n">
        <v>304</v>
      </c>
      <c r="AB548" t="n">
        <v>4</v>
      </c>
      <c r="AC548" t="n">
        <v>4</v>
      </c>
      <c r="AD548" t="n">
        <v>14</v>
      </c>
      <c r="AE548" t="n">
        <v>14</v>
      </c>
      <c r="AF548" t="n">
        <v>3</v>
      </c>
      <c r="AG548" t="n">
        <v>3</v>
      </c>
      <c r="AH548" t="n">
        <v>4</v>
      </c>
      <c r="AI548" t="n">
        <v>4</v>
      </c>
      <c r="AJ548" t="n">
        <v>7</v>
      </c>
      <c r="AK548" t="n">
        <v>7</v>
      </c>
      <c r="AL548" t="n">
        <v>3</v>
      </c>
      <c r="AM548" t="n">
        <v>3</v>
      </c>
      <c r="AN548" t="n">
        <v>0</v>
      </c>
      <c r="AO548" t="n">
        <v>0</v>
      </c>
      <c r="AP548" t="inlineStr">
        <is>
          <t>No</t>
        </is>
      </c>
      <c r="AQ548" t="inlineStr">
        <is>
          <t>Yes</t>
        </is>
      </c>
      <c r="AR548">
        <f>HYPERLINK("http://catalog.hathitrust.org/Record/000186239","HathiTrust Record")</f>
        <v/>
      </c>
      <c r="AS548">
        <f>HYPERLINK("https://creighton-primo.hosted.exlibrisgroup.com/primo-explore/search?tab=default_tab&amp;search_scope=EVERYTHING&amp;vid=01CRU&amp;lang=en_US&amp;offset=0&amp;query=any,contains,991005027509702656","Catalog Record")</f>
        <v/>
      </c>
      <c r="AT548">
        <f>HYPERLINK("http://www.worldcat.org/oclc/6707437","WorldCat Record")</f>
        <v/>
      </c>
      <c r="AU548" t="inlineStr">
        <is>
          <t>375181291:eng</t>
        </is>
      </c>
      <c r="AV548" t="inlineStr">
        <is>
          <t>6707437</t>
        </is>
      </c>
      <c r="AW548" t="inlineStr">
        <is>
          <t>991005027509702656</t>
        </is>
      </c>
      <c r="AX548" t="inlineStr">
        <is>
          <t>991005027509702656</t>
        </is>
      </c>
      <c r="AY548" t="inlineStr">
        <is>
          <t>2257618960002656</t>
        </is>
      </c>
      <c r="AZ548" t="inlineStr">
        <is>
          <t>BOOK</t>
        </is>
      </c>
      <c r="BB548" t="inlineStr">
        <is>
          <t>9780313214271</t>
        </is>
      </c>
      <c r="BC548" t="inlineStr">
        <is>
          <t>32285001355766</t>
        </is>
      </c>
      <c r="BD548" t="inlineStr">
        <is>
          <t>893326063</t>
        </is>
      </c>
    </row>
    <row r="549">
      <c r="A549" t="inlineStr">
        <is>
          <t>No</t>
        </is>
      </c>
      <c r="B549" t="inlineStr">
        <is>
          <t>HN90.C6 D68</t>
        </is>
      </c>
      <c r="C549" t="inlineStr">
        <is>
          <t>0                      HN 0090000C  6                  D  68</t>
        </is>
      </c>
      <c r="D549" t="inlineStr">
        <is>
          <t>Neighborhoods and urban development / Anthony Downs.</t>
        </is>
      </c>
      <c r="F549" t="inlineStr">
        <is>
          <t>No</t>
        </is>
      </c>
      <c r="G549" t="inlineStr">
        <is>
          <t>1</t>
        </is>
      </c>
      <c r="H549" t="inlineStr">
        <is>
          <t>No</t>
        </is>
      </c>
      <c r="I549" t="inlineStr">
        <is>
          <t>No</t>
        </is>
      </c>
      <c r="J549" t="inlineStr">
        <is>
          <t>0</t>
        </is>
      </c>
      <c r="K549" t="inlineStr">
        <is>
          <t>Downs, Anthony.</t>
        </is>
      </c>
      <c r="L549" t="inlineStr">
        <is>
          <t>Washington, D.C. : Brookings Institution, c1981.</t>
        </is>
      </c>
      <c r="M549" t="inlineStr">
        <is>
          <t>1981</t>
        </is>
      </c>
      <c r="O549" t="inlineStr">
        <is>
          <t>eng</t>
        </is>
      </c>
      <c r="P549" t="inlineStr">
        <is>
          <t>dcu</t>
        </is>
      </c>
      <c r="R549" t="inlineStr">
        <is>
          <t xml:space="preserve">HN </t>
        </is>
      </c>
      <c r="S549" t="n">
        <v>9</v>
      </c>
      <c r="T549" t="n">
        <v>9</v>
      </c>
      <c r="U549" t="inlineStr">
        <is>
          <t>1999-08-11</t>
        </is>
      </c>
      <c r="V549" t="inlineStr">
        <is>
          <t>1999-08-11</t>
        </is>
      </c>
      <c r="W549" t="inlineStr">
        <is>
          <t>1992-09-29</t>
        </is>
      </c>
      <c r="X549" t="inlineStr">
        <is>
          <t>1992-09-29</t>
        </is>
      </c>
      <c r="Y549" t="n">
        <v>899</v>
      </c>
      <c r="Z549" t="n">
        <v>777</v>
      </c>
      <c r="AA549" t="n">
        <v>782</v>
      </c>
      <c r="AB549" t="n">
        <v>5</v>
      </c>
      <c r="AC549" t="n">
        <v>5</v>
      </c>
      <c r="AD549" t="n">
        <v>42</v>
      </c>
      <c r="AE549" t="n">
        <v>42</v>
      </c>
      <c r="AF549" t="n">
        <v>13</v>
      </c>
      <c r="AG549" t="n">
        <v>13</v>
      </c>
      <c r="AH549" t="n">
        <v>9</v>
      </c>
      <c r="AI549" t="n">
        <v>9</v>
      </c>
      <c r="AJ549" t="n">
        <v>20</v>
      </c>
      <c r="AK549" t="n">
        <v>20</v>
      </c>
      <c r="AL549" t="n">
        <v>4</v>
      </c>
      <c r="AM549" t="n">
        <v>4</v>
      </c>
      <c r="AN549" t="n">
        <v>6</v>
      </c>
      <c r="AO549" t="n">
        <v>6</v>
      </c>
      <c r="AP549" t="inlineStr">
        <is>
          <t>No</t>
        </is>
      </c>
      <c r="AQ549" t="inlineStr">
        <is>
          <t>No</t>
        </is>
      </c>
      <c r="AS549">
        <f>HYPERLINK("https://creighton-primo.hosted.exlibrisgroup.com/primo-explore/search?tab=default_tab&amp;search_scope=EVERYTHING&amp;vid=01CRU&amp;lang=en_US&amp;offset=0&amp;query=any,contains,991005146409702656","Catalog Record")</f>
        <v/>
      </c>
      <c r="AT549">
        <f>HYPERLINK("http://www.worldcat.org/oclc/7671628","WorldCat Record")</f>
        <v/>
      </c>
      <c r="AU549" t="inlineStr">
        <is>
          <t>477972:eng</t>
        </is>
      </c>
      <c r="AV549" t="inlineStr">
        <is>
          <t>7671628</t>
        </is>
      </c>
      <c r="AW549" t="inlineStr">
        <is>
          <t>991005146409702656</t>
        </is>
      </c>
      <c r="AX549" t="inlineStr">
        <is>
          <t>991005146409702656</t>
        </is>
      </c>
      <c r="AY549" t="inlineStr">
        <is>
          <t>2272795740002656</t>
        </is>
      </c>
      <c r="AZ549" t="inlineStr">
        <is>
          <t>BOOK</t>
        </is>
      </c>
      <c r="BB549" t="inlineStr">
        <is>
          <t>9780815719199</t>
        </is>
      </c>
      <c r="BC549" t="inlineStr">
        <is>
          <t>32285001355782</t>
        </is>
      </c>
      <c r="BD549" t="inlineStr">
        <is>
          <t>893625518</t>
        </is>
      </c>
    </row>
    <row r="550">
      <c r="A550" t="inlineStr">
        <is>
          <t>No</t>
        </is>
      </c>
      <c r="B550" t="inlineStr">
        <is>
          <t>HN90.C6 G724 2002</t>
        </is>
      </c>
      <c r="C550" t="inlineStr">
        <is>
          <t>0                      HN 0090000C  6                  G  724         2002</t>
        </is>
      </c>
      <c r="D550" t="inlineStr">
        <is>
          <t>Asset building &amp; community development / Gary Paul Green, Anna Haines.</t>
        </is>
      </c>
      <c r="F550" t="inlineStr">
        <is>
          <t>No</t>
        </is>
      </c>
      <c r="G550" t="inlineStr">
        <is>
          <t>1</t>
        </is>
      </c>
      <c r="H550" t="inlineStr">
        <is>
          <t>No</t>
        </is>
      </c>
      <c r="I550" t="inlineStr">
        <is>
          <t>No</t>
        </is>
      </c>
      <c r="J550" t="inlineStr">
        <is>
          <t>0</t>
        </is>
      </c>
      <c r="K550" t="inlineStr">
        <is>
          <t>Green, Gary P.</t>
        </is>
      </c>
      <c r="L550" t="inlineStr">
        <is>
          <t>Thousand Oaks, Calif. : Sage Publications, c2002.</t>
        </is>
      </c>
      <c r="M550" t="inlineStr">
        <is>
          <t>2002</t>
        </is>
      </c>
      <c r="O550" t="inlineStr">
        <is>
          <t>eng</t>
        </is>
      </c>
      <c r="P550" t="inlineStr">
        <is>
          <t>cau</t>
        </is>
      </c>
      <c r="R550" t="inlineStr">
        <is>
          <t xml:space="preserve">HN </t>
        </is>
      </c>
      <c r="S550" t="n">
        <v>3</v>
      </c>
      <c r="T550" t="n">
        <v>3</v>
      </c>
      <c r="U550" t="inlineStr">
        <is>
          <t>2005-10-26</t>
        </is>
      </c>
      <c r="V550" t="inlineStr">
        <is>
          <t>2005-10-26</t>
        </is>
      </c>
      <c r="W550" t="inlineStr">
        <is>
          <t>2002-09-04</t>
        </is>
      </c>
      <c r="X550" t="inlineStr">
        <is>
          <t>2002-09-04</t>
        </is>
      </c>
      <c r="Y550" t="n">
        <v>268</v>
      </c>
      <c r="Z550" t="n">
        <v>203</v>
      </c>
      <c r="AA550" t="n">
        <v>395</v>
      </c>
      <c r="AB550" t="n">
        <v>4</v>
      </c>
      <c r="AC550" t="n">
        <v>4</v>
      </c>
      <c r="AD550" t="n">
        <v>9</v>
      </c>
      <c r="AE550" t="n">
        <v>18</v>
      </c>
      <c r="AF550" t="n">
        <v>0</v>
      </c>
      <c r="AG550" t="n">
        <v>3</v>
      </c>
      <c r="AH550" t="n">
        <v>1</v>
      </c>
      <c r="AI550" t="n">
        <v>4</v>
      </c>
      <c r="AJ550" t="n">
        <v>5</v>
      </c>
      <c r="AK550" t="n">
        <v>11</v>
      </c>
      <c r="AL550" t="n">
        <v>3</v>
      </c>
      <c r="AM550" t="n">
        <v>3</v>
      </c>
      <c r="AN550" t="n">
        <v>1</v>
      </c>
      <c r="AO550" t="n">
        <v>1</v>
      </c>
      <c r="AP550" t="inlineStr">
        <is>
          <t>No</t>
        </is>
      </c>
      <c r="AQ550" t="inlineStr">
        <is>
          <t>Yes</t>
        </is>
      </c>
      <c r="AR550">
        <f>HYPERLINK("http://catalog.hathitrust.org/Record/004202814","HathiTrust Record")</f>
        <v/>
      </c>
      <c r="AS550">
        <f>HYPERLINK("https://creighton-primo.hosted.exlibrisgroup.com/primo-explore/search?tab=default_tab&amp;search_scope=EVERYTHING&amp;vid=01CRU&amp;lang=en_US&amp;offset=0&amp;query=any,contains,991003851759702656","Catalog Record")</f>
        <v/>
      </c>
      <c r="AT550">
        <f>HYPERLINK("http://www.worldcat.org/oclc/46385848","WorldCat Record")</f>
        <v/>
      </c>
      <c r="AU550" t="inlineStr">
        <is>
          <t>35786919:eng</t>
        </is>
      </c>
      <c r="AV550" t="inlineStr">
        <is>
          <t>46385848</t>
        </is>
      </c>
      <c r="AW550" t="inlineStr">
        <is>
          <t>991003851759702656</t>
        </is>
      </c>
      <c r="AX550" t="inlineStr">
        <is>
          <t>991003851759702656</t>
        </is>
      </c>
      <c r="AY550" t="inlineStr">
        <is>
          <t>2272194160002656</t>
        </is>
      </c>
      <c r="AZ550" t="inlineStr">
        <is>
          <t>BOOK</t>
        </is>
      </c>
      <c r="BB550" t="inlineStr">
        <is>
          <t>9780761922636</t>
        </is>
      </c>
      <c r="BC550" t="inlineStr">
        <is>
          <t>32285004646294</t>
        </is>
      </c>
      <c r="BD550" t="inlineStr">
        <is>
          <t>893337046</t>
        </is>
      </c>
    </row>
    <row r="551">
      <c r="A551" t="inlineStr">
        <is>
          <t>No</t>
        </is>
      </c>
      <c r="B551" t="inlineStr">
        <is>
          <t>HN90.C6 H47 1982</t>
        </is>
      </c>
      <c r="C551" t="inlineStr">
        <is>
          <t>0                      HN 0090000C  6                  H  47          1982</t>
        </is>
      </c>
      <c r="D551" t="inlineStr">
        <is>
          <t>Community goal setting / Frank J. Smith, Randolph T. Hester, Jr.</t>
        </is>
      </c>
      <c r="F551" t="inlineStr">
        <is>
          <t>No</t>
        </is>
      </c>
      <c r="G551" t="inlineStr">
        <is>
          <t>1</t>
        </is>
      </c>
      <c r="H551" t="inlineStr">
        <is>
          <t>No</t>
        </is>
      </c>
      <c r="I551" t="inlineStr">
        <is>
          <t>No</t>
        </is>
      </c>
      <c r="J551" t="inlineStr">
        <is>
          <t>0</t>
        </is>
      </c>
      <c r="K551" t="inlineStr">
        <is>
          <t>Smith, Frank J., 1945-</t>
        </is>
      </c>
      <c r="L551" t="inlineStr">
        <is>
          <t>Stroudsburg, Pa. : Hutchinson Ross Pub. Co., c1982.</t>
        </is>
      </c>
      <c r="M551" t="inlineStr">
        <is>
          <t>1982</t>
        </is>
      </c>
      <c r="O551" t="inlineStr">
        <is>
          <t>eng</t>
        </is>
      </c>
      <c r="P551" t="inlineStr">
        <is>
          <t>pau</t>
        </is>
      </c>
      <c r="R551" t="inlineStr">
        <is>
          <t xml:space="preserve">HN </t>
        </is>
      </c>
      <c r="S551" t="n">
        <v>1</v>
      </c>
      <c r="T551" t="n">
        <v>1</v>
      </c>
      <c r="U551" t="inlineStr">
        <is>
          <t>2008-01-22</t>
        </is>
      </c>
      <c r="V551" t="inlineStr">
        <is>
          <t>2008-01-22</t>
        </is>
      </c>
      <c r="W551" t="inlineStr">
        <is>
          <t>1992-09-29</t>
        </is>
      </c>
      <c r="X551" t="inlineStr">
        <is>
          <t>1992-09-29</t>
        </is>
      </c>
      <c r="Y551" t="n">
        <v>239</v>
      </c>
      <c r="Z551" t="n">
        <v>207</v>
      </c>
      <c r="AA551" t="n">
        <v>209</v>
      </c>
      <c r="AB551" t="n">
        <v>2</v>
      </c>
      <c r="AC551" t="n">
        <v>2</v>
      </c>
      <c r="AD551" t="n">
        <v>7</v>
      </c>
      <c r="AE551" t="n">
        <v>7</v>
      </c>
      <c r="AF551" t="n">
        <v>3</v>
      </c>
      <c r="AG551" t="n">
        <v>3</v>
      </c>
      <c r="AH551" t="n">
        <v>1</v>
      </c>
      <c r="AI551" t="n">
        <v>1</v>
      </c>
      <c r="AJ551" t="n">
        <v>4</v>
      </c>
      <c r="AK551" t="n">
        <v>4</v>
      </c>
      <c r="AL551" t="n">
        <v>1</v>
      </c>
      <c r="AM551" t="n">
        <v>1</v>
      </c>
      <c r="AN551" t="n">
        <v>0</v>
      </c>
      <c r="AO551" t="n">
        <v>0</v>
      </c>
      <c r="AP551" t="inlineStr">
        <is>
          <t>No</t>
        </is>
      </c>
      <c r="AQ551" t="inlineStr">
        <is>
          <t>Yes</t>
        </is>
      </c>
      <c r="AR551">
        <f>HYPERLINK("http://catalog.hathitrust.org/Record/000101845","HathiTrust Record")</f>
        <v/>
      </c>
      <c r="AS551">
        <f>HYPERLINK("https://creighton-primo.hosted.exlibrisgroup.com/primo-explore/search?tab=default_tab&amp;search_scope=EVERYTHING&amp;vid=01CRU&amp;lang=en_US&amp;offset=0&amp;query=any,contains,991005162159702656","Catalog Record")</f>
        <v/>
      </c>
      <c r="AT551">
        <f>HYPERLINK("http://www.worldcat.org/oclc/7795940","WorldCat Record")</f>
        <v/>
      </c>
      <c r="AU551" t="inlineStr">
        <is>
          <t>29879793:eng</t>
        </is>
      </c>
      <c r="AV551" t="inlineStr">
        <is>
          <t>7795940</t>
        </is>
      </c>
      <c r="AW551" t="inlineStr">
        <is>
          <t>991005162159702656</t>
        </is>
      </c>
      <c r="AX551" t="inlineStr">
        <is>
          <t>991005162159702656</t>
        </is>
      </c>
      <c r="AY551" t="inlineStr">
        <is>
          <t>2264487010002656</t>
        </is>
      </c>
      <c r="AZ551" t="inlineStr">
        <is>
          <t>BOOK</t>
        </is>
      </c>
      <c r="BB551" t="inlineStr">
        <is>
          <t>9780879334055</t>
        </is>
      </c>
      <c r="BC551" t="inlineStr">
        <is>
          <t>32285001355824</t>
        </is>
      </c>
      <c r="BD551" t="inlineStr">
        <is>
          <t>893895981</t>
        </is>
      </c>
    </row>
    <row r="552">
      <c r="A552" t="inlineStr">
        <is>
          <t>No</t>
        </is>
      </c>
      <c r="B552" t="inlineStr">
        <is>
          <t>HN90.C6 M395 1984</t>
        </is>
      </c>
      <c r="C552" t="inlineStr">
        <is>
          <t>0                      HN 0090000C  6                  M  395         1984</t>
        </is>
      </c>
      <c r="D552" t="inlineStr">
        <is>
          <t>Neighborhood organizations and community development : making revitalization work / Neil S. Mayer.</t>
        </is>
      </c>
      <c r="F552" t="inlineStr">
        <is>
          <t>No</t>
        </is>
      </c>
      <c r="G552" t="inlineStr">
        <is>
          <t>1</t>
        </is>
      </c>
      <c r="H552" t="inlineStr">
        <is>
          <t>No</t>
        </is>
      </c>
      <c r="I552" t="inlineStr">
        <is>
          <t>No</t>
        </is>
      </c>
      <c r="J552" t="inlineStr">
        <is>
          <t>0</t>
        </is>
      </c>
      <c r="K552" t="inlineStr">
        <is>
          <t>Mayer, Neil.</t>
        </is>
      </c>
      <c r="L552" t="inlineStr">
        <is>
          <t>Washington, D.C. : Urban Institute Press, c1984.</t>
        </is>
      </c>
      <c r="M552" t="inlineStr">
        <is>
          <t>1984</t>
        </is>
      </c>
      <c r="O552" t="inlineStr">
        <is>
          <t>eng</t>
        </is>
      </c>
      <c r="P552" t="inlineStr">
        <is>
          <t>dcu</t>
        </is>
      </c>
      <c r="R552" t="inlineStr">
        <is>
          <t xml:space="preserve">HN </t>
        </is>
      </c>
      <c r="S552" t="n">
        <v>5</v>
      </c>
      <c r="T552" t="n">
        <v>5</v>
      </c>
      <c r="U552" t="inlineStr">
        <is>
          <t>1998-08-31</t>
        </is>
      </c>
      <c r="V552" t="inlineStr">
        <is>
          <t>1998-08-31</t>
        </is>
      </c>
      <c r="W552" t="inlineStr">
        <is>
          <t>1992-09-29</t>
        </is>
      </c>
      <c r="X552" t="inlineStr">
        <is>
          <t>1992-09-29</t>
        </is>
      </c>
      <c r="Y552" t="n">
        <v>281</v>
      </c>
      <c r="Z552" t="n">
        <v>249</v>
      </c>
      <c r="AA552" t="n">
        <v>252</v>
      </c>
      <c r="AB552" t="n">
        <v>3</v>
      </c>
      <c r="AC552" t="n">
        <v>3</v>
      </c>
      <c r="AD552" t="n">
        <v>12</v>
      </c>
      <c r="AE552" t="n">
        <v>12</v>
      </c>
      <c r="AF552" t="n">
        <v>3</v>
      </c>
      <c r="AG552" t="n">
        <v>3</v>
      </c>
      <c r="AH552" t="n">
        <v>3</v>
      </c>
      <c r="AI552" t="n">
        <v>3</v>
      </c>
      <c r="AJ552" t="n">
        <v>4</v>
      </c>
      <c r="AK552" t="n">
        <v>4</v>
      </c>
      <c r="AL552" t="n">
        <v>2</v>
      </c>
      <c r="AM552" t="n">
        <v>2</v>
      </c>
      <c r="AN552" t="n">
        <v>2</v>
      </c>
      <c r="AO552" t="n">
        <v>2</v>
      </c>
      <c r="AP552" t="inlineStr">
        <is>
          <t>No</t>
        </is>
      </c>
      <c r="AQ552" t="inlineStr">
        <is>
          <t>Yes</t>
        </is>
      </c>
      <c r="AR552">
        <f>HYPERLINK("http://catalog.hathitrust.org/Record/000646133","HathiTrust Record")</f>
        <v/>
      </c>
      <c r="AS552">
        <f>HYPERLINK("https://creighton-primo.hosted.exlibrisgroup.com/primo-explore/search?tab=default_tab&amp;search_scope=EVERYTHING&amp;vid=01CRU&amp;lang=en_US&amp;offset=0&amp;query=any,contains,991000485469702656","Catalog Record")</f>
        <v/>
      </c>
      <c r="AT552">
        <f>HYPERLINK("http://www.worldcat.org/oclc/11069025","WorldCat Record")</f>
        <v/>
      </c>
      <c r="AU552" t="inlineStr">
        <is>
          <t>3865950:eng</t>
        </is>
      </c>
      <c r="AV552" t="inlineStr">
        <is>
          <t>11069025</t>
        </is>
      </c>
      <c r="AW552" t="inlineStr">
        <is>
          <t>991000485469702656</t>
        </is>
      </c>
      <c r="AX552" t="inlineStr">
        <is>
          <t>991000485469702656</t>
        </is>
      </c>
      <c r="AY552" t="inlineStr">
        <is>
          <t>2260164640002656</t>
        </is>
      </c>
      <c r="AZ552" t="inlineStr">
        <is>
          <t>BOOK</t>
        </is>
      </c>
      <c r="BB552" t="inlineStr">
        <is>
          <t>9780877663645</t>
        </is>
      </c>
      <c r="BC552" t="inlineStr">
        <is>
          <t>32285001355840</t>
        </is>
      </c>
      <c r="BD552" t="inlineStr">
        <is>
          <t>893784248</t>
        </is>
      </c>
    </row>
    <row r="553">
      <c r="A553" t="inlineStr">
        <is>
          <t>No</t>
        </is>
      </c>
      <c r="B553" t="inlineStr">
        <is>
          <t>HN90.C6 M86 2003</t>
        </is>
      </c>
      <c r="C553" t="inlineStr">
        <is>
          <t>0                      HN 0090000C  6                  M  86          2003</t>
        </is>
      </c>
      <c r="D553" t="inlineStr">
        <is>
          <t>Organizing for community controlled development : renewing civil society / Patricia Watkins Murphy, James V. Cunningham.</t>
        </is>
      </c>
      <c r="F553" t="inlineStr">
        <is>
          <t>No</t>
        </is>
      </c>
      <c r="G553" t="inlineStr">
        <is>
          <t>1</t>
        </is>
      </c>
      <c r="H553" t="inlineStr">
        <is>
          <t>No</t>
        </is>
      </c>
      <c r="I553" t="inlineStr">
        <is>
          <t>No</t>
        </is>
      </c>
      <c r="J553" t="inlineStr">
        <is>
          <t>0</t>
        </is>
      </c>
      <c r="K553" t="inlineStr">
        <is>
          <t>Murphy, Patricia Watkins.</t>
        </is>
      </c>
      <c r="L553" t="inlineStr">
        <is>
          <t>Thousand Oaks, Calif. : Sage Publications, c2003.</t>
        </is>
      </c>
      <c r="M553" t="inlineStr">
        <is>
          <t>2003</t>
        </is>
      </c>
      <c r="O553" t="inlineStr">
        <is>
          <t>eng</t>
        </is>
      </c>
      <c r="P553" t="inlineStr">
        <is>
          <t>cau</t>
        </is>
      </c>
      <c r="R553" t="inlineStr">
        <is>
          <t xml:space="preserve">HN </t>
        </is>
      </c>
      <c r="S553" t="n">
        <v>5</v>
      </c>
      <c r="T553" t="n">
        <v>5</v>
      </c>
      <c r="U553" t="inlineStr">
        <is>
          <t>2008-01-22</t>
        </is>
      </c>
      <c r="V553" t="inlineStr">
        <is>
          <t>2008-01-22</t>
        </is>
      </c>
      <c r="W553" t="inlineStr">
        <is>
          <t>2004-10-06</t>
        </is>
      </c>
      <c r="X553" t="inlineStr">
        <is>
          <t>2004-10-06</t>
        </is>
      </c>
      <c r="Y553" t="n">
        <v>326</v>
      </c>
      <c r="Z553" t="n">
        <v>225</v>
      </c>
      <c r="AA553" t="n">
        <v>228</v>
      </c>
      <c r="AB553" t="n">
        <v>6</v>
      </c>
      <c r="AC553" t="n">
        <v>6</v>
      </c>
      <c r="AD553" t="n">
        <v>19</v>
      </c>
      <c r="AE553" t="n">
        <v>19</v>
      </c>
      <c r="AF553" t="n">
        <v>5</v>
      </c>
      <c r="AG553" t="n">
        <v>5</v>
      </c>
      <c r="AH553" t="n">
        <v>3</v>
      </c>
      <c r="AI553" t="n">
        <v>3</v>
      </c>
      <c r="AJ553" t="n">
        <v>11</v>
      </c>
      <c r="AK553" t="n">
        <v>11</v>
      </c>
      <c r="AL553" t="n">
        <v>5</v>
      </c>
      <c r="AM553" t="n">
        <v>5</v>
      </c>
      <c r="AN553" t="n">
        <v>0</v>
      </c>
      <c r="AO553" t="n">
        <v>0</v>
      </c>
      <c r="AP553" t="inlineStr">
        <is>
          <t>No</t>
        </is>
      </c>
      <c r="AQ553" t="inlineStr">
        <is>
          <t>Yes</t>
        </is>
      </c>
      <c r="AR553">
        <f>HYPERLINK("http://catalog.hathitrust.org/Record/004308463","HathiTrust Record")</f>
        <v/>
      </c>
      <c r="AS553">
        <f>HYPERLINK("https://creighton-primo.hosted.exlibrisgroup.com/primo-explore/search?tab=default_tab&amp;search_scope=EVERYTHING&amp;vid=01CRU&amp;lang=en_US&amp;offset=0&amp;query=any,contains,991004365209702656","Catalog Record")</f>
        <v/>
      </c>
      <c r="AT553">
        <f>HYPERLINK("http://www.worldcat.org/oclc/50920715","WorldCat Record")</f>
        <v/>
      </c>
      <c r="AU553" t="inlineStr">
        <is>
          <t>839272628:eng</t>
        </is>
      </c>
      <c r="AV553" t="inlineStr">
        <is>
          <t>50920715</t>
        </is>
      </c>
      <c r="AW553" t="inlineStr">
        <is>
          <t>991004365209702656</t>
        </is>
      </c>
      <c r="AX553" t="inlineStr">
        <is>
          <t>991004365209702656</t>
        </is>
      </c>
      <c r="AY553" t="inlineStr">
        <is>
          <t>2267587500002656</t>
        </is>
      </c>
      <c r="AZ553" t="inlineStr">
        <is>
          <t>BOOK</t>
        </is>
      </c>
      <c r="BB553" t="inlineStr">
        <is>
          <t>9780761904144</t>
        </is>
      </c>
      <c r="BC553" t="inlineStr">
        <is>
          <t>32285005001176</t>
        </is>
      </c>
      <c r="BD553" t="inlineStr">
        <is>
          <t>893624644</t>
        </is>
      </c>
    </row>
    <row r="554">
      <c r="A554" t="inlineStr">
        <is>
          <t>No</t>
        </is>
      </c>
      <c r="B554" t="inlineStr">
        <is>
          <t>HN90.C6 P49 2000</t>
        </is>
      </c>
      <c r="C554" t="inlineStr">
        <is>
          <t>0                      HN 0090000C  6                  P  49          2000</t>
        </is>
      </c>
      <c r="D554" t="inlineStr">
        <is>
          <t>Neighborhood planning and community-based development : the potential and limits of grassroots action / William Peterman.</t>
        </is>
      </c>
      <c r="F554" t="inlineStr">
        <is>
          <t>No</t>
        </is>
      </c>
      <c r="G554" t="inlineStr">
        <is>
          <t>1</t>
        </is>
      </c>
      <c r="H554" t="inlineStr">
        <is>
          <t>No</t>
        </is>
      </c>
      <c r="I554" t="inlineStr">
        <is>
          <t>No</t>
        </is>
      </c>
      <c r="J554" t="inlineStr">
        <is>
          <t>0</t>
        </is>
      </c>
      <c r="K554" t="inlineStr">
        <is>
          <t>Peterman, William.</t>
        </is>
      </c>
      <c r="L554" t="inlineStr">
        <is>
          <t>Thousand Oaks : Sage Publications, c2000.</t>
        </is>
      </c>
      <c r="M554" t="inlineStr">
        <is>
          <t>2000</t>
        </is>
      </c>
      <c r="O554" t="inlineStr">
        <is>
          <t>eng</t>
        </is>
      </c>
      <c r="P554" t="inlineStr">
        <is>
          <t>cau</t>
        </is>
      </c>
      <c r="Q554" t="inlineStr">
        <is>
          <t>Cities &amp; planning series</t>
        </is>
      </c>
      <c r="R554" t="inlineStr">
        <is>
          <t xml:space="preserve">HN </t>
        </is>
      </c>
      <c r="S554" t="n">
        <v>4</v>
      </c>
      <c r="T554" t="n">
        <v>4</v>
      </c>
      <c r="U554" t="inlineStr">
        <is>
          <t>2007-04-17</t>
        </is>
      </c>
      <c r="V554" t="inlineStr">
        <is>
          <t>2007-04-17</t>
        </is>
      </c>
      <c r="W554" t="inlineStr">
        <is>
          <t>2001-01-09</t>
        </is>
      </c>
      <c r="X554" t="inlineStr">
        <is>
          <t>2001-01-09</t>
        </is>
      </c>
      <c r="Y554" t="n">
        <v>484</v>
      </c>
      <c r="Z554" t="n">
        <v>378</v>
      </c>
      <c r="AA554" t="n">
        <v>443</v>
      </c>
      <c r="AB554" t="n">
        <v>4</v>
      </c>
      <c r="AC554" t="n">
        <v>4</v>
      </c>
      <c r="AD554" t="n">
        <v>20</v>
      </c>
      <c r="AE554" t="n">
        <v>22</v>
      </c>
      <c r="AF554" t="n">
        <v>6</v>
      </c>
      <c r="AG554" t="n">
        <v>6</v>
      </c>
      <c r="AH554" t="n">
        <v>5</v>
      </c>
      <c r="AI554" t="n">
        <v>7</v>
      </c>
      <c r="AJ554" t="n">
        <v>11</v>
      </c>
      <c r="AK554" t="n">
        <v>11</v>
      </c>
      <c r="AL554" t="n">
        <v>3</v>
      </c>
      <c r="AM554" t="n">
        <v>3</v>
      </c>
      <c r="AN554" t="n">
        <v>1</v>
      </c>
      <c r="AO554" t="n">
        <v>1</v>
      </c>
      <c r="AP554" t="inlineStr">
        <is>
          <t>No</t>
        </is>
      </c>
      <c r="AQ554" t="inlineStr">
        <is>
          <t>Yes</t>
        </is>
      </c>
      <c r="AR554">
        <f>HYPERLINK("http://catalog.hathitrust.org/Record/004090699","HathiTrust Record")</f>
        <v/>
      </c>
      <c r="AS554">
        <f>HYPERLINK("https://creighton-primo.hosted.exlibrisgroup.com/primo-explore/search?tab=default_tab&amp;search_scope=EVERYTHING&amp;vid=01CRU&amp;lang=en_US&amp;offset=0&amp;query=any,contains,991003283529702656","Catalog Record")</f>
        <v/>
      </c>
      <c r="AT554">
        <f>HYPERLINK("http://www.worldcat.org/oclc/42719734","WorldCat Record")</f>
        <v/>
      </c>
      <c r="AU554" t="inlineStr">
        <is>
          <t>836994189:eng</t>
        </is>
      </c>
      <c r="AV554" t="inlineStr">
        <is>
          <t>42719734</t>
        </is>
      </c>
      <c r="AW554" t="inlineStr">
        <is>
          <t>991003283529702656</t>
        </is>
      </c>
      <c r="AX554" t="inlineStr">
        <is>
          <t>991003283529702656</t>
        </is>
      </c>
      <c r="AY554" t="inlineStr">
        <is>
          <t>2266563090002656</t>
        </is>
      </c>
      <c r="AZ554" t="inlineStr">
        <is>
          <t>BOOK</t>
        </is>
      </c>
      <c r="BB554" t="inlineStr">
        <is>
          <t>9780761911982</t>
        </is>
      </c>
      <c r="BC554" t="inlineStr">
        <is>
          <t>32285004281092</t>
        </is>
      </c>
      <c r="BD554" t="inlineStr">
        <is>
          <t>893531051</t>
        </is>
      </c>
    </row>
    <row r="555">
      <c r="A555" t="inlineStr">
        <is>
          <t>No</t>
        </is>
      </c>
      <c r="B555" t="inlineStr">
        <is>
          <t>HN90.C6 P755 2006</t>
        </is>
      </c>
      <c r="C555" t="inlineStr">
        <is>
          <t>0                      HN 0090000C  6                  P  755         2006</t>
        </is>
      </c>
      <c r="D555" t="inlineStr">
        <is>
          <t>Civic communion : the rhetoric of community building / David E. Procter.</t>
        </is>
      </c>
      <c r="F555" t="inlineStr">
        <is>
          <t>No</t>
        </is>
      </c>
      <c r="G555" t="inlineStr">
        <is>
          <t>1</t>
        </is>
      </c>
      <c r="H555" t="inlineStr">
        <is>
          <t>No</t>
        </is>
      </c>
      <c r="I555" t="inlineStr">
        <is>
          <t>No</t>
        </is>
      </c>
      <c r="J555" t="inlineStr">
        <is>
          <t>0</t>
        </is>
      </c>
      <c r="K555" t="inlineStr">
        <is>
          <t>Procter, David E.</t>
        </is>
      </c>
      <c r="L555" t="inlineStr">
        <is>
          <t>Lanham, MD : Rowman &amp; Littlefield Publishers, Inc., 2006, c2005.</t>
        </is>
      </c>
      <c r="M555" t="inlineStr">
        <is>
          <t>2006</t>
        </is>
      </c>
      <c r="N555" t="inlineStr">
        <is>
          <t>1st pbk. ed.</t>
        </is>
      </c>
      <c r="O555" t="inlineStr">
        <is>
          <t>eng</t>
        </is>
      </c>
      <c r="P555" t="inlineStr">
        <is>
          <t>mdu</t>
        </is>
      </c>
      <c r="R555" t="inlineStr">
        <is>
          <t xml:space="preserve">HN </t>
        </is>
      </c>
      <c r="S555" t="n">
        <v>2</v>
      </c>
      <c r="T555" t="n">
        <v>2</v>
      </c>
      <c r="U555" t="inlineStr">
        <is>
          <t>2007-04-19</t>
        </is>
      </c>
      <c r="V555" t="inlineStr">
        <is>
          <t>2007-04-19</t>
        </is>
      </c>
      <c r="W555" t="inlineStr">
        <is>
          <t>2007-04-19</t>
        </is>
      </c>
      <c r="X555" t="inlineStr">
        <is>
          <t>2007-04-19</t>
        </is>
      </c>
      <c r="Y555" t="n">
        <v>235</v>
      </c>
      <c r="Z555" t="n">
        <v>199</v>
      </c>
      <c r="AA555" t="n">
        <v>199</v>
      </c>
      <c r="AB555" t="n">
        <v>3</v>
      </c>
      <c r="AC555" t="n">
        <v>3</v>
      </c>
      <c r="AD555" t="n">
        <v>8</v>
      </c>
      <c r="AE555" t="n">
        <v>8</v>
      </c>
      <c r="AF555" t="n">
        <v>1</v>
      </c>
      <c r="AG555" t="n">
        <v>1</v>
      </c>
      <c r="AH555" t="n">
        <v>3</v>
      </c>
      <c r="AI555" t="n">
        <v>3</v>
      </c>
      <c r="AJ555" t="n">
        <v>4</v>
      </c>
      <c r="AK555" t="n">
        <v>4</v>
      </c>
      <c r="AL555" t="n">
        <v>2</v>
      </c>
      <c r="AM555" t="n">
        <v>2</v>
      </c>
      <c r="AN555" t="n">
        <v>0</v>
      </c>
      <c r="AO555" t="n">
        <v>0</v>
      </c>
      <c r="AP555" t="inlineStr">
        <is>
          <t>No</t>
        </is>
      </c>
      <c r="AQ555" t="inlineStr">
        <is>
          <t>No</t>
        </is>
      </c>
      <c r="AS555">
        <f>HYPERLINK("https://creighton-primo.hosted.exlibrisgroup.com/primo-explore/search?tab=default_tab&amp;search_scope=EVERYTHING&amp;vid=01CRU&amp;lang=en_US&amp;offset=0&amp;query=any,contains,991005055959702656","Catalog Record")</f>
        <v/>
      </c>
      <c r="AT555">
        <f>HYPERLINK("http://www.worldcat.org/oclc/56560697","WorldCat Record")</f>
        <v/>
      </c>
      <c r="AU555" t="inlineStr">
        <is>
          <t>478706233:eng</t>
        </is>
      </c>
      <c r="AV555" t="inlineStr">
        <is>
          <t>56560697</t>
        </is>
      </c>
      <c r="AW555" t="inlineStr">
        <is>
          <t>991005055959702656</t>
        </is>
      </c>
      <c r="AX555" t="inlineStr">
        <is>
          <t>991005055959702656</t>
        </is>
      </c>
      <c r="AY555" t="inlineStr">
        <is>
          <t>2259396690002656</t>
        </is>
      </c>
      <c r="AZ555" t="inlineStr">
        <is>
          <t>BOOK</t>
        </is>
      </c>
      <c r="BB555" t="inlineStr">
        <is>
          <t>9780742537033</t>
        </is>
      </c>
      <c r="BC555" t="inlineStr">
        <is>
          <t>32285005288435</t>
        </is>
      </c>
      <c r="BD555" t="inlineStr">
        <is>
          <t>893694685</t>
        </is>
      </c>
    </row>
    <row r="556">
      <c r="A556" t="inlineStr">
        <is>
          <t>No</t>
        </is>
      </c>
      <c r="B556" t="inlineStr">
        <is>
          <t>HN90.C6 R64 1985</t>
        </is>
      </c>
      <c r="C556" t="inlineStr">
        <is>
          <t>0                      HN 0090000C  6                  R  64          1985</t>
        </is>
      </c>
      <c r="D556" t="inlineStr">
        <is>
          <t>Planning with neighborhoods / William M. Rohe and Lauren B. Gates.</t>
        </is>
      </c>
      <c r="F556" t="inlineStr">
        <is>
          <t>No</t>
        </is>
      </c>
      <c r="G556" t="inlineStr">
        <is>
          <t>1</t>
        </is>
      </c>
      <c r="H556" t="inlineStr">
        <is>
          <t>No</t>
        </is>
      </c>
      <c r="I556" t="inlineStr">
        <is>
          <t>No</t>
        </is>
      </c>
      <c r="J556" t="inlineStr">
        <is>
          <t>0</t>
        </is>
      </c>
      <c r="K556" t="inlineStr">
        <is>
          <t>Rohe, William M.</t>
        </is>
      </c>
      <c r="L556" t="inlineStr">
        <is>
          <t>Chapel Hill : University of North Carolina Press, c1985.</t>
        </is>
      </c>
      <c r="M556" t="inlineStr">
        <is>
          <t>1985</t>
        </is>
      </c>
      <c r="O556" t="inlineStr">
        <is>
          <t>eng</t>
        </is>
      </c>
      <c r="P556" t="inlineStr">
        <is>
          <t>ncu</t>
        </is>
      </c>
      <c r="Q556" t="inlineStr">
        <is>
          <t>Urban and regional policy and development studies</t>
        </is>
      </c>
      <c r="R556" t="inlineStr">
        <is>
          <t xml:space="preserve">HN </t>
        </is>
      </c>
      <c r="S556" t="n">
        <v>9</v>
      </c>
      <c r="T556" t="n">
        <v>9</v>
      </c>
      <c r="U556" t="inlineStr">
        <is>
          <t>1996-11-18</t>
        </is>
      </c>
      <c r="V556" t="inlineStr">
        <is>
          <t>1996-11-18</t>
        </is>
      </c>
      <c r="W556" t="inlineStr">
        <is>
          <t>1992-09-29</t>
        </is>
      </c>
      <c r="X556" t="inlineStr">
        <is>
          <t>1992-09-29</t>
        </is>
      </c>
      <c r="Y556" t="n">
        <v>408</v>
      </c>
      <c r="Z556" t="n">
        <v>349</v>
      </c>
      <c r="AA556" t="n">
        <v>356</v>
      </c>
      <c r="AB556" t="n">
        <v>3</v>
      </c>
      <c r="AC556" t="n">
        <v>3</v>
      </c>
      <c r="AD556" t="n">
        <v>16</v>
      </c>
      <c r="AE556" t="n">
        <v>16</v>
      </c>
      <c r="AF556" t="n">
        <v>4</v>
      </c>
      <c r="AG556" t="n">
        <v>4</v>
      </c>
      <c r="AH556" t="n">
        <v>3</v>
      </c>
      <c r="AI556" t="n">
        <v>3</v>
      </c>
      <c r="AJ556" t="n">
        <v>8</v>
      </c>
      <c r="AK556" t="n">
        <v>8</v>
      </c>
      <c r="AL556" t="n">
        <v>2</v>
      </c>
      <c r="AM556" t="n">
        <v>2</v>
      </c>
      <c r="AN556" t="n">
        <v>3</v>
      </c>
      <c r="AO556" t="n">
        <v>3</v>
      </c>
      <c r="AP556" t="inlineStr">
        <is>
          <t>No</t>
        </is>
      </c>
      <c r="AQ556" t="inlineStr">
        <is>
          <t>Yes</t>
        </is>
      </c>
      <c r="AR556">
        <f>HYPERLINK("http://catalog.hathitrust.org/Record/000371775","HathiTrust Record")</f>
        <v/>
      </c>
      <c r="AS556">
        <f>HYPERLINK("https://creighton-primo.hosted.exlibrisgroup.com/primo-explore/search?tab=default_tab&amp;search_scope=EVERYTHING&amp;vid=01CRU&amp;lang=en_US&amp;offset=0&amp;query=any,contains,991000480199702656","Catalog Record")</f>
        <v/>
      </c>
      <c r="AT556">
        <f>HYPERLINK("http://www.worldcat.org/oclc/11045170","WorldCat Record")</f>
        <v/>
      </c>
      <c r="AU556" t="inlineStr">
        <is>
          <t>4091351:eng</t>
        </is>
      </c>
      <c r="AV556" t="inlineStr">
        <is>
          <t>11045170</t>
        </is>
      </c>
      <c r="AW556" t="inlineStr">
        <is>
          <t>991000480199702656</t>
        </is>
      </c>
      <c r="AX556" t="inlineStr">
        <is>
          <t>991000480199702656</t>
        </is>
      </c>
      <c r="AY556" t="inlineStr">
        <is>
          <t>2260444070002656</t>
        </is>
      </c>
      <c r="AZ556" t="inlineStr">
        <is>
          <t>BOOK</t>
        </is>
      </c>
      <c r="BB556" t="inlineStr">
        <is>
          <t>9780807841334</t>
        </is>
      </c>
      <c r="BC556" t="inlineStr">
        <is>
          <t>32285001355873</t>
        </is>
      </c>
      <c r="BD556" t="inlineStr">
        <is>
          <t>893444335</t>
        </is>
      </c>
    </row>
    <row r="557">
      <c r="A557" t="inlineStr">
        <is>
          <t>No</t>
        </is>
      </c>
      <c r="B557" t="inlineStr">
        <is>
          <t>HN90.C6 T75 1997</t>
        </is>
      </c>
      <c r="C557" t="inlineStr">
        <is>
          <t>0                      HN 0090000C  6                  T  75          1997</t>
        </is>
      </c>
      <c r="D557" t="inlineStr">
        <is>
          <t>Successful community leadership : a skills guide for volunteers and professionals / John E. Tropman.</t>
        </is>
      </c>
      <c r="F557" t="inlineStr">
        <is>
          <t>No</t>
        </is>
      </c>
      <c r="G557" t="inlineStr">
        <is>
          <t>1</t>
        </is>
      </c>
      <c r="H557" t="inlineStr">
        <is>
          <t>No</t>
        </is>
      </c>
      <c r="I557" t="inlineStr">
        <is>
          <t>No</t>
        </is>
      </c>
      <c r="J557" t="inlineStr">
        <is>
          <t>0</t>
        </is>
      </c>
      <c r="K557" t="inlineStr">
        <is>
          <t>Tropman, John E.</t>
        </is>
      </c>
      <c r="L557" t="inlineStr">
        <is>
          <t>Washington, DC : National Association of Social Workers, c1997.</t>
        </is>
      </c>
      <c r="M557" t="inlineStr">
        <is>
          <t>1997</t>
        </is>
      </c>
      <c r="O557" t="inlineStr">
        <is>
          <t>eng</t>
        </is>
      </c>
      <c r="P557" t="inlineStr">
        <is>
          <t>dcu</t>
        </is>
      </c>
      <c r="R557" t="inlineStr">
        <is>
          <t xml:space="preserve">HN </t>
        </is>
      </c>
      <c r="S557" t="n">
        <v>3</v>
      </c>
      <c r="T557" t="n">
        <v>3</v>
      </c>
      <c r="U557" t="inlineStr">
        <is>
          <t>2005-10-26</t>
        </is>
      </c>
      <c r="V557" t="inlineStr">
        <is>
          <t>2005-10-26</t>
        </is>
      </c>
      <c r="W557" t="inlineStr">
        <is>
          <t>2000-01-11</t>
        </is>
      </c>
      <c r="X557" t="inlineStr">
        <is>
          <t>2000-01-11</t>
        </is>
      </c>
      <c r="Y557" t="n">
        <v>373</v>
      </c>
      <c r="Z557" t="n">
        <v>328</v>
      </c>
      <c r="AA557" t="n">
        <v>330</v>
      </c>
      <c r="AB557" t="n">
        <v>4</v>
      </c>
      <c r="AC557" t="n">
        <v>4</v>
      </c>
      <c r="AD557" t="n">
        <v>16</v>
      </c>
      <c r="AE557" t="n">
        <v>16</v>
      </c>
      <c r="AF557" t="n">
        <v>4</v>
      </c>
      <c r="AG557" t="n">
        <v>4</v>
      </c>
      <c r="AH557" t="n">
        <v>4</v>
      </c>
      <c r="AI557" t="n">
        <v>4</v>
      </c>
      <c r="AJ557" t="n">
        <v>7</v>
      </c>
      <c r="AK557" t="n">
        <v>7</v>
      </c>
      <c r="AL557" t="n">
        <v>3</v>
      </c>
      <c r="AM557" t="n">
        <v>3</v>
      </c>
      <c r="AN557" t="n">
        <v>0</v>
      </c>
      <c r="AO557" t="n">
        <v>0</v>
      </c>
      <c r="AP557" t="inlineStr">
        <is>
          <t>No</t>
        </is>
      </c>
      <c r="AQ557" t="inlineStr">
        <is>
          <t>Yes</t>
        </is>
      </c>
      <c r="AR557">
        <f>HYPERLINK("http://catalog.hathitrust.org/Record/003200202","HathiTrust Record")</f>
        <v/>
      </c>
      <c r="AS557">
        <f>HYPERLINK("https://creighton-primo.hosted.exlibrisgroup.com/primo-explore/search?tab=default_tab&amp;search_scope=EVERYTHING&amp;vid=01CRU&amp;lang=en_US&amp;offset=0&amp;query=any,contains,991002844439702656","Catalog Record")</f>
        <v/>
      </c>
      <c r="AT557">
        <f>HYPERLINK("http://www.worldcat.org/oclc/37475108","WorldCat Record")</f>
        <v/>
      </c>
      <c r="AU557" t="inlineStr">
        <is>
          <t>312314635:eng</t>
        </is>
      </c>
      <c r="AV557" t="inlineStr">
        <is>
          <t>37475108</t>
        </is>
      </c>
      <c r="AW557" t="inlineStr">
        <is>
          <t>991002844439702656</t>
        </is>
      </c>
      <c r="AX557" t="inlineStr">
        <is>
          <t>991002844439702656</t>
        </is>
      </c>
      <c r="AY557" t="inlineStr">
        <is>
          <t>2260038690002656</t>
        </is>
      </c>
      <c r="AZ557" t="inlineStr">
        <is>
          <t>BOOK</t>
        </is>
      </c>
      <c r="BB557" t="inlineStr">
        <is>
          <t>9780871012852</t>
        </is>
      </c>
      <c r="BC557" t="inlineStr">
        <is>
          <t>32285003640256</t>
        </is>
      </c>
      <c r="BD557" t="inlineStr">
        <is>
          <t>893786629</t>
        </is>
      </c>
    </row>
    <row r="558">
      <c r="A558" t="inlineStr">
        <is>
          <t>No</t>
        </is>
      </c>
      <c r="B558" t="inlineStr">
        <is>
          <t>HN90.C6 V36 1986</t>
        </is>
      </c>
      <c r="C558" t="inlineStr">
        <is>
          <t>0                      HN 0090000C  6                  V  36          1986</t>
        </is>
      </c>
      <c r="D558" t="inlineStr">
        <is>
          <t>Sustainable communities : a new design synthesis for cities, suburbs, and towns / by Sim Van der Ryn and Peter Calthorpe.</t>
        </is>
      </c>
      <c r="F558" t="inlineStr">
        <is>
          <t>No</t>
        </is>
      </c>
      <c r="G558" t="inlineStr">
        <is>
          <t>1</t>
        </is>
      </c>
      <c r="H558" t="inlineStr">
        <is>
          <t>No</t>
        </is>
      </c>
      <c r="I558" t="inlineStr">
        <is>
          <t>No</t>
        </is>
      </c>
      <c r="J558" t="inlineStr">
        <is>
          <t>0</t>
        </is>
      </c>
      <c r="K558" t="inlineStr">
        <is>
          <t>Van der Ryn, Sim.</t>
        </is>
      </c>
      <c r="L558" t="inlineStr">
        <is>
          <t>San Francisco : Sierra Club Books, c1986.</t>
        </is>
      </c>
      <c r="M558" t="inlineStr">
        <is>
          <t>1986</t>
        </is>
      </c>
      <c r="O558" t="inlineStr">
        <is>
          <t>eng</t>
        </is>
      </c>
      <c r="P558" t="inlineStr">
        <is>
          <t>cau</t>
        </is>
      </c>
      <c r="R558" t="inlineStr">
        <is>
          <t xml:space="preserve">HN </t>
        </is>
      </c>
      <c r="S558" t="n">
        <v>3</v>
      </c>
      <c r="T558" t="n">
        <v>3</v>
      </c>
      <c r="U558" t="inlineStr">
        <is>
          <t>2002-11-04</t>
        </is>
      </c>
      <c r="V558" t="inlineStr">
        <is>
          <t>2002-11-04</t>
        </is>
      </c>
      <c r="W558" t="inlineStr">
        <is>
          <t>1992-09-29</t>
        </is>
      </c>
      <c r="X558" t="inlineStr">
        <is>
          <t>1992-09-29</t>
        </is>
      </c>
      <c r="Y558" t="n">
        <v>545</v>
      </c>
      <c r="Z558" t="n">
        <v>482</v>
      </c>
      <c r="AA558" t="n">
        <v>576</v>
      </c>
      <c r="AB558" t="n">
        <v>4</v>
      </c>
      <c r="AC558" t="n">
        <v>4</v>
      </c>
      <c r="AD558" t="n">
        <v>19</v>
      </c>
      <c r="AE558" t="n">
        <v>26</v>
      </c>
      <c r="AF558" t="n">
        <v>7</v>
      </c>
      <c r="AG558" t="n">
        <v>10</v>
      </c>
      <c r="AH558" t="n">
        <v>4</v>
      </c>
      <c r="AI558" t="n">
        <v>4</v>
      </c>
      <c r="AJ558" t="n">
        <v>8</v>
      </c>
      <c r="AK558" t="n">
        <v>10</v>
      </c>
      <c r="AL558" t="n">
        <v>3</v>
      </c>
      <c r="AM558" t="n">
        <v>3</v>
      </c>
      <c r="AN558" t="n">
        <v>1</v>
      </c>
      <c r="AO558" t="n">
        <v>4</v>
      </c>
      <c r="AP558" t="inlineStr">
        <is>
          <t>No</t>
        </is>
      </c>
      <c r="AQ558" t="inlineStr">
        <is>
          <t>No</t>
        </is>
      </c>
      <c r="AS558">
        <f>HYPERLINK("https://creighton-primo.hosted.exlibrisgroup.com/primo-explore/search?tab=default_tab&amp;search_scope=EVERYTHING&amp;vid=01CRU&amp;lang=en_US&amp;offset=0&amp;query=any,contains,991000187249702656","Catalog Record")</f>
        <v/>
      </c>
      <c r="AT558">
        <f>HYPERLINK("http://www.worldcat.org/oclc/9394364","WorldCat Record")</f>
        <v/>
      </c>
      <c r="AU558" t="inlineStr">
        <is>
          <t>476150306:eng</t>
        </is>
      </c>
      <c r="AV558" t="inlineStr">
        <is>
          <t>9394364</t>
        </is>
      </c>
      <c r="AW558" t="inlineStr">
        <is>
          <t>991000187249702656</t>
        </is>
      </c>
      <c r="AX558" t="inlineStr">
        <is>
          <t>991000187249702656</t>
        </is>
      </c>
      <c r="AY558" t="inlineStr">
        <is>
          <t>2262917270002656</t>
        </is>
      </c>
      <c r="AZ558" t="inlineStr">
        <is>
          <t>BOOK</t>
        </is>
      </c>
      <c r="BB558" t="inlineStr">
        <is>
          <t>9780871568151</t>
        </is>
      </c>
      <c r="BC558" t="inlineStr">
        <is>
          <t>32285001355899</t>
        </is>
      </c>
      <c r="BD558" t="inlineStr">
        <is>
          <t>893508592</t>
        </is>
      </c>
    </row>
    <row r="559">
      <c r="A559" t="inlineStr">
        <is>
          <t>No</t>
        </is>
      </c>
      <c r="B559" t="inlineStr">
        <is>
          <t>HN90.C6 W34</t>
        </is>
      </c>
      <c r="C559" t="inlineStr">
        <is>
          <t>0                      HN 0090000C  6                  W  34</t>
        </is>
      </c>
      <c r="D559" t="inlineStr">
        <is>
          <t>The neighborhood organizer's handbook / Rachelle B. Warren, Donald I. Warren.</t>
        </is>
      </c>
      <c r="F559" t="inlineStr">
        <is>
          <t>No</t>
        </is>
      </c>
      <c r="G559" t="inlineStr">
        <is>
          <t>1</t>
        </is>
      </c>
      <c r="H559" t="inlineStr">
        <is>
          <t>No</t>
        </is>
      </c>
      <c r="I559" t="inlineStr">
        <is>
          <t>No</t>
        </is>
      </c>
      <c r="J559" t="inlineStr">
        <is>
          <t>0</t>
        </is>
      </c>
      <c r="K559" t="inlineStr">
        <is>
          <t>Warren, Rachelle B., 1940-</t>
        </is>
      </c>
      <c r="L559" t="inlineStr">
        <is>
          <t>Notre Dame, Ind. : University of Notre Dame Press, c1977.</t>
        </is>
      </c>
      <c r="M559" t="inlineStr">
        <is>
          <t>1977</t>
        </is>
      </c>
      <c r="O559" t="inlineStr">
        <is>
          <t>eng</t>
        </is>
      </c>
      <c r="P559" t="inlineStr">
        <is>
          <t>inu</t>
        </is>
      </c>
      <c r="R559" t="inlineStr">
        <is>
          <t xml:space="preserve">HN </t>
        </is>
      </c>
      <c r="S559" t="n">
        <v>4</v>
      </c>
      <c r="T559" t="n">
        <v>4</v>
      </c>
      <c r="U559" t="inlineStr">
        <is>
          <t>2002-11-29</t>
        </is>
      </c>
      <c r="V559" t="inlineStr">
        <is>
          <t>2002-11-29</t>
        </is>
      </c>
      <c r="W559" t="inlineStr">
        <is>
          <t>1993-07-06</t>
        </is>
      </c>
      <c r="X559" t="inlineStr">
        <is>
          <t>1993-07-06</t>
        </is>
      </c>
      <c r="Y559" t="n">
        <v>592</v>
      </c>
      <c r="Z559" t="n">
        <v>524</v>
      </c>
      <c r="AA559" t="n">
        <v>549</v>
      </c>
      <c r="AB559" t="n">
        <v>4</v>
      </c>
      <c r="AC559" t="n">
        <v>4</v>
      </c>
      <c r="AD559" t="n">
        <v>22</v>
      </c>
      <c r="AE559" t="n">
        <v>22</v>
      </c>
      <c r="AF559" t="n">
        <v>11</v>
      </c>
      <c r="AG559" t="n">
        <v>11</v>
      </c>
      <c r="AH559" t="n">
        <v>3</v>
      </c>
      <c r="AI559" t="n">
        <v>3</v>
      </c>
      <c r="AJ559" t="n">
        <v>11</v>
      </c>
      <c r="AK559" t="n">
        <v>11</v>
      </c>
      <c r="AL559" t="n">
        <v>1</v>
      </c>
      <c r="AM559" t="n">
        <v>1</v>
      </c>
      <c r="AN559" t="n">
        <v>1</v>
      </c>
      <c r="AO559" t="n">
        <v>1</v>
      </c>
      <c r="AP559" t="inlineStr">
        <is>
          <t>No</t>
        </is>
      </c>
      <c r="AQ559" t="inlineStr">
        <is>
          <t>Yes</t>
        </is>
      </c>
      <c r="AR559">
        <f>HYPERLINK("http://catalog.hathitrust.org/Record/000170410","HathiTrust Record")</f>
        <v/>
      </c>
      <c r="AS559">
        <f>HYPERLINK("https://creighton-primo.hosted.exlibrisgroup.com/primo-explore/search?tab=default_tab&amp;search_scope=EVERYTHING&amp;vid=01CRU&amp;lang=en_US&amp;offset=0&amp;query=any,contains,991004210269702656","Catalog Record")</f>
        <v/>
      </c>
      <c r="AT559">
        <f>HYPERLINK("http://www.worldcat.org/oclc/2680927","WorldCat Record")</f>
        <v/>
      </c>
      <c r="AU559" t="inlineStr">
        <is>
          <t>430639:eng</t>
        </is>
      </c>
      <c r="AV559" t="inlineStr">
        <is>
          <t>2680927</t>
        </is>
      </c>
      <c r="AW559" t="inlineStr">
        <is>
          <t>991004210269702656</t>
        </is>
      </c>
      <c r="AX559" t="inlineStr">
        <is>
          <t>991004210269702656</t>
        </is>
      </c>
      <c r="AY559" t="inlineStr">
        <is>
          <t>2265922570002656</t>
        </is>
      </c>
      <c r="AZ559" t="inlineStr">
        <is>
          <t>BOOK</t>
        </is>
      </c>
      <c r="BB559" t="inlineStr">
        <is>
          <t>9780268014476</t>
        </is>
      </c>
      <c r="BC559" t="inlineStr">
        <is>
          <t>32285001720324</t>
        </is>
      </c>
      <c r="BD559" t="inlineStr">
        <is>
          <t>893343580</t>
        </is>
      </c>
    </row>
    <row r="560">
      <c r="A560" t="inlineStr">
        <is>
          <t>No</t>
        </is>
      </c>
      <c r="B560" t="inlineStr">
        <is>
          <t>HN90.E4 B76 2000</t>
        </is>
      </c>
      <c r="C560" t="inlineStr">
        <is>
          <t>0                      HN 0090000E  4                  B  76          2000</t>
        </is>
      </c>
      <c r="D560" t="inlineStr">
        <is>
          <t>Bobos in paradise : the new upper class and how they got there / David Brooks.</t>
        </is>
      </c>
      <c r="F560" t="inlineStr">
        <is>
          <t>No</t>
        </is>
      </c>
      <c r="G560" t="inlineStr">
        <is>
          <t>1</t>
        </is>
      </c>
      <c r="H560" t="inlineStr">
        <is>
          <t>No</t>
        </is>
      </c>
      <c r="I560" t="inlineStr">
        <is>
          <t>No</t>
        </is>
      </c>
      <c r="J560" t="inlineStr">
        <is>
          <t>0</t>
        </is>
      </c>
      <c r="K560" t="inlineStr">
        <is>
          <t>Brooks, David, 1961-</t>
        </is>
      </c>
      <c r="L560" t="inlineStr">
        <is>
          <t>New York : Simon &amp; Schuster, c2000.</t>
        </is>
      </c>
      <c r="M560" t="inlineStr">
        <is>
          <t>2000</t>
        </is>
      </c>
      <c r="O560" t="inlineStr">
        <is>
          <t>eng</t>
        </is>
      </c>
      <c r="P560" t="inlineStr">
        <is>
          <t>nyu</t>
        </is>
      </c>
      <c r="R560" t="inlineStr">
        <is>
          <t xml:space="preserve">HN </t>
        </is>
      </c>
      <c r="S560" t="n">
        <v>8</v>
      </c>
      <c r="T560" t="n">
        <v>8</v>
      </c>
      <c r="U560" t="inlineStr">
        <is>
          <t>2004-09-25</t>
        </is>
      </c>
      <c r="V560" t="inlineStr">
        <is>
          <t>2004-09-25</t>
        </is>
      </c>
      <c r="W560" t="inlineStr">
        <is>
          <t>2000-10-26</t>
        </is>
      </c>
      <c r="X560" t="inlineStr">
        <is>
          <t>2000-10-26</t>
        </is>
      </c>
      <c r="Y560" t="n">
        <v>1679</v>
      </c>
      <c r="Z560" t="n">
        <v>1533</v>
      </c>
      <c r="AA560" t="n">
        <v>1716</v>
      </c>
      <c r="AB560" t="n">
        <v>9</v>
      </c>
      <c r="AC560" t="n">
        <v>9</v>
      </c>
      <c r="AD560" t="n">
        <v>37</v>
      </c>
      <c r="AE560" t="n">
        <v>38</v>
      </c>
      <c r="AF560" t="n">
        <v>15</v>
      </c>
      <c r="AG560" t="n">
        <v>16</v>
      </c>
      <c r="AH560" t="n">
        <v>7</v>
      </c>
      <c r="AI560" t="n">
        <v>7</v>
      </c>
      <c r="AJ560" t="n">
        <v>16</v>
      </c>
      <c r="AK560" t="n">
        <v>16</v>
      </c>
      <c r="AL560" t="n">
        <v>5</v>
      </c>
      <c r="AM560" t="n">
        <v>5</v>
      </c>
      <c r="AN560" t="n">
        <v>1</v>
      </c>
      <c r="AO560" t="n">
        <v>1</v>
      </c>
      <c r="AP560" t="inlineStr">
        <is>
          <t>No</t>
        </is>
      </c>
      <c r="AQ560" t="inlineStr">
        <is>
          <t>No</t>
        </is>
      </c>
      <c r="AS560">
        <f>HYPERLINK("https://creighton-primo.hosted.exlibrisgroup.com/primo-explore/search?tab=default_tab&amp;search_scope=EVERYTHING&amp;vid=01CRU&amp;lang=en_US&amp;offset=0&amp;query=any,contains,991003316209702656","Catalog Record")</f>
        <v/>
      </c>
      <c r="AT560">
        <f>HYPERLINK("http://www.worldcat.org/oclc/42952723","WorldCat Record")</f>
        <v/>
      </c>
      <c r="AU560" t="inlineStr">
        <is>
          <t>2687105:eng</t>
        </is>
      </c>
      <c r="AV560" t="inlineStr">
        <is>
          <t>42952723</t>
        </is>
      </c>
      <c r="AW560" t="inlineStr">
        <is>
          <t>991003316209702656</t>
        </is>
      </c>
      <c r="AX560" t="inlineStr">
        <is>
          <t>991003316209702656</t>
        </is>
      </c>
      <c r="AY560" t="inlineStr">
        <is>
          <t>2260249000002656</t>
        </is>
      </c>
      <c r="AZ560" t="inlineStr">
        <is>
          <t>BOOK</t>
        </is>
      </c>
      <c r="BB560" t="inlineStr">
        <is>
          <t>9780684853772</t>
        </is>
      </c>
      <c r="BC560" t="inlineStr">
        <is>
          <t>32285004260682</t>
        </is>
      </c>
      <c r="BD560" t="inlineStr">
        <is>
          <t>893598468</t>
        </is>
      </c>
    </row>
    <row r="561">
      <c r="A561" t="inlineStr">
        <is>
          <t>No</t>
        </is>
      </c>
      <c r="B561" t="inlineStr">
        <is>
          <t>HN90.E4 D65 1978</t>
        </is>
      </c>
      <c r="C561" t="inlineStr">
        <is>
          <t>0                      HN 0090000E  4                  D  65          1978</t>
        </is>
      </c>
      <c r="D561" t="inlineStr">
        <is>
          <t>The powers that be : processes of ruling-class domination in America / G. William Domhoff.</t>
        </is>
      </c>
      <c r="F561" t="inlineStr">
        <is>
          <t>No</t>
        </is>
      </c>
      <c r="G561" t="inlineStr">
        <is>
          <t>1</t>
        </is>
      </c>
      <c r="H561" t="inlineStr">
        <is>
          <t>No</t>
        </is>
      </c>
      <c r="I561" t="inlineStr">
        <is>
          <t>No</t>
        </is>
      </c>
      <c r="J561" t="inlineStr">
        <is>
          <t>0</t>
        </is>
      </c>
      <c r="K561" t="inlineStr">
        <is>
          <t>Domhoff, G. William.</t>
        </is>
      </c>
      <c r="L561" t="inlineStr">
        <is>
          <t>New York : Random House, c1978.</t>
        </is>
      </c>
      <c r="M561" t="inlineStr">
        <is>
          <t>1978</t>
        </is>
      </c>
      <c r="N561" t="inlineStr">
        <is>
          <t>1st ed.</t>
        </is>
      </c>
      <c r="O561" t="inlineStr">
        <is>
          <t>eng</t>
        </is>
      </c>
      <c r="P561" t="inlineStr">
        <is>
          <t>nyu</t>
        </is>
      </c>
      <c r="R561" t="inlineStr">
        <is>
          <t xml:space="preserve">HN </t>
        </is>
      </c>
      <c r="S561" t="n">
        <v>2</v>
      </c>
      <c r="T561" t="n">
        <v>2</v>
      </c>
      <c r="U561" t="inlineStr">
        <is>
          <t>1999-04-22</t>
        </is>
      </c>
      <c r="V561" t="inlineStr">
        <is>
          <t>1999-04-22</t>
        </is>
      </c>
      <c r="W561" t="inlineStr">
        <is>
          <t>1992-09-29</t>
        </is>
      </c>
      <c r="X561" t="inlineStr">
        <is>
          <t>1992-09-29</t>
        </is>
      </c>
      <c r="Y561" t="n">
        <v>612</v>
      </c>
      <c r="Z561" t="n">
        <v>555</v>
      </c>
      <c r="AA561" t="n">
        <v>781</v>
      </c>
      <c r="AB561" t="n">
        <v>4</v>
      </c>
      <c r="AC561" t="n">
        <v>5</v>
      </c>
      <c r="AD561" t="n">
        <v>30</v>
      </c>
      <c r="AE561" t="n">
        <v>35</v>
      </c>
      <c r="AF561" t="n">
        <v>10</v>
      </c>
      <c r="AG561" t="n">
        <v>12</v>
      </c>
      <c r="AH561" t="n">
        <v>6</v>
      </c>
      <c r="AI561" t="n">
        <v>7</v>
      </c>
      <c r="AJ561" t="n">
        <v>11</v>
      </c>
      <c r="AK561" t="n">
        <v>14</v>
      </c>
      <c r="AL561" t="n">
        <v>3</v>
      </c>
      <c r="AM561" t="n">
        <v>4</v>
      </c>
      <c r="AN561" t="n">
        <v>4</v>
      </c>
      <c r="AO561" t="n">
        <v>4</v>
      </c>
      <c r="AP561" t="inlineStr">
        <is>
          <t>No</t>
        </is>
      </c>
      <c r="AQ561" t="inlineStr">
        <is>
          <t>Yes</t>
        </is>
      </c>
      <c r="AR561">
        <f>HYPERLINK("http://catalog.hathitrust.org/Record/000176448","HathiTrust Record")</f>
        <v/>
      </c>
      <c r="AS561">
        <f>HYPERLINK("https://creighton-primo.hosted.exlibrisgroup.com/primo-explore/search?tab=default_tab&amp;search_scope=EVERYTHING&amp;vid=01CRU&amp;lang=en_US&amp;offset=0&amp;query=any,contains,991004562569702656","Catalog Record")</f>
        <v/>
      </c>
      <c r="AT561">
        <f>HYPERLINK("http://www.worldcat.org/oclc/4003678","WorldCat Record")</f>
        <v/>
      </c>
      <c r="AU561" t="inlineStr">
        <is>
          <t>462552:eng</t>
        </is>
      </c>
      <c r="AV561" t="inlineStr">
        <is>
          <t>4003678</t>
        </is>
      </c>
      <c r="AW561" t="inlineStr">
        <is>
          <t>991004562569702656</t>
        </is>
      </c>
      <c r="AX561" t="inlineStr">
        <is>
          <t>991004562569702656</t>
        </is>
      </c>
      <c r="AY561" t="inlineStr">
        <is>
          <t>2267726750002656</t>
        </is>
      </c>
      <c r="AZ561" t="inlineStr">
        <is>
          <t>BOOK</t>
        </is>
      </c>
      <c r="BB561" t="inlineStr">
        <is>
          <t>9780394496047</t>
        </is>
      </c>
      <c r="BC561" t="inlineStr">
        <is>
          <t>32285001355915</t>
        </is>
      </c>
      <c r="BD561" t="inlineStr">
        <is>
          <t>893513397</t>
        </is>
      </c>
    </row>
    <row r="562">
      <c r="A562" t="inlineStr">
        <is>
          <t>No</t>
        </is>
      </c>
      <c r="B562" t="inlineStr">
        <is>
          <t>HN90.E4 D6515 1996</t>
        </is>
      </c>
      <c r="C562" t="inlineStr">
        <is>
          <t>0                      HN 0090000E  4                  D  6515        1996</t>
        </is>
      </c>
      <c r="D562" t="inlineStr">
        <is>
          <t>State autonomy or class dominance? : case studies on policy making in America / G. William Domhoff.</t>
        </is>
      </c>
      <c r="F562" t="inlineStr">
        <is>
          <t>No</t>
        </is>
      </c>
      <c r="G562" t="inlineStr">
        <is>
          <t>1</t>
        </is>
      </c>
      <c r="H562" t="inlineStr">
        <is>
          <t>No</t>
        </is>
      </c>
      <c r="I562" t="inlineStr">
        <is>
          <t>No</t>
        </is>
      </c>
      <c r="J562" t="inlineStr">
        <is>
          <t>0</t>
        </is>
      </c>
      <c r="K562" t="inlineStr">
        <is>
          <t>Domhoff, G. William.</t>
        </is>
      </c>
      <c r="L562" t="inlineStr">
        <is>
          <t>New York : Aldine de Gruyter, c1996.</t>
        </is>
      </c>
      <c r="M562" t="inlineStr">
        <is>
          <t>1996</t>
        </is>
      </c>
      <c r="O562" t="inlineStr">
        <is>
          <t>eng</t>
        </is>
      </c>
      <c r="P562" t="inlineStr">
        <is>
          <t>nyu</t>
        </is>
      </c>
      <c r="Q562" t="inlineStr">
        <is>
          <t>Social institutions and social change</t>
        </is>
      </c>
      <c r="R562" t="inlineStr">
        <is>
          <t xml:space="preserve">HN </t>
        </is>
      </c>
      <c r="S562" t="n">
        <v>7</v>
      </c>
      <c r="T562" t="n">
        <v>7</v>
      </c>
      <c r="U562" t="inlineStr">
        <is>
          <t>1999-04-22</t>
        </is>
      </c>
      <c r="V562" t="inlineStr">
        <is>
          <t>1999-04-22</t>
        </is>
      </c>
      <c r="W562" t="inlineStr">
        <is>
          <t>1996-05-28</t>
        </is>
      </c>
      <c r="X562" t="inlineStr">
        <is>
          <t>1996-05-28</t>
        </is>
      </c>
      <c r="Y562" t="n">
        <v>415</v>
      </c>
      <c r="Z562" t="n">
        <v>349</v>
      </c>
      <c r="AA562" t="n">
        <v>354</v>
      </c>
      <c r="AB562" t="n">
        <v>4</v>
      </c>
      <c r="AC562" t="n">
        <v>4</v>
      </c>
      <c r="AD562" t="n">
        <v>20</v>
      </c>
      <c r="AE562" t="n">
        <v>20</v>
      </c>
      <c r="AF562" t="n">
        <v>5</v>
      </c>
      <c r="AG562" t="n">
        <v>5</v>
      </c>
      <c r="AH562" t="n">
        <v>5</v>
      </c>
      <c r="AI562" t="n">
        <v>5</v>
      </c>
      <c r="AJ562" t="n">
        <v>11</v>
      </c>
      <c r="AK562" t="n">
        <v>11</v>
      </c>
      <c r="AL562" t="n">
        <v>3</v>
      </c>
      <c r="AM562" t="n">
        <v>3</v>
      </c>
      <c r="AN562" t="n">
        <v>1</v>
      </c>
      <c r="AO562" t="n">
        <v>1</v>
      </c>
      <c r="AP562" t="inlineStr">
        <is>
          <t>No</t>
        </is>
      </c>
      <c r="AQ562" t="inlineStr">
        <is>
          <t>No</t>
        </is>
      </c>
      <c r="AS562">
        <f>HYPERLINK("https://creighton-primo.hosted.exlibrisgroup.com/primo-explore/search?tab=default_tab&amp;search_scope=EVERYTHING&amp;vid=01CRU&amp;lang=en_US&amp;offset=0&amp;query=any,contains,991002554429702656","Catalog Record")</f>
        <v/>
      </c>
      <c r="AT562">
        <f>HYPERLINK("http://www.worldcat.org/oclc/33207519","WorldCat Record")</f>
        <v/>
      </c>
      <c r="AU562" t="inlineStr">
        <is>
          <t>892715509:eng</t>
        </is>
      </c>
      <c r="AV562" t="inlineStr">
        <is>
          <t>33207519</t>
        </is>
      </c>
      <c r="AW562" t="inlineStr">
        <is>
          <t>991002554429702656</t>
        </is>
      </c>
      <c r="AX562" t="inlineStr">
        <is>
          <t>991002554429702656</t>
        </is>
      </c>
      <c r="AY562" t="inlineStr">
        <is>
          <t>2263906520002656</t>
        </is>
      </c>
      <c r="AZ562" t="inlineStr">
        <is>
          <t>BOOK</t>
        </is>
      </c>
      <c r="BB562" t="inlineStr">
        <is>
          <t>9780202305110</t>
        </is>
      </c>
      <c r="BC562" t="inlineStr">
        <is>
          <t>32285002178134</t>
        </is>
      </c>
      <c r="BD562" t="inlineStr">
        <is>
          <t>893716605</t>
        </is>
      </c>
    </row>
    <row r="563">
      <c r="A563" t="inlineStr">
        <is>
          <t>No</t>
        </is>
      </c>
      <c r="B563" t="inlineStr">
        <is>
          <t>HN90.E4 D652 2002</t>
        </is>
      </c>
      <c r="C563" t="inlineStr">
        <is>
          <t>0                      HN 0090000E  4                  D  652         2002</t>
        </is>
      </c>
      <c r="D563" t="inlineStr">
        <is>
          <t>Who rules America? : power and politics / G. William Domhoff.</t>
        </is>
      </c>
      <c r="F563" t="inlineStr">
        <is>
          <t>No</t>
        </is>
      </c>
      <c r="G563" t="inlineStr">
        <is>
          <t>1</t>
        </is>
      </c>
      <c r="H563" t="inlineStr">
        <is>
          <t>No</t>
        </is>
      </c>
      <c r="I563" t="inlineStr">
        <is>
          <t>No</t>
        </is>
      </c>
      <c r="J563" t="inlineStr">
        <is>
          <t>0</t>
        </is>
      </c>
      <c r="K563" t="inlineStr">
        <is>
          <t>Domhoff, G. William.</t>
        </is>
      </c>
      <c r="L563" t="inlineStr">
        <is>
          <t>Boston : McGraw Hill, c2002.</t>
        </is>
      </c>
      <c r="M563" t="inlineStr">
        <is>
          <t>2002</t>
        </is>
      </c>
      <c r="N563" t="inlineStr">
        <is>
          <t>4th ed.</t>
        </is>
      </c>
      <c r="O563" t="inlineStr">
        <is>
          <t>eng</t>
        </is>
      </c>
      <c r="P563" t="inlineStr">
        <is>
          <t>mau</t>
        </is>
      </c>
      <c r="R563" t="inlineStr">
        <is>
          <t xml:space="preserve">HN </t>
        </is>
      </c>
      <c r="S563" t="n">
        <v>11</v>
      </c>
      <c r="T563" t="n">
        <v>11</v>
      </c>
      <c r="U563" t="inlineStr">
        <is>
          <t>2008-11-21</t>
        </is>
      </c>
      <c r="V563" t="inlineStr">
        <is>
          <t>2008-11-21</t>
        </is>
      </c>
      <c r="W563" t="inlineStr">
        <is>
          <t>2002-04-08</t>
        </is>
      </c>
      <c r="X563" t="inlineStr">
        <is>
          <t>2002-04-08</t>
        </is>
      </c>
      <c r="Y563" t="n">
        <v>216</v>
      </c>
      <c r="Z563" t="n">
        <v>194</v>
      </c>
      <c r="AA563" t="n">
        <v>339</v>
      </c>
      <c r="AB563" t="n">
        <v>1</v>
      </c>
      <c r="AC563" t="n">
        <v>2</v>
      </c>
      <c r="AD563" t="n">
        <v>5</v>
      </c>
      <c r="AE563" t="n">
        <v>12</v>
      </c>
      <c r="AF563" t="n">
        <v>3</v>
      </c>
      <c r="AG563" t="n">
        <v>5</v>
      </c>
      <c r="AH563" t="n">
        <v>1</v>
      </c>
      <c r="AI563" t="n">
        <v>4</v>
      </c>
      <c r="AJ563" t="n">
        <v>2</v>
      </c>
      <c r="AK563" t="n">
        <v>5</v>
      </c>
      <c r="AL563" t="n">
        <v>0</v>
      </c>
      <c r="AM563" t="n">
        <v>1</v>
      </c>
      <c r="AN563" t="n">
        <v>0</v>
      </c>
      <c r="AO563" t="n">
        <v>0</v>
      </c>
      <c r="AP563" t="inlineStr">
        <is>
          <t>No</t>
        </is>
      </c>
      <c r="AQ563" t="inlineStr">
        <is>
          <t>No</t>
        </is>
      </c>
      <c r="AS563">
        <f>HYPERLINK("https://creighton-primo.hosted.exlibrisgroup.com/primo-explore/search?tab=default_tab&amp;search_scope=EVERYTHING&amp;vid=01CRU&amp;lang=en_US&amp;offset=0&amp;query=any,contains,991003763539702656","Catalog Record")</f>
        <v/>
      </c>
      <c r="AT563">
        <f>HYPERLINK("http://www.worldcat.org/oclc/45958047","WorldCat Record")</f>
        <v/>
      </c>
      <c r="AU563" t="inlineStr">
        <is>
          <t>3901431236:eng</t>
        </is>
      </c>
      <c r="AV563" t="inlineStr">
        <is>
          <t>45958047</t>
        </is>
      </c>
      <c r="AW563" t="inlineStr">
        <is>
          <t>991003763539702656</t>
        </is>
      </c>
      <c r="AX563" t="inlineStr">
        <is>
          <t>991003763539702656</t>
        </is>
      </c>
      <c r="AY563" t="inlineStr">
        <is>
          <t>2261411330002656</t>
        </is>
      </c>
      <c r="AZ563" t="inlineStr">
        <is>
          <t>BOOK</t>
        </is>
      </c>
      <c r="BB563" t="inlineStr">
        <is>
          <t>9780767416375</t>
        </is>
      </c>
      <c r="BC563" t="inlineStr">
        <is>
          <t>32285004477435</t>
        </is>
      </c>
      <c r="BD563" t="inlineStr">
        <is>
          <t>893435405</t>
        </is>
      </c>
    </row>
    <row r="564">
      <c r="A564" t="inlineStr">
        <is>
          <t>No</t>
        </is>
      </c>
      <c r="B564" t="inlineStr">
        <is>
          <t>HN90.E4 D93</t>
        </is>
      </c>
      <c r="C564" t="inlineStr">
        <is>
          <t>0                      HN 0090000E  4                  D  93</t>
        </is>
      </c>
      <c r="D564" t="inlineStr">
        <is>
          <t>Who's running America? : Institutional leadership in the United States / Thomas R. Dye.</t>
        </is>
      </c>
      <c r="F564" t="inlineStr">
        <is>
          <t>No</t>
        </is>
      </c>
      <c r="G564" t="inlineStr">
        <is>
          <t>1</t>
        </is>
      </c>
      <c r="H564" t="inlineStr">
        <is>
          <t>No</t>
        </is>
      </c>
      <c r="I564" t="inlineStr">
        <is>
          <t>No</t>
        </is>
      </c>
      <c r="J564" t="inlineStr">
        <is>
          <t>0</t>
        </is>
      </c>
      <c r="K564" t="inlineStr">
        <is>
          <t>Dye, Thomas R.</t>
        </is>
      </c>
      <c r="L564" t="inlineStr">
        <is>
          <t>Englewood Cliffs, N.J. : Prentice-Hall, c1976.</t>
        </is>
      </c>
      <c r="M564" t="inlineStr">
        <is>
          <t>1976</t>
        </is>
      </c>
      <c r="O564" t="inlineStr">
        <is>
          <t>eng</t>
        </is>
      </c>
      <c r="P564" t="inlineStr">
        <is>
          <t>nju</t>
        </is>
      </c>
      <c r="R564" t="inlineStr">
        <is>
          <t xml:space="preserve">HN </t>
        </is>
      </c>
      <c r="S564" t="n">
        <v>2</v>
      </c>
      <c r="T564" t="n">
        <v>2</v>
      </c>
      <c r="U564" t="inlineStr">
        <is>
          <t>1994-11-18</t>
        </is>
      </c>
      <c r="V564" t="inlineStr">
        <is>
          <t>1994-11-18</t>
        </is>
      </c>
      <c r="W564" t="inlineStr">
        <is>
          <t>1992-04-15</t>
        </is>
      </c>
      <c r="X564" t="inlineStr">
        <is>
          <t>1992-04-15</t>
        </is>
      </c>
      <c r="Y564" t="n">
        <v>678</v>
      </c>
      <c r="Z564" t="n">
        <v>590</v>
      </c>
      <c r="AA564" t="n">
        <v>597</v>
      </c>
      <c r="AB564" t="n">
        <v>6</v>
      </c>
      <c r="AC564" t="n">
        <v>6</v>
      </c>
      <c r="AD564" t="n">
        <v>24</v>
      </c>
      <c r="AE564" t="n">
        <v>24</v>
      </c>
      <c r="AF564" t="n">
        <v>9</v>
      </c>
      <c r="AG564" t="n">
        <v>9</v>
      </c>
      <c r="AH564" t="n">
        <v>7</v>
      </c>
      <c r="AI564" t="n">
        <v>7</v>
      </c>
      <c r="AJ564" t="n">
        <v>9</v>
      </c>
      <c r="AK564" t="n">
        <v>9</v>
      </c>
      <c r="AL564" t="n">
        <v>5</v>
      </c>
      <c r="AM564" t="n">
        <v>5</v>
      </c>
      <c r="AN564" t="n">
        <v>0</v>
      </c>
      <c r="AO564" t="n">
        <v>0</v>
      </c>
      <c r="AP564" t="inlineStr">
        <is>
          <t>No</t>
        </is>
      </c>
      <c r="AQ564" t="inlineStr">
        <is>
          <t>Yes</t>
        </is>
      </c>
      <c r="AR564">
        <f>HYPERLINK("http://catalog.hathitrust.org/Record/000710397","HathiTrust Record")</f>
        <v/>
      </c>
      <c r="AS564">
        <f>HYPERLINK("https://creighton-primo.hosted.exlibrisgroup.com/primo-explore/search?tab=default_tab&amp;search_scope=EVERYTHING&amp;vid=01CRU&amp;lang=en_US&amp;offset=0&amp;query=any,contains,991003953239702656","Catalog Record")</f>
        <v/>
      </c>
      <c r="AT564">
        <f>HYPERLINK("http://www.worldcat.org/oclc/1959539","WorldCat Record")</f>
        <v/>
      </c>
      <c r="AU564" t="inlineStr">
        <is>
          <t>3901256945:eng</t>
        </is>
      </c>
      <c r="AV564" t="inlineStr">
        <is>
          <t>1959539</t>
        </is>
      </c>
      <c r="AW564" t="inlineStr">
        <is>
          <t>991003953239702656</t>
        </is>
      </c>
      <c r="AX564" t="inlineStr">
        <is>
          <t>991003953239702656</t>
        </is>
      </c>
      <c r="AY564" t="inlineStr">
        <is>
          <t>2266081670002656</t>
        </is>
      </c>
      <c r="AZ564" t="inlineStr">
        <is>
          <t>BOOK</t>
        </is>
      </c>
      <c r="BB564" t="inlineStr">
        <is>
          <t>9780139583971</t>
        </is>
      </c>
      <c r="BC564" t="inlineStr">
        <is>
          <t>32285001061083</t>
        </is>
      </c>
      <c r="BD564" t="inlineStr">
        <is>
          <t>893693360</t>
        </is>
      </c>
    </row>
    <row r="565">
      <c r="A565" t="inlineStr">
        <is>
          <t>No</t>
        </is>
      </c>
      <c r="B565" t="inlineStr">
        <is>
          <t>HN90.E4 H45 1995</t>
        </is>
      </c>
      <c r="C565" t="inlineStr">
        <is>
          <t>0                      HN 0090000E  4                  H  45          1995</t>
        </is>
      </c>
      <c r="D565" t="inlineStr">
        <is>
          <t>In defense of elitism / William A. Henry III</t>
        </is>
      </c>
      <c r="F565" t="inlineStr">
        <is>
          <t>No</t>
        </is>
      </c>
      <c r="G565" t="inlineStr">
        <is>
          <t>1</t>
        </is>
      </c>
      <c r="H565" t="inlineStr">
        <is>
          <t>No</t>
        </is>
      </c>
      <c r="I565" t="inlineStr">
        <is>
          <t>No</t>
        </is>
      </c>
      <c r="J565" t="inlineStr">
        <is>
          <t>0</t>
        </is>
      </c>
      <c r="K565" t="inlineStr">
        <is>
          <t>Henry, William A., 1950-</t>
        </is>
      </c>
      <c r="L565" t="inlineStr">
        <is>
          <t>New York : Anchor Books, 1995, c1994.</t>
        </is>
      </c>
      <c r="M565" t="inlineStr">
        <is>
          <t>1995</t>
        </is>
      </c>
      <c r="O565" t="inlineStr">
        <is>
          <t>eng</t>
        </is>
      </c>
      <c r="P565" t="inlineStr">
        <is>
          <t>nyu</t>
        </is>
      </c>
      <c r="R565" t="inlineStr">
        <is>
          <t xml:space="preserve">HN </t>
        </is>
      </c>
      <c r="S565" t="n">
        <v>13</v>
      </c>
      <c r="T565" t="n">
        <v>13</v>
      </c>
      <c r="U565" t="inlineStr">
        <is>
          <t>2007-01-22</t>
        </is>
      </c>
      <c r="V565" t="inlineStr">
        <is>
          <t>2007-01-22</t>
        </is>
      </c>
      <c r="W565" t="inlineStr">
        <is>
          <t>1996-06-07</t>
        </is>
      </c>
      <c r="X565" t="inlineStr">
        <is>
          <t>1996-06-07</t>
        </is>
      </c>
      <c r="Y565" t="n">
        <v>185</v>
      </c>
      <c r="Z565" t="n">
        <v>156</v>
      </c>
      <c r="AA565" t="n">
        <v>1022</v>
      </c>
      <c r="AB565" t="n">
        <v>2</v>
      </c>
      <c r="AC565" t="n">
        <v>11</v>
      </c>
      <c r="AD565" t="n">
        <v>7</v>
      </c>
      <c r="AE565" t="n">
        <v>39</v>
      </c>
      <c r="AF565" t="n">
        <v>4</v>
      </c>
      <c r="AG565" t="n">
        <v>13</v>
      </c>
      <c r="AH565" t="n">
        <v>0</v>
      </c>
      <c r="AI565" t="n">
        <v>7</v>
      </c>
      <c r="AJ565" t="n">
        <v>2</v>
      </c>
      <c r="AK565" t="n">
        <v>17</v>
      </c>
      <c r="AL565" t="n">
        <v>1</v>
      </c>
      <c r="AM565" t="n">
        <v>7</v>
      </c>
      <c r="AN565" t="n">
        <v>0</v>
      </c>
      <c r="AO565" t="n">
        <v>2</v>
      </c>
      <c r="AP565" t="inlineStr">
        <is>
          <t>No</t>
        </is>
      </c>
      <c r="AQ565" t="inlineStr">
        <is>
          <t>No</t>
        </is>
      </c>
      <c r="AS565">
        <f>HYPERLINK("https://creighton-primo.hosted.exlibrisgroup.com/primo-explore/search?tab=default_tab&amp;search_scope=EVERYTHING&amp;vid=01CRU&amp;lang=en_US&amp;offset=0&amp;query=any,contains,991002539079702656","Catalog Record")</f>
        <v/>
      </c>
      <c r="AT565">
        <f>HYPERLINK("http://www.worldcat.org/oclc/33005606","WorldCat Record")</f>
        <v/>
      </c>
      <c r="AU565" t="inlineStr">
        <is>
          <t>31954365:eng</t>
        </is>
      </c>
      <c r="AV565" t="inlineStr">
        <is>
          <t>33005606</t>
        </is>
      </c>
      <c r="AW565" t="inlineStr">
        <is>
          <t>991002539079702656</t>
        </is>
      </c>
      <c r="AX565" t="inlineStr">
        <is>
          <t>991002539079702656</t>
        </is>
      </c>
      <c r="AY565" t="inlineStr">
        <is>
          <t>2256321720002656</t>
        </is>
      </c>
      <c r="AZ565" t="inlineStr">
        <is>
          <t>BOOK</t>
        </is>
      </c>
      <c r="BB565" t="inlineStr">
        <is>
          <t>9780385479431</t>
        </is>
      </c>
      <c r="BC565" t="inlineStr">
        <is>
          <t>32285002190436</t>
        </is>
      </c>
      <c r="BD565" t="inlineStr">
        <is>
          <t>893622409</t>
        </is>
      </c>
    </row>
    <row r="566">
      <c r="A566" t="inlineStr">
        <is>
          <t>No</t>
        </is>
      </c>
      <c r="B566" t="inlineStr">
        <is>
          <t>HN90.E4 I54 2003</t>
        </is>
      </c>
      <c r="C566" t="inlineStr">
        <is>
          <t>0                      HN 0090000E  4                  I  54          2003</t>
        </is>
      </c>
      <c r="D566" t="inlineStr">
        <is>
          <t>Shut up &amp; sing : how elites from Hollywood, politics, and the UN are subverting America / Laura Ingraham.</t>
        </is>
      </c>
      <c r="F566" t="inlineStr">
        <is>
          <t>No</t>
        </is>
      </c>
      <c r="G566" t="inlineStr">
        <is>
          <t>1</t>
        </is>
      </c>
      <c r="H566" t="inlineStr">
        <is>
          <t>No</t>
        </is>
      </c>
      <c r="I566" t="inlineStr">
        <is>
          <t>No</t>
        </is>
      </c>
      <c r="J566" t="inlineStr">
        <is>
          <t>0</t>
        </is>
      </c>
      <c r="K566" t="inlineStr">
        <is>
          <t>Ingraham, Laura.</t>
        </is>
      </c>
      <c r="L566" t="inlineStr">
        <is>
          <t>Washington, D.C. : Regnery Publishing, Inc., c2003.</t>
        </is>
      </c>
      <c r="M566" t="inlineStr">
        <is>
          <t>2003</t>
        </is>
      </c>
      <c r="O566" t="inlineStr">
        <is>
          <t>eng</t>
        </is>
      </c>
      <c r="P566" t="inlineStr">
        <is>
          <t>dcu</t>
        </is>
      </c>
      <c r="R566" t="inlineStr">
        <is>
          <t xml:space="preserve">HN </t>
        </is>
      </c>
      <c r="S566" t="n">
        <v>3</v>
      </c>
      <c r="T566" t="n">
        <v>3</v>
      </c>
      <c r="U566" t="inlineStr">
        <is>
          <t>2004-08-11</t>
        </is>
      </c>
      <c r="V566" t="inlineStr">
        <is>
          <t>2004-08-11</t>
        </is>
      </c>
      <c r="W566" t="inlineStr">
        <is>
          <t>2003-11-13</t>
        </is>
      </c>
      <c r="X566" t="inlineStr">
        <is>
          <t>2003-11-13</t>
        </is>
      </c>
      <c r="Y566" t="n">
        <v>907</v>
      </c>
      <c r="Z566" t="n">
        <v>886</v>
      </c>
      <c r="AA566" t="n">
        <v>926</v>
      </c>
      <c r="AB566" t="n">
        <v>8</v>
      </c>
      <c r="AC566" t="n">
        <v>8</v>
      </c>
      <c r="AD566" t="n">
        <v>12</v>
      </c>
      <c r="AE566" t="n">
        <v>13</v>
      </c>
      <c r="AF566" t="n">
        <v>2</v>
      </c>
      <c r="AG566" t="n">
        <v>3</v>
      </c>
      <c r="AH566" t="n">
        <v>2</v>
      </c>
      <c r="AI566" t="n">
        <v>3</v>
      </c>
      <c r="AJ566" t="n">
        <v>7</v>
      </c>
      <c r="AK566" t="n">
        <v>7</v>
      </c>
      <c r="AL566" t="n">
        <v>3</v>
      </c>
      <c r="AM566" t="n">
        <v>3</v>
      </c>
      <c r="AN566" t="n">
        <v>1</v>
      </c>
      <c r="AO566" t="n">
        <v>1</v>
      </c>
      <c r="AP566" t="inlineStr">
        <is>
          <t>No</t>
        </is>
      </c>
      <c r="AQ566" t="inlineStr">
        <is>
          <t>No</t>
        </is>
      </c>
      <c r="AS566">
        <f>HYPERLINK("https://creighton-primo.hosted.exlibrisgroup.com/primo-explore/search?tab=default_tab&amp;search_scope=EVERYTHING&amp;vid=01CRU&amp;lang=en_US&amp;offset=0&amp;query=any,contains,991004179799702656","Catalog Record")</f>
        <v/>
      </c>
      <c r="AT566">
        <f>HYPERLINK("http://www.worldcat.org/oclc/53004541","WorldCat Record")</f>
        <v/>
      </c>
      <c r="AU566" t="inlineStr">
        <is>
          <t>196611794:eng</t>
        </is>
      </c>
      <c r="AV566" t="inlineStr">
        <is>
          <t>53004541</t>
        </is>
      </c>
      <c r="AW566" t="inlineStr">
        <is>
          <t>991004179799702656</t>
        </is>
      </c>
      <c r="AX566" t="inlineStr">
        <is>
          <t>991004179799702656</t>
        </is>
      </c>
      <c r="AY566" t="inlineStr">
        <is>
          <t>2265968730002656</t>
        </is>
      </c>
      <c r="AZ566" t="inlineStr">
        <is>
          <t>BOOK</t>
        </is>
      </c>
      <c r="BB566" t="inlineStr">
        <is>
          <t>9780895261014</t>
        </is>
      </c>
      <c r="BC566" t="inlineStr">
        <is>
          <t>32285004797105</t>
        </is>
      </c>
      <c r="BD566" t="inlineStr">
        <is>
          <t>893337404</t>
        </is>
      </c>
    </row>
    <row r="567">
      <c r="A567" t="inlineStr">
        <is>
          <t>No</t>
        </is>
      </c>
      <c r="B567" t="inlineStr">
        <is>
          <t>HN90.E4 J33</t>
        </is>
      </c>
      <c r="C567" t="inlineStr">
        <is>
          <t>0                      HN 0090000E  4                  J  33</t>
        </is>
      </c>
      <c r="D567" t="inlineStr">
        <is>
          <t>The urban establishment : upper strata in Boston, New York, Charleston, Chicago, and Los Angeles / Frederic Cople Jaher.</t>
        </is>
      </c>
      <c r="F567" t="inlineStr">
        <is>
          <t>No</t>
        </is>
      </c>
      <c r="G567" t="inlineStr">
        <is>
          <t>1</t>
        </is>
      </c>
      <c r="H567" t="inlineStr">
        <is>
          <t>No</t>
        </is>
      </c>
      <c r="I567" t="inlineStr">
        <is>
          <t>No</t>
        </is>
      </c>
      <c r="J567" t="inlineStr">
        <is>
          <t>0</t>
        </is>
      </c>
      <c r="K567" t="inlineStr">
        <is>
          <t>Jaher, Frederic Cople.</t>
        </is>
      </c>
      <c r="L567" t="inlineStr">
        <is>
          <t>Urbana : University of Illinois Press, c1982.</t>
        </is>
      </c>
      <c r="M567" t="inlineStr">
        <is>
          <t>1981</t>
        </is>
      </c>
      <c r="O567" t="inlineStr">
        <is>
          <t>eng</t>
        </is>
      </c>
      <c r="P567" t="inlineStr">
        <is>
          <t>ilu</t>
        </is>
      </c>
      <c r="R567" t="inlineStr">
        <is>
          <t xml:space="preserve">HN </t>
        </is>
      </c>
      <c r="S567" t="n">
        <v>5</v>
      </c>
      <c r="T567" t="n">
        <v>5</v>
      </c>
      <c r="U567" t="inlineStr">
        <is>
          <t>1996-04-15</t>
        </is>
      </c>
      <c r="V567" t="inlineStr">
        <is>
          <t>1996-04-15</t>
        </is>
      </c>
      <c r="W567" t="inlineStr">
        <is>
          <t>1990-02-22</t>
        </is>
      </c>
      <c r="X567" t="inlineStr">
        <is>
          <t>1990-02-22</t>
        </is>
      </c>
      <c r="Y567" t="n">
        <v>491</v>
      </c>
      <c r="Z567" t="n">
        <v>419</v>
      </c>
      <c r="AA567" t="n">
        <v>424</v>
      </c>
      <c r="AB567" t="n">
        <v>2</v>
      </c>
      <c r="AC567" t="n">
        <v>2</v>
      </c>
      <c r="AD567" t="n">
        <v>17</v>
      </c>
      <c r="AE567" t="n">
        <v>17</v>
      </c>
      <c r="AF567" t="n">
        <v>5</v>
      </c>
      <c r="AG567" t="n">
        <v>5</v>
      </c>
      <c r="AH567" t="n">
        <v>5</v>
      </c>
      <c r="AI567" t="n">
        <v>5</v>
      </c>
      <c r="AJ567" t="n">
        <v>12</v>
      </c>
      <c r="AK567" t="n">
        <v>12</v>
      </c>
      <c r="AL567" t="n">
        <v>1</v>
      </c>
      <c r="AM567" t="n">
        <v>1</v>
      </c>
      <c r="AN567" t="n">
        <v>0</v>
      </c>
      <c r="AO567" t="n">
        <v>0</v>
      </c>
      <c r="AP567" t="inlineStr">
        <is>
          <t>No</t>
        </is>
      </c>
      <c r="AQ567" t="inlineStr">
        <is>
          <t>No</t>
        </is>
      </c>
      <c r="AS567">
        <f>HYPERLINK("https://creighton-primo.hosted.exlibrisgroup.com/primo-explore/search?tab=default_tab&amp;search_scope=EVERYTHING&amp;vid=01CRU&amp;lang=en_US&amp;offset=0&amp;query=any,contains,991004998819702656","Catalog Record")</f>
        <v/>
      </c>
      <c r="AT567">
        <f>HYPERLINK("http://www.worldcat.org/oclc/6532761","WorldCat Record")</f>
        <v/>
      </c>
      <c r="AU567" t="inlineStr">
        <is>
          <t>365285158:eng</t>
        </is>
      </c>
      <c r="AV567" t="inlineStr">
        <is>
          <t>6532761</t>
        </is>
      </c>
      <c r="AW567" t="inlineStr">
        <is>
          <t>991004998819702656</t>
        </is>
      </c>
      <c r="AX567" t="inlineStr">
        <is>
          <t>991004998819702656</t>
        </is>
      </c>
      <c r="AY567" t="inlineStr">
        <is>
          <t>2262116540002656</t>
        </is>
      </c>
      <c r="AZ567" t="inlineStr">
        <is>
          <t>BOOK</t>
        </is>
      </c>
      <c r="BB567" t="inlineStr">
        <is>
          <t>9780252008276</t>
        </is>
      </c>
      <c r="BC567" t="inlineStr">
        <is>
          <t>32285000049089</t>
        </is>
      </c>
      <c r="BD567" t="inlineStr">
        <is>
          <t>893443272</t>
        </is>
      </c>
    </row>
    <row r="568">
      <c r="A568" t="inlineStr">
        <is>
          <t>No</t>
        </is>
      </c>
      <c r="B568" t="inlineStr">
        <is>
          <t>HN90.E4 L47 1996</t>
        </is>
      </c>
      <c r="C568" t="inlineStr">
        <is>
          <t>0                      HN 0090000E  4                  L  47          1996</t>
        </is>
      </c>
      <c r="D568" t="inlineStr">
        <is>
          <t>American elites / Robert Lerner, Althea K. Nagai, Stanley Rothman.</t>
        </is>
      </c>
      <c r="F568" t="inlineStr">
        <is>
          <t>No</t>
        </is>
      </c>
      <c r="G568" t="inlineStr">
        <is>
          <t>1</t>
        </is>
      </c>
      <c r="H568" t="inlineStr">
        <is>
          <t>No</t>
        </is>
      </c>
      <c r="I568" t="inlineStr">
        <is>
          <t>No</t>
        </is>
      </c>
      <c r="J568" t="inlineStr">
        <is>
          <t>0</t>
        </is>
      </c>
      <c r="K568" t="inlineStr">
        <is>
          <t>Lerner, Robert, 1953-2010.</t>
        </is>
      </c>
      <c r="L568" t="inlineStr">
        <is>
          <t>New Haven : Yale University Press, c1996.</t>
        </is>
      </c>
      <c r="M568" t="inlineStr">
        <is>
          <t>1996</t>
        </is>
      </c>
      <c r="O568" t="inlineStr">
        <is>
          <t>eng</t>
        </is>
      </c>
      <c r="P568" t="inlineStr">
        <is>
          <t>ctu</t>
        </is>
      </c>
      <c r="R568" t="inlineStr">
        <is>
          <t xml:space="preserve">HN </t>
        </is>
      </c>
      <c r="S568" t="n">
        <v>1</v>
      </c>
      <c r="T568" t="n">
        <v>1</v>
      </c>
      <c r="U568" t="inlineStr">
        <is>
          <t>2002-04-29</t>
        </is>
      </c>
      <c r="V568" t="inlineStr">
        <is>
          <t>2002-04-29</t>
        </is>
      </c>
      <c r="W568" t="inlineStr">
        <is>
          <t>1998-03-12</t>
        </is>
      </c>
      <c r="X568" t="inlineStr">
        <is>
          <t>1998-03-12</t>
        </is>
      </c>
      <c r="Y568" t="n">
        <v>528</v>
      </c>
      <c r="Z568" t="n">
        <v>454</v>
      </c>
      <c r="AA568" t="n">
        <v>622</v>
      </c>
      <c r="AB568" t="n">
        <v>4</v>
      </c>
      <c r="AC568" t="n">
        <v>4</v>
      </c>
      <c r="AD568" t="n">
        <v>27</v>
      </c>
      <c r="AE568" t="n">
        <v>36</v>
      </c>
      <c r="AF568" t="n">
        <v>11</v>
      </c>
      <c r="AG568" t="n">
        <v>16</v>
      </c>
      <c r="AH568" t="n">
        <v>5</v>
      </c>
      <c r="AI568" t="n">
        <v>8</v>
      </c>
      <c r="AJ568" t="n">
        <v>14</v>
      </c>
      <c r="AK568" t="n">
        <v>18</v>
      </c>
      <c r="AL568" t="n">
        <v>3</v>
      </c>
      <c r="AM568" t="n">
        <v>3</v>
      </c>
      <c r="AN568" t="n">
        <v>3</v>
      </c>
      <c r="AO568" t="n">
        <v>3</v>
      </c>
      <c r="AP568" t="inlineStr">
        <is>
          <t>No</t>
        </is>
      </c>
      <c r="AQ568" t="inlineStr">
        <is>
          <t>No</t>
        </is>
      </c>
      <c r="AS568">
        <f>HYPERLINK("https://creighton-primo.hosted.exlibrisgroup.com/primo-explore/search?tab=default_tab&amp;search_scope=EVERYTHING&amp;vid=01CRU&amp;lang=en_US&amp;offset=0&amp;query=any,contains,991002633769702656","Catalog Record")</f>
        <v/>
      </c>
      <c r="AT568">
        <f>HYPERLINK("http://www.worldcat.org/oclc/34515176","WorldCat Record")</f>
        <v/>
      </c>
      <c r="AU568" t="inlineStr">
        <is>
          <t>39524027:eng</t>
        </is>
      </c>
      <c r="AV568" t="inlineStr">
        <is>
          <t>34515176</t>
        </is>
      </c>
      <c r="AW568" t="inlineStr">
        <is>
          <t>991002633769702656</t>
        </is>
      </c>
      <c r="AX568" t="inlineStr">
        <is>
          <t>991002633769702656</t>
        </is>
      </c>
      <c r="AY568" t="inlineStr">
        <is>
          <t>2271921040002656</t>
        </is>
      </c>
      <c r="AZ568" t="inlineStr">
        <is>
          <t>BOOK</t>
        </is>
      </c>
      <c r="BB568" t="inlineStr">
        <is>
          <t>9780300065343</t>
        </is>
      </c>
      <c r="BC568" t="inlineStr">
        <is>
          <t>32285003357943</t>
        </is>
      </c>
      <c r="BD568" t="inlineStr">
        <is>
          <t>893880186</t>
        </is>
      </c>
    </row>
    <row r="569">
      <c r="A569" t="inlineStr">
        <is>
          <t>No</t>
        </is>
      </c>
      <c r="B569" t="inlineStr">
        <is>
          <t>HN90.I58 G45 1997</t>
        </is>
      </c>
      <c r="C569" t="inlineStr">
        <is>
          <t>0                      HN 0090000I  58                 G  45          1997</t>
        </is>
      </c>
      <c r="D569" t="inlineStr">
        <is>
          <t>Generations apart : Xers vs. boomers vs. the elderly / edited by Richard D. Thau &amp; Jay S. Heflin.</t>
        </is>
      </c>
      <c r="F569" t="inlineStr">
        <is>
          <t>No</t>
        </is>
      </c>
      <c r="G569" t="inlineStr">
        <is>
          <t>1</t>
        </is>
      </c>
      <c r="H569" t="inlineStr">
        <is>
          <t>No</t>
        </is>
      </c>
      <c r="I569" t="inlineStr">
        <is>
          <t>No</t>
        </is>
      </c>
      <c r="J569" t="inlineStr">
        <is>
          <t>0</t>
        </is>
      </c>
      <c r="L569" t="inlineStr">
        <is>
          <t>Amherst, N.Y. : Prometheus Books, 1997.</t>
        </is>
      </c>
      <c r="M569" t="inlineStr">
        <is>
          <t>1997</t>
        </is>
      </c>
      <c r="O569" t="inlineStr">
        <is>
          <t>eng</t>
        </is>
      </c>
      <c r="P569" t="inlineStr">
        <is>
          <t>nyu</t>
        </is>
      </c>
      <c r="Q569" t="inlineStr">
        <is>
          <t>Contemporary issues</t>
        </is>
      </c>
      <c r="R569" t="inlineStr">
        <is>
          <t xml:space="preserve">HN </t>
        </is>
      </c>
      <c r="S569" t="n">
        <v>3</v>
      </c>
      <c r="T569" t="n">
        <v>3</v>
      </c>
      <c r="U569" t="inlineStr">
        <is>
          <t>1999-01-30</t>
        </is>
      </c>
      <c r="V569" t="inlineStr">
        <is>
          <t>1999-01-30</t>
        </is>
      </c>
      <c r="W569" t="inlineStr">
        <is>
          <t>1998-02-05</t>
        </is>
      </c>
      <c r="X569" t="inlineStr">
        <is>
          <t>1998-02-05</t>
        </is>
      </c>
      <c r="Y569" t="n">
        <v>461</v>
      </c>
      <c r="Z569" t="n">
        <v>423</v>
      </c>
      <c r="AA569" t="n">
        <v>430</v>
      </c>
      <c r="AB569" t="n">
        <v>3</v>
      </c>
      <c r="AC569" t="n">
        <v>3</v>
      </c>
      <c r="AD569" t="n">
        <v>12</v>
      </c>
      <c r="AE569" t="n">
        <v>12</v>
      </c>
      <c r="AF569" t="n">
        <v>2</v>
      </c>
      <c r="AG569" t="n">
        <v>2</v>
      </c>
      <c r="AH569" t="n">
        <v>3</v>
      </c>
      <c r="AI569" t="n">
        <v>3</v>
      </c>
      <c r="AJ569" t="n">
        <v>8</v>
      </c>
      <c r="AK569" t="n">
        <v>8</v>
      </c>
      <c r="AL569" t="n">
        <v>2</v>
      </c>
      <c r="AM569" t="n">
        <v>2</v>
      </c>
      <c r="AN569" t="n">
        <v>0</v>
      </c>
      <c r="AO569" t="n">
        <v>0</v>
      </c>
      <c r="AP569" t="inlineStr">
        <is>
          <t>No</t>
        </is>
      </c>
      <c r="AQ569" t="inlineStr">
        <is>
          <t>Yes</t>
        </is>
      </c>
      <c r="AR569">
        <f>HYPERLINK("http://catalog.hathitrust.org/Record/003955157","HathiTrust Record")</f>
        <v/>
      </c>
      <c r="AS569">
        <f>HYPERLINK("https://creighton-primo.hosted.exlibrisgroup.com/primo-explore/search?tab=default_tab&amp;search_scope=EVERYTHING&amp;vid=01CRU&amp;lang=en_US&amp;offset=0&amp;query=any,contains,991002840349702656","Catalog Record")</f>
        <v/>
      </c>
      <c r="AT569">
        <f>HYPERLINK("http://www.worldcat.org/oclc/37418345","WorldCat Record")</f>
        <v/>
      </c>
      <c r="AU569" t="inlineStr">
        <is>
          <t>998438120:eng</t>
        </is>
      </c>
      <c r="AV569" t="inlineStr">
        <is>
          <t>37418345</t>
        </is>
      </c>
      <c r="AW569" t="inlineStr">
        <is>
          <t>991002840349702656</t>
        </is>
      </c>
      <c r="AX569" t="inlineStr">
        <is>
          <t>991002840349702656</t>
        </is>
      </c>
      <c r="AY569" t="inlineStr">
        <is>
          <t>2270665130002656</t>
        </is>
      </c>
      <c r="AZ569" t="inlineStr">
        <is>
          <t>BOOK</t>
        </is>
      </c>
      <c r="BB569" t="inlineStr">
        <is>
          <t>9781573921749</t>
        </is>
      </c>
      <c r="BC569" t="inlineStr">
        <is>
          <t>32285003312617</t>
        </is>
      </c>
      <c r="BD569" t="inlineStr">
        <is>
          <t>893251683</t>
        </is>
      </c>
    </row>
    <row r="570">
      <c r="A570" t="inlineStr">
        <is>
          <t>No</t>
        </is>
      </c>
      <c r="B570" t="inlineStr">
        <is>
          <t>HN90.M26 M37 2000</t>
        </is>
      </c>
      <c r="C570" t="inlineStr">
        <is>
          <t>0                      HN 0090000M  26                 M  37          2000</t>
        </is>
      </c>
      <c r="D570" t="inlineStr">
        <is>
          <t>Marginal groups and mainstream American culture / edited by Yolanda Estes ... [et al.].</t>
        </is>
      </c>
      <c r="F570" t="inlineStr">
        <is>
          <t>No</t>
        </is>
      </c>
      <c r="G570" t="inlineStr">
        <is>
          <t>1</t>
        </is>
      </c>
      <c r="H570" t="inlineStr">
        <is>
          <t>No</t>
        </is>
      </c>
      <c r="I570" t="inlineStr">
        <is>
          <t>No</t>
        </is>
      </c>
      <c r="J570" t="inlineStr">
        <is>
          <t>0</t>
        </is>
      </c>
      <c r="L570" t="inlineStr">
        <is>
          <t>Lawrence : University Press of Kansas, c2000.</t>
        </is>
      </c>
      <c r="M570" t="inlineStr">
        <is>
          <t>2000</t>
        </is>
      </c>
      <c r="O570" t="inlineStr">
        <is>
          <t>eng</t>
        </is>
      </c>
      <c r="P570" t="inlineStr">
        <is>
          <t>ksu</t>
        </is>
      </c>
      <c r="Q570" t="inlineStr">
        <is>
          <t>Feminist ethics</t>
        </is>
      </c>
      <c r="R570" t="inlineStr">
        <is>
          <t xml:space="preserve">HN </t>
        </is>
      </c>
      <c r="S570" t="n">
        <v>3</v>
      </c>
      <c r="T570" t="n">
        <v>3</v>
      </c>
      <c r="U570" t="inlineStr">
        <is>
          <t>2002-04-29</t>
        </is>
      </c>
      <c r="V570" t="inlineStr">
        <is>
          <t>2002-04-29</t>
        </is>
      </c>
      <c r="W570" t="inlineStr">
        <is>
          <t>2001-04-23</t>
        </is>
      </c>
      <c r="X570" t="inlineStr">
        <is>
          <t>2001-04-23</t>
        </is>
      </c>
      <c r="Y570" t="n">
        <v>304</v>
      </c>
      <c r="Z570" t="n">
        <v>275</v>
      </c>
      <c r="AA570" t="n">
        <v>278</v>
      </c>
      <c r="AB570" t="n">
        <v>2</v>
      </c>
      <c r="AC570" t="n">
        <v>2</v>
      </c>
      <c r="AD570" t="n">
        <v>19</v>
      </c>
      <c r="AE570" t="n">
        <v>19</v>
      </c>
      <c r="AF570" t="n">
        <v>5</v>
      </c>
      <c r="AG570" t="n">
        <v>5</v>
      </c>
      <c r="AH570" t="n">
        <v>9</v>
      </c>
      <c r="AI570" t="n">
        <v>9</v>
      </c>
      <c r="AJ570" t="n">
        <v>10</v>
      </c>
      <c r="AK570" t="n">
        <v>10</v>
      </c>
      <c r="AL570" t="n">
        <v>1</v>
      </c>
      <c r="AM570" t="n">
        <v>1</v>
      </c>
      <c r="AN570" t="n">
        <v>1</v>
      </c>
      <c r="AO570" t="n">
        <v>1</v>
      </c>
      <c r="AP570" t="inlineStr">
        <is>
          <t>No</t>
        </is>
      </c>
      <c r="AQ570" t="inlineStr">
        <is>
          <t>Yes</t>
        </is>
      </c>
      <c r="AR570">
        <f>HYPERLINK("http://catalog.hathitrust.org/Record/004133713","HathiTrust Record")</f>
        <v/>
      </c>
      <c r="AS570">
        <f>HYPERLINK("https://creighton-primo.hosted.exlibrisgroup.com/primo-explore/search?tab=default_tab&amp;search_scope=EVERYTHING&amp;vid=01CRU&amp;lang=en_US&amp;offset=0&amp;query=any,contains,991003492689702656","Catalog Record")</f>
        <v/>
      </c>
      <c r="AT570">
        <f>HYPERLINK("http://www.worldcat.org/oclc/44110323","WorldCat Record")</f>
        <v/>
      </c>
      <c r="AU570" t="inlineStr">
        <is>
          <t>33140842:eng</t>
        </is>
      </c>
      <c r="AV570" t="inlineStr">
        <is>
          <t>44110323</t>
        </is>
      </c>
      <c r="AW570" t="inlineStr">
        <is>
          <t>991003492689702656</t>
        </is>
      </c>
      <c r="AX570" t="inlineStr">
        <is>
          <t>991003492689702656</t>
        </is>
      </c>
      <c r="AY570" t="inlineStr">
        <is>
          <t>2267334810002656</t>
        </is>
      </c>
      <c r="AZ570" t="inlineStr">
        <is>
          <t>BOOK</t>
        </is>
      </c>
      <c r="BB570" t="inlineStr">
        <is>
          <t>9780700610471</t>
        </is>
      </c>
      <c r="BC570" t="inlineStr">
        <is>
          <t>32285004314158</t>
        </is>
      </c>
      <c r="BD570" t="inlineStr">
        <is>
          <t>893868463</t>
        </is>
      </c>
    </row>
    <row r="571">
      <c r="A571" t="inlineStr">
        <is>
          <t>No</t>
        </is>
      </c>
      <c r="B571" t="inlineStr">
        <is>
          <t>HN90.M3 B76 1978b</t>
        </is>
      </c>
      <c r="C571" t="inlineStr">
        <is>
          <t>0                      HN 0090000M  3                  B  76          1978b</t>
        </is>
      </c>
      <c r="D571" t="inlineStr">
        <is>
          <t>The media and the people / Charlene J. Brown, Trevor R. Brown, William L. Rivers.</t>
        </is>
      </c>
      <c r="F571" t="inlineStr">
        <is>
          <t>No</t>
        </is>
      </c>
      <c r="G571" t="inlineStr">
        <is>
          <t>1</t>
        </is>
      </c>
      <c r="H571" t="inlineStr">
        <is>
          <t>No</t>
        </is>
      </c>
      <c r="I571" t="inlineStr">
        <is>
          <t>No</t>
        </is>
      </c>
      <c r="J571" t="inlineStr">
        <is>
          <t>0</t>
        </is>
      </c>
      <c r="K571" t="inlineStr">
        <is>
          <t>Brown, Charlene J.</t>
        </is>
      </c>
      <c r="L571" t="inlineStr">
        <is>
          <t>Huntington, N.Y. : R. E. Krieger Pub. Co., 1978.</t>
        </is>
      </c>
      <c r="M571" t="inlineStr">
        <is>
          <t>1978</t>
        </is>
      </c>
      <c r="O571" t="inlineStr">
        <is>
          <t>eng</t>
        </is>
      </c>
      <c r="P571" t="inlineStr">
        <is>
          <t>nyu</t>
        </is>
      </c>
      <c r="R571" t="inlineStr">
        <is>
          <t xml:space="preserve">HN </t>
        </is>
      </c>
      <c r="S571" t="n">
        <v>10</v>
      </c>
      <c r="T571" t="n">
        <v>10</v>
      </c>
      <c r="U571" t="inlineStr">
        <is>
          <t>2010-06-29</t>
        </is>
      </c>
      <c r="V571" t="inlineStr">
        <is>
          <t>2010-06-29</t>
        </is>
      </c>
      <c r="W571" t="inlineStr">
        <is>
          <t>1991-12-06</t>
        </is>
      </c>
      <c r="X571" t="inlineStr">
        <is>
          <t>1991-12-06</t>
        </is>
      </c>
      <c r="Y571" t="n">
        <v>40</v>
      </c>
      <c r="Z571" t="n">
        <v>33</v>
      </c>
      <c r="AA571" t="n">
        <v>252</v>
      </c>
      <c r="AB571" t="n">
        <v>1</v>
      </c>
      <c r="AC571" t="n">
        <v>1</v>
      </c>
      <c r="AD571" t="n">
        <v>3</v>
      </c>
      <c r="AE571" t="n">
        <v>7</v>
      </c>
      <c r="AF571" t="n">
        <v>1</v>
      </c>
      <c r="AG571" t="n">
        <v>1</v>
      </c>
      <c r="AH571" t="n">
        <v>2</v>
      </c>
      <c r="AI571" t="n">
        <v>3</v>
      </c>
      <c r="AJ571" t="n">
        <v>1</v>
      </c>
      <c r="AK571" t="n">
        <v>5</v>
      </c>
      <c r="AL571" t="n">
        <v>0</v>
      </c>
      <c r="AM571" t="n">
        <v>0</v>
      </c>
      <c r="AN571" t="n">
        <v>0</v>
      </c>
      <c r="AO571" t="n">
        <v>0</v>
      </c>
      <c r="AP571" t="inlineStr">
        <is>
          <t>No</t>
        </is>
      </c>
      <c r="AQ571" t="inlineStr">
        <is>
          <t>Yes</t>
        </is>
      </c>
      <c r="AR571">
        <f>HYPERLINK("http://catalog.hathitrust.org/Record/004397524","HathiTrust Record")</f>
        <v/>
      </c>
      <c r="AS571">
        <f>HYPERLINK("https://creighton-primo.hosted.exlibrisgroup.com/primo-explore/search?tab=default_tab&amp;search_scope=EVERYTHING&amp;vid=01CRU&amp;lang=en_US&amp;offset=0&amp;query=any,contains,991004541179702656","Catalog Record")</f>
        <v/>
      </c>
      <c r="AT571">
        <f>HYPERLINK("http://www.worldcat.org/oclc/3893756","WorldCat Record")</f>
        <v/>
      </c>
      <c r="AU571" t="inlineStr">
        <is>
          <t>401084:eng</t>
        </is>
      </c>
      <c r="AV571" t="inlineStr">
        <is>
          <t>3893756</t>
        </is>
      </c>
      <c r="AW571" t="inlineStr">
        <is>
          <t>991004541179702656</t>
        </is>
      </c>
      <c r="AX571" t="inlineStr">
        <is>
          <t>991004541179702656</t>
        </is>
      </c>
      <c r="AY571" t="inlineStr">
        <is>
          <t>2271905360002656</t>
        </is>
      </c>
      <c r="AZ571" t="inlineStr">
        <is>
          <t>BOOK</t>
        </is>
      </c>
      <c r="BB571" t="inlineStr">
        <is>
          <t>9780882756899</t>
        </is>
      </c>
      <c r="BC571" t="inlineStr">
        <is>
          <t>32285000829183</t>
        </is>
      </c>
      <c r="BD571" t="inlineStr">
        <is>
          <t>893888848</t>
        </is>
      </c>
    </row>
    <row r="572">
      <c r="A572" t="inlineStr">
        <is>
          <t>No</t>
        </is>
      </c>
      <c r="B572" t="inlineStr">
        <is>
          <t>HN90.M3 D46</t>
        </is>
      </c>
      <c r="C572" t="inlineStr">
        <is>
          <t>0                      HN 0090000M  3                  D  46</t>
        </is>
      </c>
      <c r="D572" t="inlineStr">
        <is>
          <t>The media society : evidence about mass communication in America / Everette E. Dennis.</t>
        </is>
      </c>
      <c r="F572" t="inlineStr">
        <is>
          <t>No</t>
        </is>
      </c>
      <c r="G572" t="inlineStr">
        <is>
          <t>1</t>
        </is>
      </c>
      <c r="H572" t="inlineStr">
        <is>
          <t>No</t>
        </is>
      </c>
      <c r="I572" t="inlineStr">
        <is>
          <t>No</t>
        </is>
      </c>
      <c r="J572" t="inlineStr">
        <is>
          <t>0</t>
        </is>
      </c>
      <c r="K572" t="inlineStr">
        <is>
          <t>Dennis, Everette E.</t>
        </is>
      </c>
      <c r="L572" t="inlineStr">
        <is>
          <t>Dubuque, Iowa : W. C. Brown Co., c1978.</t>
        </is>
      </c>
      <c r="M572" t="inlineStr">
        <is>
          <t>1978</t>
        </is>
      </c>
      <c r="O572" t="inlineStr">
        <is>
          <t>eng</t>
        </is>
      </c>
      <c r="P572" t="inlineStr">
        <is>
          <t>iau</t>
        </is>
      </c>
      <c r="R572" t="inlineStr">
        <is>
          <t xml:space="preserve">HN </t>
        </is>
      </c>
      <c r="S572" t="n">
        <v>4</v>
      </c>
      <c r="T572" t="n">
        <v>4</v>
      </c>
      <c r="U572" t="inlineStr">
        <is>
          <t>2000-11-17</t>
        </is>
      </c>
      <c r="V572" t="inlineStr">
        <is>
          <t>2000-11-17</t>
        </is>
      </c>
      <c r="W572" t="inlineStr">
        <is>
          <t>1992-03-24</t>
        </is>
      </c>
      <c r="X572" t="inlineStr">
        <is>
          <t>1992-03-24</t>
        </is>
      </c>
      <c r="Y572" t="n">
        <v>229</v>
      </c>
      <c r="Z572" t="n">
        <v>184</v>
      </c>
      <c r="AA572" t="n">
        <v>191</v>
      </c>
      <c r="AB572" t="n">
        <v>2</v>
      </c>
      <c r="AC572" t="n">
        <v>2</v>
      </c>
      <c r="AD572" t="n">
        <v>8</v>
      </c>
      <c r="AE572" t="n">
        <v>8</v>
      </c>
      <c r="AF572" t="n">
        <v>3</v>
      </c>
      <c r="AG572" t="n">
        <v>3</v>
      </c>
      <c r="AH572" t="n">
        <v>1</v>
      </c>
      <c r="AI572" t="n">
        <v>1</v>
      </c>
      <c r="AJ572" t="n">
        <v>5</v>
      </c>
      <c r="AK572" t="n">
        <v>5</v>
      </c>
      <c r="AL572" t="n">
        <v>1</v>
      </c>
      <c r="AM572" t="n">
        <v>1</v>
      </c>
      <c r="AN572" t="n">
        <v>1</v>
      </c>
      <c r="AO572" t="n">
        <v>1</v>
      </c>
      <c r="AP572" t="inlineStr">
        <is>
          <t>No</t>
        </is>
      </c>
      <c r="AQ572" t="inlineStr">
        <is>
          <t>Yes</t>
        </is>
      </c>
      <c r="AR572">
        <f>HYPERLINK("http://catalog.hathitrust.org/Record/000132381","HathiTrust Record")</f>
        <v/>
      </c>
      <c r="AS572">
        <f>HYPERLINK("https://creighton-primo.hosted.exlibrisgroup.com/primo-explore/search?tab=default_tab&amp;search_scope=EVERYTHING&amp;vid=01CRU&amp;lang=en_US&amp;offset=0&amp;query=any,contains,991004505579702656","Catalog Record")</f>
        <v/>
      </c>
      <c r="AT572">
        <f>HYPERLINK("http://www.worldcat.org/oclc/3733355","WorldCat Record")</f>
        <v/>
      </c>
      <c r="AU572" t="inlineStr">
        <is>
          <t>341108509:eng</t>
        </is>
      </c>
      <c r="AV572" t="inlineStr">
        <is>
          <t>3733355</t>
        </is>
      </c>
      <c r="AW572" t="inlineStr">
        <is>
          <t>991004505579702656</t>
        </is>
      </c>
      <c r="AX572" t="inlineStr">
        <is>
          <t>991004505579702656</t>
        </is>
      </c>
      <c r="AY572" t="inlineStr">
        <is>
          <t>2270389930002656</t>
        </is>
      </c>
      <c r="AZ572" t="inlineStr">
        <is>
          <t>BOOK</t>
        </is>
      </c>
      <c r="BB572" t="inlineStr">
        <is>
          <t>9780697043047</t>
        </is>
      </c>
      <c r="BC572" t="inlineStr">
        <is>
          <t>32285001003960</t>
        </is>
      </c>
      <c r="BD572" t="inlineStr">
        <is>
          <t>893718995</t>
        </is>
      </c>
    </row>
    <row r="573">
      <c r="A573" t="inlineStr">
        <is>
          <t>No</t>
        </is>
      </c>
      <c r="B573" t="inlineStr">
        <is>
          <t>HN90.M3 D48</t>
        </is>
      </c>
      <c r="C573" t="inlineStr">
        <is>
          <t>0                      HN 0090000M  3                  D  48</t>
        </is>
      </c>
      <c r="D573" t="inlineStr">
        <is>
          <t>Deviance and mass media / edited by Charles Winick.</t>
        </is>
      </c>
      <c r="F573" t="inlineStr">
        <is>
          <t>No</t>
        </is>
      </c>
      <c r="G573" t="inlineStr">
        <is>
          <t>1</t>
        </is>
      </c>
      <c r="H573" t="inlineStr">
        <is>
          <t>No</t>
        </is>
      </c>
      <c r="I573" t="inlineStr">
        <is>
          <t>No</t>
        </is>
      </c>
      <c r="J573" t="inlineStr">
        <is>
          <t>0</t>
        </is>
      </c>
      <c r="L573" t="inlineStr">
        <is>
          <t>Beverly Hills, Calif. : Sage Publications, c1978.</t>
        </is>
      </c>
      <c r="M573" t="inlineStr">
        <is>
          <t>1978</t>
        </is>
      </c>
      <c r="O573" t="inlineStr">
        <is>
          <t>eng</t>
        </is>
      </c>
      <c r="P573" t="inlineStr">
        <is>
          <t>cau</t>
        </is>
      </c>
      <c r="Q573" t="inlineStr">
        <is>
          <t>Sage annual reviews of studies in deviance ; v. 2</t>
        </is>
      </c>
      <c r="R573" t="inlineStr">
        <is>
          <t xml:space="preserve">HN </t>
        </is>
      </c>
      <c r="S573" t="n">
        <v>7</v>
      </c>
      <c r="T573" t="n">
        <v>7</v>
      </c>
      <c r="U573" t="inlineStr">
        <is>
          <t>1995-10-23</t>
        </is>
      </c>
      <c r="V573" t="inlineStr">
        <is>
          <t>1995-10-23</t>
        </is>
      </c>
      <c r="W573" t="inlineStr">
        <is>
          <t>1992-09-29</t>
        </is>
      </c>
      <c r="X573" t="inlineStr">
        <is>
          <t>1992-09-29</t>
        </is>
      </c>
      <c r="Y573" t="n">
        <v>715</v>
      </c>
      <c r="Z573" t="n">
        <v>550</v>
      </c>
      <c r="AA573" t="n">
        <v>557</v>
      </c>
      <c r="AB573" t="n">
        <v>8</v>
      </c>
      <c r="AC573" t="n">
        <v>8</v>
      </c>
      <c r="AD573" t="n">
        <v>32</v>
      </c>
      <c r="AE573" t="n">
        <v>32</v>
      </c>
      <c r="AF573" t="n">
        <v>12</v>
      </c>
      <c r="AG573" t="n">
        <v>12</v>
      </c>
      <c r="AH573" t="n">
        <v>3</v>
      </c>
      <c r="AI573" t="n">
        <v>3</v>
      </c>
      <c r="AJ573" t="n">
        <v>14</v>
      </c>
      <c r="AK573" t="n">
        <v>14</v>
      </c>
      <c r="AL573" t="n">
        <v>5</v>
      </c>
      <c r="AM573" t="n">
        <v>5</v>
      </c>
      <c r="AN573" t="n">
        <v>4</v>
      </c>
      <c r="AO573" t="n">
        <v>4</v>
      </c>
      <c r="AP573" t="inlineStr">
        <is>
          <t>No</t>
        </is>
      </c>
      <c r="AQ573" t="inlineStr">
        <is>
          <t>Yes</t>
        </is>
      </c>
      <c r="AR573">
        <f>HYPERLINK("http://catalog.hathitrust.org/Record/000178384","HathiTrust Record")</f>
        <v/>
      </c>
      <c r="AS573">
        <f>HYPERLINK("https://creighton-primo.hosted.exlibrisgroup.com/primo-explore/search?tab=default_tab&amp;search_scope=EVERYTHING&amp;vid=01CRU&amp;lang=en_US&amp;offset=0&amp;query=any,contains,991004579289702656","Catalog Record")</f>
        <v/>
      </c>
      <c r="AT573">
        <f>HYPERLINK("http://www.worldcat.org/oclc/4056231","WorldCat Record")</f>
        <v/>
      </c>
      <c r="AU573" t="inlineStr">
        <is>
          <t>13709378:eng</t>
        </is>
      </c>
      <c r="AV573" t="inlineStr">
        <is>
          <t>4056231</t>
        </is>
      </c>
      <c r="AW573" t="inlineStr">
        <is>
          <t>991004579289702656</t>
        </is>
      </c>
      <c r="AX573" t="inlineStr">
        <is>
          <t>991004579289702656</t>
        </is>
      </c>
      <c r="AY573" t="inlineStr">
        <is>
          <t>2271983070002656</t>
        </is>
      </c>
      <c r="AZ573" t="inlineStr">
        <is>
          <t>BOOK</t>
        </is>
      </c>
      <c r="BB573" t="inlineStr">
        <is>
          <t>9780803910409</t>
        </is>
      </c>
      <c r="BC573" t="inlineStr">
        <is>
          <t>32285001355949</t>
        </is>
      </c>
      <c r="BD573" t="inlineStr">
        <is>
          <t>893430229</t>
        </is>
      </c>
    </row>
    <row r="574">
      <c r="A574" t="inlineStr">
        <is>
          <t>No</t>
        </is>
      </c>
      <c r="B574" t="inlineStr">
        <is>
          <t>HN90.M3 M38 1974</t>
        </is>
      </c>
      <c r="C574" t="inlineStr">
        <is>
          <t>0                      HN 0090000M  3                  M  38          1974</t>
        </is>
      </c>
      <c r="D574" t="inlineStr">
        <is>
          <t>The Mass media and modern democracy / by Robert D. Novak...et al. Edited by Harry M. Clor.</t>
        </is>
      </c>
      <c r="F574" t="inlineStr">
        <is>
          <t>No</t>
        </is>
      </c>
      <c r="G574" t="inlineStr">
        <is>
          <t>1</t>
        </is>
      </c>
      <c r="H574" t="inlineStr">
        <is>
          <t>No</t>
        </is>
      </c>
      <c r="I574" t="inlineStr">
        <is>
          <t>No</t>
        </is>
      </c>
      <c r="J574" t="inlineStr">
        <is>
          <t>0</t>
        </is>
      </c>
      <c r="L574" t="inlineStr">
        <is>
          <t>Chicago : Rand McNally College Pub. Co.., 1974.</t>
        </is>
      </c>
      <c r="M574" t="inlineStr">
        <is>
          <t>1974</t>
        </is>
      </c>
      <c r="O574" t="inlineStr">
        <is>
          <t>eng</t>
        </is>
      </c>
      <c r="P574" t="inlineStr">
        <is>
          <t>ilu</t>
        </is>
      </c>
      <c r="Q574" t="inlineStr">
        <is>
          <t>Rand McNally public affairs series</t>
        </is>
      </c>
      <c r="R574" t="inlineStr">
        <is>
          <t xml:space="preserve">HN </t>
        </is>
      </c>
      <c r="S574" t="n">
        <v>2</v>
      </c>
      <c r="T574" t="n">
        <v>2</v>
      </c>
      <c r="U574" t="inlineStr">
        <is>
          <t>1992-12-05</t>
        </is>
      </c>
      <c r="V574" t="inlineStr">
        <is>
          <t>1992-12-05</t>
        </is>
      </c>
      <c r="W574" t="inlineStr">
        <is>
          <t>1992-09-29</t>
        </is>
      </c>
      <c r="X574" t="inlineStr">
        <is>
          <t>1992-09-29</t>
        </is>
      </c>
      <c r="Y574" t="n">
        <v>421</v>
      </c>
      <c r="Z574" t="n">
        <v>372</v>
      </c>
      <c r="AA574" t="n">
        <v>378</v>
      </c>
      <c r="AB574" t="n">
        <v>3</v>
      </c>
      <c r="AC574" t="n">
        <v>3</v>
      </c>
      <c r="AD574" t="n">
        <v>22</v>
      </c>
      <c r="AE574" t="n">
        <v>22</v>
      </c>
      <c r="AF574" t="n">
        <v>5</v>
      </c>
      <c r="AG574" t="n">
        <v>5</v>
      </c>
      <c r="AH574" t="n">
        <v>5</v>
      </c>
      <c r="AI574" t="n">
        <v>5</v>
      </c>
      <c r="AJ574" t="n">
        <v>16</v>
      </c>
      <c r="AK574" t="n">
        <v>16</v>
      </c>
      <c r="AL574" t="n">
        <v>2</v>
      </c>
      <c r="AM574" t="n">
        <v>2</v>
      </c>
      <c r="AN574" t="n">
        <v>1</v>
      </c>
      <c r="AO574" t="n">
        <v>1</v>
      </c>
      <c r="AP574" t="inlineStr">
        <is>
          <t>No</t>
        </is>
      </c>
      <c r="AQ574" t="inlineStr">
        <is>
          <t>No</t>
        </is>
      </c>
      <c r="AS574">
        <f>HYPERLINK("https://creighton-primo.hosted.exlibrisgroup.com/primo-explore/search?tab=default_tab&amp;search_scope=EVERYTHING&amp;vid=01CRU&amp;lang=en_US&amp;offset=0&amp;query=any,contains,991003434339702656","Catalog Record")</f>
        <v/>
      </c>
      <c r="AT574">
        <f>HYPERLINK("http://www.worldcat.org/oclc/969467","WorldCat Record")</f>
        <v/>
      </c>
      <c r="AU574" t="inlineStr">
        <is>
          <t>1926183:eng</t>
        </is>
      </c>
      <c r="AV574" t="inlineStr">
        <is>
          <t>969467</t>
        </is>
      </c>
      <c r="AW574" t="inlineStr">
        <is>
          <t>991003434339702656</t>
        </is>
      </c>
      <c r="AX574" t="inlineStr">
        <is>
          <t>991003434339702656</t>
        </is>
      </c>
      <c r="AY574" t="inlineStr">
        <is>
          <t>2260858820002656</t>
        </is>
      </c>
      <c r="AZ574" t="inlineStr">
        <is>
          <t>BOOK</t>
        </is>
      </c>
      <c r="BC574" t="inlineStr">
        <is>
          <t>32285001355956</t>
        </is>
      </c>
      <c r="BD574" t="inlineStr">
        <is>
          <t>893428786</t>
        </is>
      </c>
    </row>
    <row r="575">
      <c r="A575" t="inlineStr">
        <is>
          <t>No</t>
        </is>
      </c>
      <c r="B575" t="inlineStr">
        <is>
          <t>HN90.M3 M58 1993</t>
        </is>
      </c>
      <c r="C575" t="inlineStr">
        <is>
          <t>0                      HN 0090000M  3                  M  58          1993</t>
        </is>
      </c>
      <c r="D575" t="inlineStr">
        <is>
          <t>The unreality industry : the deliberate manufacturing of falsehood and what it is doing to our lives / by Ian I. Mitroff and Warren Bennis.</t>
        </is>
      </c>
      <c r="F575" t="inlineStr">
        <is>
          <t>No</t>
        </is>
      </c>
      <c r="G575" t="inlineStr">
        <is>
          <t>1</t>
        </is>
      </c>
      <c r="H575" t="inlineStr">
        <is>
          <t>No</t>
        </is>
      </c>
      <c r="I575" t="inlineStr">
        <is>
          <t>No</t>
        </is>
      </c>
      <c r="J575" t="inlineStr">
        <is>
          <t>0</t>
        </is>
      </c>
      <c r="K575" t="inlineStr">
        <is>
          <t>Mitroff, Ian I.</t>
        </is>
      </c>
      <c r="L575" t="inlineStr">
        <is>
          <t>New York : Oxford University Press, 1993.</t>
        </is>
      </c>
      <c r="M575" t="inlineStr">
        <is>
          <t>1993</t>
        </is>
      </c>
      <c r="O575" t="inlineStr">
        <is>
          <t>eng</t>
        </is>
      </c>
      <c r="P575" t="inlineStr">
        <is>
          <t>nyu</t>
        </is>
      </c>
      <c r="R575" t="inlineStr">
        <is>
          <t xml:space="preserve">HN </t>
        </is>
      </c>
      <c r="S575" t="n">
        <v>3</v>
      </c>
      <c r="T575" t="n">
        <v>3</v>
      </c>
      <c r="U575" t="inlineStr">
        <is>
          <t>2002-11-19</t>
        </is>
      </c>
      <c r="V575" t="inlineStr">
        <is>
          <t>2002-11-19</t>
        </is>
      </c>
      <c r="W575" t="inlineStr">
        <is>
          <t>1996-03-01</t>
        </is>
      </c>
      <c r="X575" t="inlineStr">
        <is>
          <t>1996-03-01</t>
        </is>
      </c>
      <c r="Y575" t="n">
        <v>264</v>
      </c>
      <c r="Z575" t="n">
        <v>244</v>
      </c>
      <c r="AA575" t="n">
        <v>640</v>
      </c>
      <c r="AB575" t="n">
        <v>3</v>
      </c>
      <c r="AC575" t="n">
        <v>4</v>
      </c>
      <c r="AD575" t="n">
        <v>14</v>
      </c>
      <c r="AE575" t="n">
        <v>32</v>
      </c>
      <c r="AF575" t="n">
        <v>7</v>
      </c>
      <c r="AG575" t="n">
        <v>15</v>
      </c>
      <c r="AH575" t="n">
        <v>3</v>
      </c>
      <c r="AI575" t="n">
        <v>6</v>
      </c>
      <c r="AJ575" t="n">
        <v>6</v>
      </c>
      <c r="AK575" t="n">
        <v>15</v>
      </c>
      <c r="AL575" t="n">
        <v>2</v>
      </c>
      <c r="AM575" t="n">
        <v>3</v>
      </c>
      <c r="AN575" t="n">
        <v>0</v>
      </c>
      <c r="AO575" t="n">
        <v>1</v>
      </c>
      <c r="AP575" t="inlineStr">
        <is>
          <t>No</t>
        </is>
      </c>
      <c r="AQ575" t="inlineStr">
        <is>
          <t>No</t>
        </is>
      </c>
      <c r="AS575">
        <f>HYPERLINK("https://creighton-primo.hosted.exlibrisgroup.com/primo-explore/search?tab=default_tab&amp;search_scope=EVERYTHING&amp;vid=01CRU&amp;lang=en_US&amp;offset=0&amp;query=any,contains,991002122969702656","Catalog Record")</f>
        <v/>
      </c>
      <c r="AT575">
        <f>HYPERLINK("http://www.worldcat.org/oclc/27187174","WorldCat Record")</f>
        <v/>
      </c>
      <c r="AU575" t="inlineStr">
        <is>
          <t>328020:eng</t>
        </is>
      </c>
      <c r="AV575" t="inlineStr">
        <is>
          <t>27187174</t>
        </is>
      </c>
      <c r="AW575" t="inlineStr">
        <is>
          <t>991002122969702656</t>
        </is>
      </c>
      <c r="AX575" t="inlineStr">
        <is>
          <t>991002122969702656</t>
        </is>
      </c>
      <c r="AY575" t="inlineStr">
        <is>
          <t>2267512590002656</t>
        </is>
      </c>
      <c r="AZ575" t="inlineStr">
        <is>
          <t>BOOK</t>
        </is>
      </c>
      <c r="BB575" t="inlineStr">
        <is>
          <t>9780195083989</t>
        </is>
      </c>
      <c r="BC575" t="inlineStr">
        <is>
          <t>32285002139037</t>
        </is>
      </c>
      <c r="BD575" t="inlineStr">
        <is>
          <t>893420958</t>
        </is>
      </c>
    </row>
    <row r="576">
      <c r="A576" t="inlineStr">
        <is>
          <t>No</t>
        </is>
      </c>
      <c r="B576" t="inlineStr">
        <is>
          <t>HN90.M3 P47 1986</t>
        </is>
      </c>
      <c r="C576" t="inlineStr">
        <is>
          <t>0                      HN 0090000M  3                  P  47          1986</t>
        </is>
      </c>
      <c r="D576" t="inlineStr">
        <is>
          <t>Perspectives on media effects / edited by Jennings Bryant, Dolf Zillmann.</t>
        </is>
      </c>
      <c r="F576" t="inlineStr">
        <is>
          <t>No</t>
        </is>
      </c>
      <c r="G576" t="inlineStr">
        <is>
          <t>1</t>
        </is>
      </c>
      <c r="H576" t="inlineStr">
        <is>
          <t>No</t>
        </is>
      </c>
      <c r="I576" t="inlineStr">
        <is>
          <t>No</t>
        </is>
      </c>
      <c r="J576" t="inlineStr">
        <is>
          <t>0</t>
        </is>
      </c>
      <c r="L576" t="inlineStr">
        <is>
          <t>Hillsdale, N.J. : L. Erlbaum Associates, 1986.</t>
        </is>
      </c>
      <c r="M576" t="inlineStr">
        <is>
          <t>1986</t>
        </is>
      </c>
      <c r="O576" t="inlineStr">
        <is>
          <t>eng</t>
        </is>
      </c>
      <c r="P576" t="inlineStr">
        <is>
          <t>nju</t>
        </is>
      </c>
      <c r="R576" t="inlineStr">
        <is>
          <t xml:space="preserve">HN </t>
        </is>
      </c>
      <c r="S576" t="n">
        <v>25</v>
      </c>
      <c r="T576" t="n">
        <v>25</v>
      </c>
      <c r="U576" t="inlineStr">
        <is>
          <t>2008-06-20</t>
        </is>
      </c>
      <c r="V576" t="inlineStr">
        <is>
          <t>2008-06-20</t>
        </is>
      </c>
      <c r="W576" t="inlineStr">
        <is>
          <t>1991-12-06</t>
        </is>
      </c>
      <c r="X576" t="inlineStr">
        <is>
          <t>1991-12-06</t>
        </is>
      </c>
      <c r="Y576" t="n">
        <v>621</v>
      </c>
      <c r="Z576" t="n">
        <v>526</v>
      </c>
      <c r="AA576" t="n">
        <v>533</v>
      </c>
      <c r="AB576" t="n">
        <v>8</v>
      </c>
      <c r="AC576" t="n">
        <v>8</v>
      </c>
      <c r="AD576" t="n">
        <v>38</v>
      </c>
      <c r="AE576" t="n">
        <v>38</v>
      </c>
      <c r="AF576" t="n">
        <v>17</v>
      </c>
      <c r="AG576" t="n">
        <v>17</v>
      </c>
      <c r="AH576" t="n">
        <v>7</v>
      </c>
      <c r="AI576" t="n">
        <v>7</v>
      </c>
      <c r="AJ576" t="n">
        <v>17</v>
      </c>
      <c r="AK576" t="n">
        <v>17</v>
      </c>
      <c r="AL576" t="n">
        <v>7</v>
      </c>
      <c r="AM576" t="n">
        <v>7</v>
      </c>
      <c r="AN576" t="n">
        <v>0</v>
      </c>
      <c r="AO576" t="n">
        <v>0</v>
      </c>
      <c r="AP576" t="inlineStr">
        <is>
          <t>No</t>
        </is>
      </c>
      <c r="AQ576" t="inlineStr">
        <is>
          <t>Yes</t>
        </is>
      </c>
      <c r="AR576">
        <f>HYPERLINK("http://catalog.hathitrust.org/Record/000473976","HathiTrust Record")</f>
        <v/>
      </c>
      <c r="AS576">
        <f>HYPERLINK("https://creighton-primo.hosted.exlibrisgroup.com/primo-explore/search?tab=default_tab&amp;search_scope=EVERYTHING&amp;vid=01CRU&amp;lang=en_US&amp;offset=0&amp;query=any,contains,991000660119702656","Catalog Record")</f>
        <v/>
      </c>
      <c r="AT576">
        <f>HYPERLINK("http://www.worldcat.org/oclc/12237521","WorldCat Record")</f>
        <v/>
      </c>
      <c r="AU576" t="inlineStr">
        <is>
          <t>350307317:eng</t>
        </is>
      </c>
      <c r="AV576" t="inlineStr">
        <is>
          <t>12237521</t>
        </is>
      </c>
      <c r="AW576" t="inlineStr">
        <is>
          <t>991000660119702656</t>
        </is>
      </c>
      <c r="AX576" t="inlineStr">
        <is>
          <t>991000660119702656</t>
        </is>
      </c>
      <c r="AY576" t="inlineStr">
        <is>
          <t>2268490980002656</t>
        </is>
      </c>
      <c r="AZ576" t="inlineStr">
        <is>
          <t>BOOK</t>
        </is>
      </c>
      <c r="BB576" t="inlineStr">
        <is>
          <t>9780898596410</t>
        </is>
      </c>
      <c r="BC576" t="inlineStr">
        <is>
          <t>32285000829191</t>
        </is>
      </c>
      <c r="BD576" t="inlineStr">
        <is>
          <t>893614384</t>
        </is>
      </c>
    </row>
    <row r="577">
      <c r="A577" t="inlineStr">
        <is>
          <t>No</t>
        </is>
      </c>
      <c r="B577" t="inlineStr">
        <is>
          <t>HN90.M3 P8 1989</t>
        </is>
      </c>
      <c r="C577" t="inlineStr">
        <is>
          <t>0                      HN 0090000M  3                  P  8           1989</t>
        </is>
      </c>
      <c r="D577" t="inlineStr">
        <is>
          <t>Public communication campaigns / edited by Ronald E. Rice, Charles K. Atkin.</t>
        </is>
      </c>
      <c r="F577" t="inlineStr">
        <is>
          <t>No</t>
        </is>
      </c>
      <c r="G577" t="inlineStr">
        <is>
          <t>1</t>
        </is>
      </c>
      <c r="H577" t="inlineStr">
        <is>
          <t>No</t>
        </is>
      </c>
      <c r="I577" t="inlineStr">
        <is>
          <t>No</t>
        </is>
      </c>
      <c r="J577" t="inlineStr">
        <is>
          <t>0</t>
        </is>
      </c>
      <c r="L577" t="inlineStr">
        <is>
          <t>Newbury Park : Sage, c1989.</t>
        </is>
      </c>
      <c r="M577" t="inlineStr">
        <is>
          <t>1989</t>
        </is>
      </c>
      <c r="N577" t="inlineStr">
        <is>
          <t>2nd ed.</t>
        </is>
      </c>
      <c r="O577" t="inlineStr">
        <is>
          <t>eng</t>
        </is>
      </c>
      <c r="P577" t="inlineStr">
        <is>
          <t>cau</t>
        </is>
      </c>
      <c r="R577" t="inlineStr">
        <is>
          <t xml:space="preserve">HN </t>
        </is>
      </c>
      <c r="S577" t="n">
        <v>10</v>
      </c>
      <c r="T577" t="n">
        <v>10</v>
      </c>
      <c r="U577" t="inlineStr">
        <is>
          <t>2000-02-29</t>
        </is>
      </c>
      <c r="V577" t="inlineStr">
        <is>
          <t>2000-02-29</t>
        </is>
      </c>
      <c r="W577" t="inlineStr">
        <is>
          <t>1990-01-30</t>
        </is>
      </c>
      <c r="X577" t="inlineStr">
        <is>
          <t>1990-01-30</t>
        </is>
      </c>
      <c r="Y577" t="n">
        <v>484</v>
      </c>
      <c r="Z577" t="n">
        <v>380</v>
      </c>
      <c r="AA577" t="n">
        <v>736</v>
      </c>
      <c r="AB577" t="n">
        <v>3</v>
      </c>
      <c r="AC577" t="n">
        <v>4</v>
      </c>
      <c r="AD577" t="n">
        <v>22</v>
      </c>
      <c r="AE577" t="n">
        <v>38</v>
      </c>
      <c r="AF577" t="n">
        <v>11</v>
      </c>
      <c r="AG577" t="n">
        <v>20</v>
      </c>
      <c r="AH577" t="n">
        <v>3</v>
      </c>
      <c r="AI577" t="n">
        <v>8</v>
      </c>
      <c r="AJ577" t="n">
        <v>12</v>
      </c>
      <c r="AK577" t="n">
        <v>16</v>
      </c>
      <c r="AL577" t="n">
        <v>2</v>
      </c>
      <c r="AM577" t="n">
        <v>3</v>
      </c>
      <c r="AN577" t="n">
        <v>0</v>
      </c>
      <c r="AO577" t="n">
        <v>0</v>
      </c>
      <c r="AP577" t="inlineStr">
        <is>
          <t>No</t>
        </is>
      </c>
      <c r="AQ577" t="inlineStr">
        <is>
          <t>Yes</t>
        </is>
      </c>
      <c r="AR577">
        <f>HYPERLINK("http://catalog.hathitrust.org/Record/001550451","HathiTrust Record")</f>
        <v/>
      </c>
      <c r="AS577">
        <f>HYPERLINK("https://creighton-primo.hosted.exlibrisgroup.com/primo-explore/search?tab=default_tab&amp;search_scope=EVERYTHING&amp;vid=01CRU&amp;lang=en_US&amp;offset=0&amp;query=any,contains,991001441689702656","Catalog Record")</f>
        <v/>
      </c>
      <c r="AT577">
        <f>HYPERLINK("http://www.worldcat.org/oclc/19262834","WorldCat Record")</f>
        <v/>
      </c>
      <c r="AU577" t="inlineStr">
        <is>
          <t>364387742:eng</t>
        </is>
      </c>
      <c r="AV577" t="inlineStr">
        <is>
          <t>19262834</t>
        </is>
      </c>
      <c r="AW577" t="inlineStr">
        <is>
          <t>991001441689702656</t>
        </is>
      </c>
      <c r="AX577" t="inlineStr">
        <is>
          <t>991001441689702656</t>
        </is>
      </c>
      <c r="AY577" t="inlineStr">
        <is>
          <t>2272784220002656</t>
        </is>
      </c>
      <c r="AZ577" t="inlineStr">
        <is>
          <t>BOOK</t>
        </is>
      </c>
      <c r="BB577" t="inlineStr">
        <is>
          <t>9780803932630</t>
        </is>
      </c>
      <c r="BC577" t="inlineStr">
        <is>
          <t>32285000035898</t>
        </is>
      </c>
      <c r="BD577" t="inlineStr">
        <is>
          <t>893709272</t>
        </is>
      </c>
    </row>
    <row r="578">
      <c r="A578" t="inlineStr">
        <is>
          <t>No</t>
        </is>
      </c>
      <c r="B578" t="inlineStr">
        <is>
          <t>HN90.M3 R8</t>
        </is>
      </c>
      <c r="C578" t="inlineStr">
        <is>
          <t>0                      HN 0090000M  3                  R  8</t>
        </is>
      </c>
      <c r="D578" t="inlineStr">
        <is>
          <t>Media, politics, and democracy / Bernard Rubin.</t>
        </is>
      </c>
      <c r="F578" t="inlineStr">
        <is>
          <t>No</t>
        </is>
      </c>
      <c r="G578" t="inlineStr">
        <is>
          <t>1</t>
        </is>
      </c>
      <c r="H578" t="inlineStr">
        <is>
          <t>No</t>
        </is>
      </c>
      <c r="I578" t="inlineStr">
        <is>
          <t>No</t>
        </is>
      </c>
      <c r="J578" t="inlineStr">
        <is>
          <t>0</t>
        </is>
      </c>
      <c r="K578" t="inlineStr">
        <is>
          <t>Rubin, Bernard.</t>
        </is>
      </c>
      <c r="L578" t="inlineStr">
        <is>
          <t>New York : Oxford University Press, 1977.</t>
        </is>
      </c>
      <c r="M578" t="inlineStr">
        <is>
          <t>1977</t>
        </is>
      </c>
      <c r="O578" t="inlineStr">
        <is>
          <t>eng</t>
        </is>
      </c>
      <c r="P578" t="inlineStr">
        <is>
          <t>nyu</t>
        </is>
      </c>
      <c r="Q578" t="inlineStr">
        <is>
          <t>Reconstruction of society series</t>
        </is>
      </c>
      <c r="R578" t="inlineStr">
        <is>
          <t xml:space="preserve">HN </t>
        </is>
      </c>
      <c r="S578" t="n">
        <v>6</v>
      </c>
      <c r="T578" t="n">
        <v>6</v>
      </c>
      <c r="U578" t="inlineStr">
        <is>
          <t>2000-04-17</t>
        </is>
      </c>
      <c r="V578" t="inlineStr">
        <is>
          <t>2000-04-17</t>
        </is>
      </c>
      <c r="W578" t="inlineStr">
        <is>
          <t>1992-04-07</t>
        </is>
      </c>
      <c r="X578" t="inlineStr">
        <is>
          <t>1992-04-07</t>
        </is>
      </c>
      <c r="Y578" t="n">
        <v>549</v>
      </c>
      <c r="Z578" t="n">
        <v>426</v>
      </c>
      <c r="AA578" t="n">
        <v>431</v>
      </c>
      <c r="AB578" t="n">
        <v>3</v>
      </c>
      <c r="AC578" t="n">
        <v>3</v>
      </c>
      <c r="AD578" t="n">
        <v>25</v>
      </c>
      <c r="AE578" t="n">
        <v>25</v>
      </c>
      <c r="AF578" t="n">
        <v>13</v>
      </c>
      <c r="AG578" t="n">
        <v>13</v>
      </c>
      <c r="AH578" t="n">
        <v>5</v>
      </c>
      <c r="AI578" t="n">
        <v>5</v>
      </c>
      <c r="AJ578" t="n">
        <v>13</v>
      </c>
      <c r="AK578" t="n">
        <v>13</v>
      </c>
      <c r="AL578" t="n">
        <v>2</v>
      </c>
      <c r="AM578" t="n">
        <v>2</v>
      </c>
      <c r="AN578" t="n">
        <v>0</v>
      </c>
      <c r="AO578" t="n">
        <v>0</v>
      </c>
      <c r="AP578" t="inlineStr">
        <is>
          <t>No</t>
        </is>
      </c>
      <c r="AQ578" t="inlineStr">
        <is>
          <t>No</t>
        </is>
      </c>
      <c r="AS578">
        <f>HYPERLINK("https://creighton-primo.hosted.exlibrisgroup.com/primo-explore/search?tab=default_tab&amp;search_scope=EVERYTHING&amp;vid=01CRU&amp;lang=en_US&amp;offset=0&amp;query=any,contains,991004294699702656","Catalog Record")</f>
        <v/>
      </c>
      <c r="AT578">
        <f>HYPERLINK("http://www.worldcat.org/oclc/2962133","WorldCat Record")</f>
        <v/>
      </c>
      <c r="AU578" t="inlineStr">
        <is>
          <t>6549445:eng</t>
        </is>
      </c>
      <c r="AV578" t="inlineStr">
        <is>
          <t>2962133</t>
        </is>
      </c>
      <c r="AW578" t="inlineStr">
        <is>
          <t>991004294699702656</t>
        </is>
      </c>
      <c r="AX578" t="inlineStr">
        <is>
          <t>991004294699702656</t>
        </is>
      </c>
      <c r="AY578" t="inlineStr">
        <is>
          <t>2269695040002656</t>
        </is>
      </c>
      <c r="AZ578" t="inlineStr">
        <is>
          <t>BOOK</t>
        </is>
      </c>
      <c r="BB578" t="inlineStr">
        <is>
          <t>9780195020076</t>
        </is>
      </c>
      <c r="BC578" t="inlineStr">
        <is>
          <t>32285001055309</t>
        </is>
      </c>
      <c r="BD578" t="inlineStr">
        <is>
          <t>893700066</t>
        </is>
      </c>
    </row>
    <row r="579">
      <c r="A579" t="inlineStr">
        <is>
          <t>No</t>
        </is>
      </c>
      <c r="B579" t="inlineStr">
        <is>
          <t>HN90.M3 S6</t>
        </is>
      </c>
      <c r="C579" t="inlineStr">
        <is>
          <t>0                      HN 0090000M  3                  S  6</t>
        </is>
      </c>
      <c r="D579" t="inlineStr">
        <is>
          <t>Small voices &amp; great trumpets : minorities &amp; the media / edited by Bernard Rubin.</t>
        </is>
      </c>
      <c r="F579" t="inlineStr">
        <is>
          <t>No</t>
        </is>
      </c>
      <c r="G579" t="inlineStr">
        <is>
          <t>1</t>
        </is>
      </c>
      <c r="H579" t="inlineStr">
        <is>
          <t>No</t>
        </is>
      </c>
      <c r="I579" t="inlineStr">
        <is>
          <t>No</t>
        </is>
      </c>
      <c r="J579" t="inlineStr">
        <is>
          <t>0</t>
        </is>
      </c>
      <c r="L579" t="inlineStr">
        <is>
          <t>New York, N.Y. : Praeger, 1980.</t>
        </is>
      </c>
      <c r="M579" t="inlineStr">
        <is>
          <t>1980</t>
        </is>
      </c>
      <c r="O579" t="inlineStr">
        <is>
          <t>eng</t>
        </is>
      </c>
      <c r="P579" t="inlineStr">
        <is>
          <t>nyu</t>
        </is>
      </c>
      <c r="R579" t="inlineStr">
        <is>
          <t xml:space="preserve">HN </t>
        </is>
      </c>
      <c r="S579" t="n">
        <v>7</v>
      </c>
      <c r="T579" t="n">
        <v>7</v>
      </c>
      <c r="U579" t="inlineStr">
        <is>
          <t>2004-03-29</t>
        </is>
      </c>
      <c r="V579" t="inlineStr">
        <is>
          <t>2004-03-29</t>
        </is>
      </c>
      <c r="W579" t="inlineStr">
        <is>
          <t>1991-12-16</t>
        </is>
      </c>
      <c r="X579" t="inlineStr">
        <is>
          <t>1991-12-16</t>
        </is>
      </c>
      <c r="Y579" t="n">
        <v>435</v>
      </c>
      <c r="Z579" t="n">
        <v>389</v>
      </c>
      <c r="AA579" t="n">
        <v>395</v>
      </c>
      <c r="AB579" t="n">
        <v>3</v>
      </c>
      <c r="AC579" t="n">
        <v>3</v>
      </c>
      <c r="AD579" t="n">
        <v>16</v>
      </c>
      <c r="AE579" t="n">
        <v>16</v>
      </c>
      <c r="AF579" t="n">
        <v>6</v>
      </c>
      <c r="AG579" t="n">
        <v>6</v>
      </c>
      <c r="AH579" t="n">
        <v>2</v>
      </c>
      <c r="AI579" t="n">
        <v>2</v>
      </c>
      <c r="AJ579" t="n">
        <v>10</v>
      </c>
      <c r="AK579" t="n">
        <v>10</v>
      </c>
      <c r="AL579" t="n">
        <v>2</v>
      </c>
      <c r="AM579" t="n">
        <v>2</v>
      </c>
      <c r="AN579" t="n">
        <v>0</v>
      </c>
      <c r="AO579" t="n">
        <v>0</v>
      </c>
      <c r="AP579" t="inlineStr">
        <is>
          <t>No</t>
        </is>
      </c>
      <c r="AQ579" t="inlineStr">
        <is>
          <t>Yes</t>
        </is>
      </c>
      <c r="AR579">
        <f>HYPERLINK("http://catalog.hathitrust.org/Record/000261569","HathiTrust Record")</f>
        <v/>
      </c>
      <c r="AS579">
        <f>HYPERLINK("https://creighton-primo.hosted.exlibrisgroup.com/primo-explore/search?tab=default_tab&amp;search_scope=EVERYTHING&amp;vid=01CRU&amp;lang=en_US&amp;offset=0&amp;query=any,contains,991004936129702656","Catalog Record")</f>
        <v/>
      </c>
      <c r="AT579">
        <f>HYPERLINK("http://www.worldcat.org/oclc/6143089","WorldCat Record")</f>
        <v/>
      </c>
      <c r="AU579" t="inlineStr">
        <is>
          <t>896770009:eng</t>
        </is>
      </c>
      <c r="AV579" t="inlineStr">
        <is>
          <t>6143089</t>
        </is>
      </c>
      <c r="AW579" t="inlineStr">
        <is>
          <t>991004936129702656</t>
        </is>
      </c>
      <c r="AX579" t="inlineStr">
        <is>
          <t>991004936129702656</t>
        </is>
      </c>
      <c r="AY579" t="inlineStr">
        <is>
          <t>2259878630002656</t>
        </is>
      </c>
      <c r="AZ579" t="inlineStr">
        <is>
          <t>BOOK</t>
        </is>
      </c>
      <c r="BB579" t="inlineStr">
        <is>
          <t>9780030569722</t>
        </is>
      </c>
      <c r="BC579" t="inlineStr">
        <is>
          <t>32285000906551</t>
        </is>
      </c>
      <c r="BD579" t="inlineStr">
        <is>
          <t>893901915</t>
        </is>
      </c>
    </row>
    <row r="580">
      <c r="A580" t="inlineStr">
        <is>
          <t>No</t>
        </is>
      </c>
      <c r="B580" t="inlineStr">
        <is>
          <t>HN90.M3 S63 1991</t>
        </is>
      </c>
      <c r="C580" t="inlineStr">
        <is>
          <t>0                      HN 0090000M  3                  S  63          1991</t>
        </is>
      </c>
      <c r="D580" t="inlineStr">
        <is>
          <t>The age of behemoths : the globalization of mass media firms / by Anthony David Smith.</t>
        </is>
      </c>
      <c r="F580" t="inlineStr">
        <is>
          <t>No</t>
        </is>
      </c>
      <c r="G580" t="inlineStr">
        <is>
          <t>1</t>
        </is>
      </c>
      <c r="H580" t="inlineStr">
        <is>
          <t>No</t>
        </is>
      </c>
      <c r="I580" t="inlineStr">
        <is>
          <t>No</t>
        </is>
      </c>
      <c r="J580" t="inlineStr">
        <is>
          <t>0</t>
        </is>
      </c>
      <c r="K580" t="inlineStr">
        <is>
          <t>Smith, Anthony, 1938-</t>
        </is>
      </c>
      <c r="L580" t="inlineStr">
        <is>
          <t>New York : Priority Press Publications, 1991.</t>
        </is>
      </c>
      <c r="M580" t="inlineStr">
        <is>
          <t>1991</t>
        </is>
      </c>
      <c r="O580" t="inlineStr">
        <is>
          <t>eng</t>
        </is>
      </c>
      <c r="P580" t="inlineStr">
        <is>
          <t>nyu</t>
        </is>
      </c>
      <c r="R580" t="inlineStr">
        <is>
          <t xml:space="preserve">HN </t>
        </is>
      </c>
      <c r="S580" t="n">
        <v>3</v>
      </c>
      <c r="T580" t="n">
        <v>3</v>
      </c>
      <c r="U580" t="inlineStr">
        <is>
          <t>1999-01-17</t>
        </is>
      </c>
      <c r="V580" t="inlineStr">
        <is>
          <t>1999-01-17</t>
        </is>
      </c>
      <c r="W580" t="inlineStr">
        <is>
          <t>1991-07-03</t>
        </is>
      </c>
      <c r="X580" t="inlineStr">
        <is>
          <t>1991-07-03</t>
        </is>
      </c>
      <c r="Y580" t="n">
        <v>325</v>
      </c>
      <c r="Z580" t="n">
        <v>258</v>
      </c>
      <c r="AA580" t="n">
        <v>259</v>
      </c>
      <c r="AB580" t="n">
        <v>3</v>
      </c>
      <c r="AC580" t="n">
        <v>3</v>
      </c>
      <c r="AD580" t="n">
        <v>17</v>
      </c>
      <c r="AE580" t="n">
        <v>17</v>
      </c>
      <c r="AF580" t="n">
        <v>5</v>
      </c>
      <c r="AG580" t="n">
        <v>5</v>
      </c>
      <c r="AH580" t="n">
        <v>3</v>
      </c>
      <c r="AI580" t="n">
        <v>3</v>
      </c>
      <c r="AJ580" t="n">
        <v>11</v>
      </c>
      <c r="AK580" t="n">
        <v>11</v>
      </c>
      <c r="AL580" t="n">
        <v>2</v>
      </c>
      <c r="AM580" t="n">
        <v>2</v>
      </c>
      <c r="AN580" t="n">
        <v>2</v>
      </c>
      <c r="AO580" t="n">
        <v>2</v>
      </c>
      <c r="AP580" t="inlineStr">
        <is>
          <t>No</t>
        </is>
      </c>
      <c r="AQ580" t="inlineStr">
        <is>
          <t>Yes</t>
        </is>
      </c>
      <c r="AR580">
        <f>HYPERLINK("http://catalog.hathitrust.org/Record/002468162","HathiTrust Record")</f>
        <v/>
      </c>
      <c r="AS580">
        <f>HYPERLINK("https://creighton-primo.hosted.exlibrisgroup.com/primo-explore/search?tab=default_tab&amp;search_scope=EVERYTHING&amp;vid=01CRU&amp;lang=en_US&amp;offset=0&amp;query=any,contains,991001849299702656","Catalog Record")</f>
        <v/>
      </c>
      <c r="AT580">
        <f>HYPERLINK("http://www.worldcat.org/oclc/23214974","WorldCat Record")</f>
        <v/>
      </c>
      <c r="AU580" t="inlineStr">
        <is>
          <t>24932681:eng</t>
        </is>
      </c>
      <c r="AV580" t="inlineStr">
        <is>
          <t>23214974</t>
        </is>
      </c>
      <c r="AW580" t="inlineStr">
        <is>
          <t>991001849299702656</t>
        </is>
      </c>
      <c r="AX580" t="inlineStr">
        <is>
          <t>991001849299702656</t>
        </is>
      </c>
      <c r="AY580" t="inlineStr">
        <is>
          <t>2260986220002656</t>
        </is>
      </c>
      <c r="AZ580" t="inlineStr">
        <is>
          <t>BOOK</t>
        </is>
      </c>
      <c r="BB580" t="inlineStr">
        <is>
          <t>9780870783258</t>
        </is>
      </c>
      <c r="BC580" t="inlineStr">
        <is>
          <t>32285000648500</t>
        </is>
      </c>
      <c r="BD580" t="inlineStr">
        <is>
          <t>893621667</t>
        </is>
      </c>
    </row>
    <row r="581">
      <c r="A581" t="inlineStr">
        <is>
          <t>No</t>
        </is>
      </c>
      <c r="B581" t="inlineStr">
        <is>
          <t>HN90.M6 A6 2010</t>
        </is>
      </c>
      <c r="C581" t="inlineStr">
        <is>
          <t>0                      HN 0090000M  6                  A  6           2010</t>
        </is>
      </c>
      <c r="D581" t="inlineStr">
        <is>
          <t>Beyond a house divided : the moral consensus ignored by Washington, Wall Street, and the media / Carl Anderson.</t>
        </is>
      </c>
      <c r="F581" t="inlineStr">
        <is>
          <t>No</t>
        </is>
      </c>
      <c r="G581" t="inlineStr">
        <is>
          <t>1</t>
        </is>
      </c>
      <c r="H581" t="inlineStr">
        <is>
          <t>No</t>
        </is>
      </c>
      <c r="I581" t="inlineStr">
        <is>
          <t>No</t>
        </is>
      </c>
      <c r="J581" t="inlineStr">
        <is>
          <t>0</t>
        </is>
      </c>
      <c r="K581" t="inlineStr">
        <is>
          <t>Anderson, Carl A.</t>
        </is>
      </c>
      <c r="L581" t="inlineStr">
        <is>
          <t>New York : Doubleday c2010.</t>
        </is>
      </c>
      <c r="M581" t="inlineStr">
        <is>
          <t>2010</t>
        </is>
      </c>
      <c r="N581" t="inlineStr">
        <is>
          <t>1st ed.</t>
        </is>
      </c>
      <c r="O581" t="inlineStr">
        <is>
          <t>eng</t>
        </is>
      </c>
      <c r="P581" t="inlineStr">
        <is>
          <t>nyu</t>
        </is>
      </c>
      <c r="R581" t="inlineStr">
        <is>
          <t xml:space="preserve">HN </t>
        </is>
      </c>
      <c r="S581" t="n">
        <v>2</v>
      </c>
      <c r="T581" t="n">
        <v>2</v>
      </c>
      <c r="U581" t="inlineStr">
        <is>
          <t>2010-12-09</t>
        </is>
      </c>
      <c r="V581" t="inlineStr">
        <is>
          <t>2010-12-09</t>
        </is>
      </c>
      <c r="W581" t="inlineStr">
        <is>
          <t>2010-12-09</t>
        </is>
      </c>
      <c r="X581" t="inlineStr">
        <is>
          <t>2010-12-09</t>
        </is>
      </c>
      <c r="Y581" t="n">
        <v>204</v>
      </c>
      <c r="Z581" t="n">
        <v>202</v>
      </c>
      <c r="AA581" t="n">
        <v>233</v>
      </c>
      <c r="AB581" t="n">
        <v>3</v>
      </c>
      <c r="AC581" t="n">
        <v>3</v>
      </c>
      <c r="AD581" t="n">
        <v>17</v>
      </c>
      <c r="AE581" t="n">
        <v>17</v>
      </c>
      <c r="AF581" t="n">
        <v>4</v>
      </c>
      <c r="AG581" t="n">
        <v>4</v>
      </c>
      <c r="AH581" t="n">
        <v>4</v>
      </c>
      <c r="AI581" t="n">
        <v>4</v>
      </c>
      <c r="AJ581" t="n">
        <v>13</v>
      </c>
      <c r="AK581" t="n">
        <v>13</v>
      </c>
      <c r="AL581" t="n">
        <v>1</v>
      </c>
      <c r="AM581" t="n">
        <v>1</v>
      </c>
      <c r="AN581" t="n">
        <v>0</v>
      </c>
      <c r="AO581" t="n">
        <v>0</v>
      </c>
      <c r="AP581" t="inlineStr">
        <is>
          <t>No</t>
        </is>
      </c>
      <c r="AQ581" t="inlineStr">
        <is>
          <t>No</t>
        </is>
      </c>
      <c r="AS581">
        <f>HYPERLINK("https://creighton-primo.hosted.exlibrisgroup.com/primo-explore/search?tab=default_tab&amp;search_scope=EVERYTHING&amp;vid=01CRU&amp;lang=en_US&amp;offset=0&amp;query=any,contains,991000393629702656","Catalog Record")</f>
        <v/>
      </c>
      <c r="AT581">
        <f>HYPERLINK("http://www.worldcat.org/oclc/651916697","WorldCat Record")</f>
        <v/>
      </c>
      <c r="AU581" t="inlineStr">
        <is>
          <t>794380367:eng</t>
        </is>
      </c>
      <c r="AV581" t="inlineStr">
        <is>
          <t>651916697</t>
        </is>
      </c>
      <c r="AW581" t="inlineStr">
        <is>
          <t>991000393629702656</t>
        </is>
      </c>
      <c r="AX581" t="inlineStr">
        <is>
          <t>991000393629702656</t>
        </is>
      </c>
      <c r="AY581" t="inlineStr">
        <is>
          <t>2261674950002656</t>
        </is>
      </c>
      <c r="AZ581" t="inlineStr">
        <is>
          <t>BOOK</t>
        </is>
      </c>
      <c r="BB581" t="inlineStr">
        <is>
          <t>9780307887740</t>
        </is>
      </c>
      <c r="BC581" t="inlineStr">
        <is>
          <t>32285005650295</t>
        </is>
      </c>
      <c r="BD581" t="inlineStr">
        <is>
          <t>893345611</t>
        </is>
      </c>
    </row>
    <row r="582">
      <c r="A582" t="inlineStr">
        <is>
          <t>No</t>
        </is>
      </c>
      <c r="B582" t="inlineStr">
        <is>
          <t>HN90.M6 B78 2003</t>
        </is>
      </c>
      <c r="C582" t="inlineStr">
        <is>
          <t>0                      HN 0090000M  6                  B  78          2003</t>
        </is>
      </c>
      <c r="D582" t="inlineStr">
        <is>
          <t>The death of right and wrong : exposing the left's assault on our culture and values / Tammy Bruce.</t>
        </is>
      </c>
      <c r="F582" t="inlineStr">
        <is>
          <t>No</t>
        </is>
      </c>
      <c r="G582" t="inlineStr">
        <is>
          <t>1</t>
        </is>
      </c>
      <c r="H582" t="inlineStr">
        <is>
          <t>No</t>
        </is>
      </c>
      <c r="I582" t="inlineStr">
        <is>
          <t>No</t>
        </is>
      </c>
      <c r="J582" t="inlineStr">
        <is>
          <t>0</t>
        </is>
      </c>
      <c r="K582" t="inlineStr">
        <is>
          <t>Bruce, Tammy.</t>
        </is>
      </c>
      <c r="L582" t="inlineStr">
        <is>
          <t>Roseville, Calif. : Forum/Prima, c2003.</t>
        </is>
      </c>
      <c r="M582" t="inlineStr">
        <is>
          <t>2003</t>
        </is>
      </c>
      <c r="N582" t="inlineStr">
        <is>
          <t>1st ed.</t>
        </is>
      </c>
      <c r="O582" t="inlineStr">
        <is>
          <t>eng</t>
        </is>
      </c>
      <c r="P582" t="inlineStr">
        <is>
          <t>cau</t>
        </is>
      </c>
      <c r="R582" t="inlineStr">
        <is>
          <t xml:space="preserve">HN </t>
        </is>
      </c>
      <c r="S582" t="n">
        <v>2</v>
      </c>
      <c r="T582" t="n">
        <v>2</v>
      </c>
      <c r="U582" t="inlineStr">
        <is>
          <t>2003-07-23</t>
        </is>
      </c>
      <c r="V582" t="inlineStr">
        <is>
          <t>2003-07-23</t>
        </is>
      </c>
      <c r="W582" t="inlineStr">
        <is>
          <t>2003-06-09</t>
        </is>
      </c>
      <c r="X582" t="inlineStr">
        <is>
          <t>2003-06-09</t>
        </is>
      </c>
      <c r="Y582" t="n">
        <v>655</v>
      </c>
      <c r="Z582" t="n">
        <v>625</v>
      </c>
      <c r="AA582" t="n">
        <v>684</v>
      </c>
      <c r="AB582" t="n">
        <v>7</v>
      </c>
      <c r="AC582" t="n">
        <v>7</v>
      </c>
      <c r="AD582" t="n">
        <v>15</v>
      </c>
      <c r="AE582" t="n">
        <v>15</v>
      </c>
      <c r="AF582" t="n">
        <v>3</v>
      </c>
      <c r="AG582" t="n">
        <v>3</v>
      </c>
      <c r="AH582" t="n">
        <v>2</v>
      </c>
      <c r="AI582" t="n">
        <v>2</v>
      </c>
      <c r="AJ582" t="n">
        <v>8</v>
      </c>
      <c r="AK582" t="n">
        <v>8</v>
      </c>
      <c r="AL582" t="n">
        <v>4</v>
      </c>
      <c r="AM582" t="n">
        <v>4</v>
      </c>
      <c r="AN582" t="n">
        <v>1</v>
      </c>
      <c r="AO582" t="n">
        <v>1</v>
      </c>
      <c r="AP582" t="inlineStr">
        <is>
          <t>No</t>
        </is>
      </c>
      <c r="AQ582" t="inlineStr">
        <is>
          <t>No</t>
        </is>
      </c>
      <c r="AS582">
        <f>HYPERLINK("https://creighton-primo.hosted.exlibrisgroup.com/primo-explore/search?tab=default_tab&amp;search_scope=EVERYTHING&amp;vid=01CRU&amp;lang=en_US&amp;offset=0&amp;query=any,contains,991004057249702656","Catalog Record")</f>
        <v/>
      </c>
      <c r="AT582">
        <f>HYPERLINK("http://www.worldcat.org/oclc/51293804","WorldCat Record")</f>
        <v/>
      </c>
      <c r="AU582" t="inlineStr">
        <is>
          <t>866293646:eng</t>
        </is>
      </c>
      <c r="AV582" t="inlineStr">
        <is>
          <t>51293804</t>
        </is>
      </c>
      <c r="AW582" t="inlineStr">
        <is>
          <t>991004057249702656</t>
        </is>
      </c>
      <c r="AX582" t="inlineStr">
        <is>
          <t>991004057249702656</t>
        </is>
      </c>
      <c r="AY582" t="inlineStr">
        <is>
          <t>2261042370002656</t>
        </is>
      </c>
      <c r="AZ582" t="inlineStr">
        <is>
          <t>BOOK</t>
        </is>
      </c>
      <c r="BB582" t="inlineStr">
        <is>
          <t>9780761516637</t>
        </is>
      </c>
      <c r="BC582" t="inlineStr">
        <is>
          <t>32285004751276</t>
        </is>
      </c>
      <c r="BD582" t="inlineStr">
        <is>
          <t>893894514</t>
        </is>
      </c>
    </row>
    <row r="583">
      <c r="A583" t="inlineStr">
        <is>
          <t>No</t>
        </is>
      </c>
      <c r="B583" t="inlineStr">
        <is>
          <t>HN90.M6 C37 2005</t>
        </is>
      </c>
      <c r="C583" t="inlineStr">
        <is>
          <t>0                      HN 0090000M  6                  C  37          2005</t>
        </is>
      </c>
      <c r="D583" t="inlineStr">
        <is>
          <t>Our endangered values : America's moral crisis / Jimmy Carter.</t>
        </is>
      </c>
      <c r="F583" t="inlineStr">
        <is>
          <t>No</t>
        </is>
      </c>
      <c r="G583" t="inlineStr">
        <is>
          <t>1</t>
        </is>
      </c>
      <c r="H583" t="inlineStr">
        <is>
          <t>No</t>
        </is>
      </c>
      <c r="I583" t="inlineStr">
        <is>
          <t>No</t>
        </is>
      </c>
      <c r="J583" t="inlineStr">
        <is>
          <t>0</t>
        </is>
      </c>
      <c r="K583" t="inlineStr">
        <is>
          <t>Carter, Jimmy, 1924-</t>
        </is>
      </c>
      <c r="L583" t="inlineStr">
        <is>
          <t>New York : Simon &amp; Schuster, c2005.</t>
        </is>
      </c>
      <c r="M583" t="inlineStr">
        <is>
          <t>2005</t>
        </is>
      </c>
      <c r="O583" t="inlineStr">
        <is>
          <t>eng</t>
        </is>
      </c>
      <c r="P583" t="inlineStr">
        <is>
          <t>nyu</t>
        </is>
      </c>
      <c r="R583" t="inlineStr">
        <is>
          <t xml:space="preserve">HN </t>
        </is>
      </c>
      <c r="S583" t="n">
        <v>7</v>
      </c>
      <c r="T583" t="n">
        <v>7</v>
      </c>
      <c r="U583" t="inlineStr">
        <is>
          <t>2007-06-27</t>
        </is>
      </c>
      <c r="V583" t="inlineStr">
        <is>
          <t>2007-06-27</t>
        </is>
      </c>
      <c r="W583" t="inlineStr">
        <is>
          <t>2005-11-29</t>
        </is>
      </c>
      <c r="X583" t="inlineStr">
        <is>
          <t>2005-11-29</t>
        </is>
      </c>
      <c r="Y583" t="n">
        <v>3141</v>
      </c>
      <c r="Z583" t="n">
        <v>2999</v>
      </c>
      <c r="AA583" t="n">
        <v>3181</v>
      </c>
      <c r="AB583" t="n">
        <v>28</v>
      </c>
      <c r="AC583" t="n">
        <v>32</v>
      </c>
      <c r="AD583" t="n">
        <v>57</v>
      </c>
      <c r="AE583" t="n">
        <v>59</v>
      </c>
      <c r="AF583" t="n">
        <v>24</v>
      </c>
      <c r="AG583" t="n">
        <v>25</v>
      </c>
      <c r="AH583" t="n">
        <v>9</v>
      </c>
      <c r="AI583" t="n">
        <v>9</v>
      </c>
      <c r="AJ583" t="n">
        <v>20</v>
      </c>
      <c r="AK583" t="n">
        <v>20</v>
      </c>
      <c r="AL583" t="n">
        <v>8</v>
      </c>
      <c r="AM583" t="n">
        <v>8</v>
      </c>
      <c r="AN583" t="n">
        <v>7</v>
      </c>
      <c r="AO583" t="n">
        <v>8</v>
      </c>
      <c r="AP583" t="inlineStr">
        <is>
          <t>No</t>
        </is>
      </c>
      <c r="AQ583" t="inlineStr">
        <is>
          <t>Yes</t>
        </is>
      </c>
      <c r="AR583">
        <f>HYPERLINK("http://catalog.hathitrust.org/Record/005089151","HathiTrust Record")</f>
        <v/>
      </c>
      <c r="AS583">
        <f>HYPERLINK("https://creighton-primo.hosted.exlibrisgroup.com/primo-explore/search?tab=default_tab&amp;search_scope=EVERYTHING&amp;vid=01CRU&amp;lang=en_US&amp;offset=0&amp;query=any,contains,991004682519702656","Catalog Record")</f>
        <v/>
      </c>
      <c r="AT583">
        <f>HYPERLINK("http://www.worldcat.org/oclc/61353167","WorldCat Record")</f>
        <v/>
      </c>
      <c r="AU583" t="inlineStr">
        <is>
          <t>796372518:eng</t>
        </is>
      </c>
      <c r="AV583" t="inlineStr">
        <is>
          <t>61353167</t>
        </is>
      </c>
      <c r="AW583" t="inlineStr">
        <is>
          <t>991004682519702656</t>
        </is>
      </c>
      <c r="AX583" t="inlineStr">
        <is>
          <t>991004682519702656</t>
        </is>
      </c>
      <c r="AY583" t="inlineStr">
        <is>
          <t>2258704480002656</t>
        </is>
      </c>
      <c r="AZ583" t="inlineStr">
        <is>
          <t>BOOK</t>
        </is>
      </c>
      <c r="BB583" t="inlineStr">
        <is>
          <t>9780743284578</t>
        </is>
      </c>
      <c r="BC583" t="inlineStr">
        <is>
          <t>32285005149223</t>
        </is>
      </c>
      <c r="BD583" t="inlineStr">
        <is>
          <t>893901612</t>
        </is>
      </c>
    </row>
    <row r="584">
      <c r="A584" t="inlineStr">
        <is>
          <t>No</t>
        </is>
      </c>
      <c r="B584" t="inlineStr">
        <is>
          <t>HN90.M6 C65 1981</t>
        </is>
      </c>
      <c r="C584" t="inlineStr">
        <is>
          <t>0                      HN 0090000M  6                  C  65          1981</t>
        </is>
      </c>
      <c r="D584" t="inlineStr">
        <is>
          <t>The Connecticut Mutual Life report on American values in the '80s : the impact of belief / conducted by Research and Forecasts, Inc. ; commissioned by Connecticut Mutual Life Insurance Co.</t>
        </is>
      </c>
      <c r="F584" t="inlineStr">
        <is>
          <t>No</t>
        </is>
      </c>
      <c r="G584" t="inlineStr">
        <is>
          <t>1</t>
        </is>
      </c>
      <c r="H584" t="inlineStr">
        <is>
          <t>No</t>
        </is>
      </c>
      <c r="I584" t="inlineStr">
        <is>
          <t>No</t>
        </is>
      </c>
      <c r="J584" t="inlineStr">
        <is>
          <t>0</t>
        </is>
      </c>
      <c r="L584" t="inlineStr">
        <is>
          <t>New York, N.Y. (110 East 59th St., New York 10022) : Research &amp; Forecasts, Inc. ; Lanham, MD : reissued by arrangement with University Press of America, Inc., c1981.</t>
        </is>
      </c>
      <c r="M584" t="inlineStr">
        <is>
          <t>1981</t>
        </is>
      </c>
      <c r="O584" t="inlineStr">
        <is>
          <t>eng</t>
        </is>
      </c>
      <c r="P584" t="inlineStr">
        <is>
          <t>nyu</t>
        </is>
      </c>
      <c r="R584" t="inlineStr">
        <is>
          <t xml:space="preserve">HN </t>
        </is>
      </c>
      <c r="S584" t="n">
        <v>2</v>
      </c>
      <c r="T584" t="n">
        <v>2</v>
      </c>
      <c r="U584" t="inlineStr">
        <is>
          <t>1994-04-22</t>
        </is>
      </c>
      <c r="V584" t="inlineStr">
        <is>
          <t>1994-04-22</t>
        </is>
      </c>
      <c r="W584" t="inlineStr">
        <is>
          <t>1992-10-05</t>
        </is>
      </c>
      <c r="X584" t="inlineStr">
        <is>
          <t>1992-10-05</t>
        </is>
      </c>
      <c r="Y584" t="n">
        <v>174</v>
      </c>
      <c r="Z584" t="n">
        <v>169</v>
      </c>
      <c r="AA584" t="n">
        <v>217</v>
      </c>
      <c r="AB584" t="n">
        <v>1</v>
      </c>
      <c r="AC584" t="n">
        <v>2</v>
      </c>
      <c r="AD584" t="n">
        <v>14</v>
      </c>
      <c r="AE584" t="n">
        <v>17</v>
      </c>
      <c r="AF584" t="n">
        <v>4</v>
      </c>
      <c r="AG584" t="n">
        <v>5</v>
      </c>
      <c r="AH584" t="n">
        <v>5</v>
      </c>
      <c r="AI584" t="n">
        <v>5</v>
      </c>
      <c r="AJ584" t="n">
        <v>8</v>
      </c>
      <c r="AK584" t="n">
        <v>9</v>
      </c>
      <c r="AL584" t="n">
        <v>0</v>
      </c>
      <c r="AM584" t="n">
        <v>1</v>
      </c>
      <c r="AN584" t="n">
        <v>0</v>
      </c>
      <c r="AO584" t="n">
        <v>0</v>
      </c>
      <c r="AP584" t="inlineStr">
        <is>
          <t>No</t>
        </is>
      </c>
      <c r="AQ584" t="inlineStr">
        <is>
          <t>Yes</t>
        </is>
      </c>
      <c r="AR584">
        <f>HYPERLINK("http://catalog.hathitrust.org/Record/000761984","HathiTrust Record")</f>
        <v/>
      </c>
      <c r="AS584">
        <f>HYPERLINK("https://creighton-primo.hosted.exlibrisgroup.com/primo-explore/search?tab=default_tab&amp;search_scope=EVERYTHING&amp;vid=01CRU&amp;lang=en_US&amp;offset=0&amp;query=any,contains,991005161709702656","Catalog Record")</f>
        <v/>
      </c>
      <c r="AT584">
        <f>HYPERLINK("http://www.worldcat.org/oclc/7795496","WorldCat Record")</f>
        <v/>
      </c>
      <c r="AU584" t="inlineStr">
        <is>
          <t>916303350:eng</t>
        </is>
      </c>
      <c r="AV584" t="inlineStr">
        <is>
          <t>7795496</t>
        </is>
      </c>
      <c r="AW584" t="inlineStr">
        <is>
          <t>991005161709702656</t>
        </is>
      </c>
      <c r="AX584" t="inlineStr">
        <is>
          <t>991005161709702656</t>
        </is>
      </c>
      <c r="AY584" t="inlineStr">
        <is>
          <t>2267944720002656</t>
        </is>
      </c>
      <c r="AZ584" t="inlineStr">
        <is>
          <t>BOOK</t>
        </is>
      </c>
      <c r="BC584" t="inlineStr">
        <is>
          <t>32285001355972</t>
        </is>
      </c>
      <c r="BD584" t="inlineStr">
        <is>
          <t>893688697</t>
        </is>
      </c>
    </row>
    <row r="585">
      <c r="A585" t="inlineStr">
        <is>
          <t>No</t>
        </is>
      </c>
      <c r="B585" t="inlineStr">
        <is>
          <t>HN90.M6 M69 1997</t>
        </is>
      </c>
      <c r="C585" t="inlineStr">
        <is>
          <t>0                      HN 0090000M  6                  M  69          1997</t>
        </is>
      </c>
      <c r="D585" t="inlineStr">
        <is>
          <t>The appearance of impropriety : how ethics wars have undermined American government, business, and society / Peter W. Morgan, Glenn H. Reynolds.</t>
        </is>
      </c>
      <c r="F585" t="inlineStr">
        <is>
          <t>No</t>
        </is>
      </c>
      <c r="G585" t="inlineStr">
        <is>
          <t>1</t>
        </is>
      </c>
      <c r="H585" t="inlineStr">
        <is>
          <t>No</t>
        </is>
      </c>
      <c r="I585" t="inlineStr">
        <is>
          <t>No</t>
        </is>
      </c>
      <c r="J585" t="inlineStr">
        <is>
          <t>0</t>
        </is>
      </c>
      <c r="K585" t="inlineStr">
        <is>
          <t>Morgan, Peter W., 1951-</t>
        </is>
      </c>
      <c r="L585" t="inlineStr">
        <is>
          <t>New York : Free Press, c1997.</t>
        </is>
      </c>
      <c r="M585" t="inlineStr">
        <is>
          <t>1997</t>
        </is>
      </c>
      <c r="O585" t="inlineStr">
        <is>
          <t>eng</t>
        </is>
      </c>
      <c r="P585" t="inlineStr">
        <is>
          <t>nyu</t>
        </is>
      </c>
      <c r="R585" t="inlineStr">
        <is>
          <t xml:space="preserve">HN </t>
        </is>
      </c>
      <c r="S585" t="n">
        <v>3</v>
      </c>
      <c r="T585" t="n">
        <v>3</v>
      </c>
      <c r="U585" t="inlineStr">
        <is>
          <t>1997-12-04</t>
        </is>
      </c>
      <c r="V585" t="inlineStr">
        <is>
          <t>1997-12-04</t>
        </is>
      </c>
      <c r="W585" t="inlineStr">
        <is>
          <t>1997-09-22</t>
        </is>
      </c>
      <c r="X585" t="inlineStr">
        <is>
          <t>1997-09-22</t>
        </is>
      </c>
      <c r="Y585" t="n">
        <v>483</v>
      </c>
      <c r="Z585" t="n">
        <v>449</v>
      </c>
      <c r="AA585" t="n">
        <v>500</v>
      </c>
      <c r="AB585" t="n">
        <v>3</v>
      </c>
      <c r="AC585" t="n">
        <v>3</v>
      </c>
      <c r="AD585" t="n">
        <v>26</v>
      </c>
      <c r="AE585" t="n">
        <v>27</v>
      </c>
      <c r="AF585" t="n">
        <v>7</v>
      </c>
      <c r="AG585" t="n">
        <v>7</v>
      </c>
      <c r="AH585" t="n">
        <v>3</v>
      </c>
      <c r="AI585" t="n">
        <v>4</v>
      </c>
      <c r="AJ585" t="n">
        <v>10</v>
      </c>
      <c r="AK585" t="n">
        <v>11</v>
      </c>
      <c r="AL585" t="n">
        <v>2</v>
      </c>
      <c r="AM585" t="n">
        <v>2</v>
      </c>
      <c r="AN585" t="n">
        <v>7</v>
      </c>
      <c r="AO585" t="n">
        <v>7</v>
      </c>
      <c r="AP585" t="inlineStr">
        <is>
          <t>No</t>
        </is>
      </c>
      <c r="AQ585" t="inlineStr">
        <is>
          <t>Yes</t>
        </is>
      </c>
      <c r="AR585">
        <f>HYPERLINK("http://catalog.hathitrust.org/Record/003943304","HathiTrust Record")</f>
        <v/>
      </c>
      <c r="AS585">
        <f>HYPERLINK("https://creighton-primo.hosted.exlibrisgroup.com/primo-explore/search?tab=default_tab&amp;search_scope=EVERYTHING&amp;vid=01CRU&amp;lang=en_US&amp;offset=0&amp;query=any,contains,991002801019702656","Catalog Record")</f>
        <v/>
      </c>
      <c r="AT585">
        <f>HYPERLINK("http://www.worldcat.org/oclc/36798290","WorldCat Record")</f>
        <v/>
      </c>
      <c r="AU585" t="inlineStr">
        <is>
          <t>287846047:eng</t>
        </is>
      </c>
      <c r="AV585" t="inlineStr">
        <is>
          <t>36798290</t>
        </is>
      </c>
      <c r="AW585" t="inlineStr">
        <is>
          <t>991002801019702656</t>
        </is>
      </c>
      <c r="AX585" t="inlineStr">
        <is>
          <t>991002801019702656</t>
        </is>
      </c>
      <c r="AY585" t="inlineStr">
        <is>
          <t>2256833290002656</t>
        </is>
      </c>
      <c r="AZ585" t="inlineStr">
        <is>
          <t>BOOK</t>
        </is>
      </c>
      <c r="BB585" t="inlineStr">
        <is>
          <t>9780684827643</t>
        </is>
      </c>
      <c r="BC585" t="inlineStr">
        <is>
          <t>32285003176558</t>
        </is>
      </c>
      <c r="BD585" t="inlineStr">
        <is>
          <t>893440544</t>
        </is>
      </c>
    </row>
    <row r="586">
      <c r="A586" t="inlineStr">
        <is>
          <t>No</t>
        </is>
      </c>
      <c r="B586" t="inlineStr">
        <is>
          <t>HN90.M6 N48 1992</t>
        </is>
      </c>
      <c r="C586" t="inlineStr">
        <is>
          <t>0                      HN 0090000M  6                  N  48          1992</t>
        </is>
      </c>
      <c r="D586" t="inlineStr">
        <is>
          <t>America against itself : moral vision and the public order / Richard John Neuhaus.</t>
        </is>
      </c>
      <c r="F586" t="inlineStr">
        <is>
          <t>No</t>
        </is>
      </c>
      <c r="G586" t="inlineStr">
        <is>
          <t>1</t>
        </is>
      </c>
      <c r="H586" t="inlineStr">
        <is>
          <t>No</t>
        </is>
      </c>
      <c r="I586" t="inlineStr">
        <is>
          <t>No</t>
        </is>
      </c>
      <c r="J586" t="inlineStr">
        <is>
          <t>0</t>
        </is>
      </c>
      <c r="K586" t="inlineStr">
        <is>
          <t>Neuhaus, Richard John.</t>
        </is>
      </c>
      <c r="L586" t="inlineStr">
        <is>
          <t>Notre Dame : University of Notre Dame Press, c1992.</t>
        </is>
      </c>
      <c r="M586" t="inlineStr">
        <is>
          <t>1992</t>
        </is>
      </c>
      <c r="O586" t="inlineStr">
        <is>
          <t>eng</t>
        </is>
      </c>
      <c r="P586" t="inlineStr">
        <is>
          <t>inu</t>
        </is>
      </c>
      <c r="R586" t="inlineStr">
        <is>
          <t xml:space="preserve">HN </t>
        </is>
      </c>
      <c r="S586" t="n">
        <v>4</v>
      </c>
      <c r="T586" t="n">
        <v>4</v>
      </c>
      <c r="U586" t="inlineStr">
        <is>
          <t>2007-03-02</t>
        </is>
      </c>
      <c r="V586" t="inlineStr">
        <is>
          <t>2007-03-02</t>
        </is>
      </c>
      <c r="W586" t="inlineStr">
        <is>
          <t>1992-10-15</t>
        </is>
      </c>
      <c r="X586" t="inlineStr">
        <is>
          <t>1992-10-15</t>
        </is>
      </c>
      <c r="Y586" t="n">
        <v>489</v>
      </c>
      <c r="Z586" t="n">
        <v>448</v>
      </c>
      <c r="AA586" t="n">
        <v>464</v>
      </c>
      <c r="AB586" t="n">
        <v>3</v>
      </c>
      <c r="AC586" t="n">
        <v>3</v>
      </c>
      <c r="AD586" t="n">
        <v>31</v>
      </c>
      <c r="AE586" t="n">
        <v>31</v>
      </c>
      <c r="AF586" t="n">
        <v>12</v>
      </c>
      <c r="AG586" t="n">
        <v>12</v>
      </c>
      <c r="AH586" t="n">
        <v>8</v>
      </c>
      <c r="AI586" t="n">
        <v>8</v>
      </c>
      <c r="AJ586" t="n">
        <v>16</v>
      </c>
      <c r="AK586" t="n">
        <v>16</v>
      </c>
      <c r="AL586" t="n">
        <v>2</v>
      </c>
      <c r="AM586" t="n">
        <v>2</v>
      </c>
      <c r="AN586" t="n">
        <v>2</v>
      </c>
      <c r="AO586" t="n">
        <v>2</v>
      </c>
      <c r="AP586" t="inlineStr">
        <is>
          <t>No</t>
        </is>
      </c>
      <c r="AQ586" t="inlineStr">
        <is>
          <t>No</t>
        </is>
      </c>
      <c r="AS586">
        <f>HYPERLINK("https://creighton-primo.hosted.exlibrisgroup.com/primo-explore/search?tab=default_tab&amp;search_scope=EVERYTHING&amp;vid=01CRU&amp;lang=en_US&amp;offset=0&amp;query=any,contains,991002007399702656","Catalog Record")</f>
        <v/>
      </c>
      <c r="AT586">
        <f>HYPERLINK("http://www.worldcat.org/oclc/25510290","WorldCat Record")</f>
        <v/>
      </c>
      <c r="AU586" t="inlineStr">
        <is>
          <t>836884735:eng</t>
        </is>
      </c>
      <c r="AV586" t="inlineStr">
        <is>
          <t>25510290</t>
        </is>
      </c>
      <c r="AW586" t="inlineStr">
        <is>
          <t>991002007399702656</t>
        </is>
      </c>
      <c r="AX586" t="inlineStr">
        <is>
          <t>991002007399702656</t>
        </is>
      </c>
      <c r="AY586" t="inlineStr">
        <is>
          <t>2258242240002656</t>
        </is>
      </c>
      <c r="AZ586" t="inlineStr">
        <is>
          <t>BOOK</t>
        </is>
      </c>
      <c r="BB586" t="inlineStr">
        <is>
          <t>9780268006334</t>
        </is>
      </c>
      <c r="BC586" t="inlineStr">
        <is>
          <t>32285001317980</t>
        </is>
      </c>
      <c r="BD586" t="inlineStr">
        <is>
          <t>893798048</t>
        </is>
      </c>
    </row>
    <row r="587">
      <c r="A587" t="inlineStr">
        <is>
          <t>No</t>
        </is>
      </c>
      <c r="B587" t="inlineStr">
        <is>
          <t>HN90.M6 S2</t>
        </is>
      </c>
      <c r="C587" t="inlineStr">
        <is>
          <t>0                      HN 0090000M  6                  S  2</t>
        </is>
      </c>
      <c r="D587" t="inlineStr">
        <is>
          <t>Moralities of everyday life / John Sabini and Maury Silver.</t>
        </is>
      </c>
      <c r="F587" t="inlineStr">
        <is>
          <t>No</t>
        </is>
      </c>
      <c r="G587" t="inlineStr">
        <is>
          <t>1</t>
        </is>
      </c>
      <c r="H587" t="inlineStr">
        <is>
          <t>No</t>
        </is>
      </c>
      <c r="I587" t="inlineStr">
        <is>
          <t>No</t>
        </is>
      </c>
      <c r="J587" t="inlineStr">
        <is>
          <t>0</t>
        </is>
      </c>
      <c r="K587" t="inlineStr">
        <is>
          <t>Sabini, John, 1947-</t>
        </is>
      </c>
      <c r="L587" t="inlineStr">
        <is>
          <t>New York : Oxford University Press, 1982.</t>
        </is>
      </c>
      <c r="M587" t="inlineStr">
        <is>
          <t>1982</t>
        </is>
      </c>
      <c r="O587" t="inlineStr">
        <is>
          <t>eng</t>
        </is>
      </c>
      <c r="P587" t="inlineStr">
        <is>
          <t>nyu</t>
        </is>
      </c>
      <c r="R587" t="inlineStr">
        <is>
          <t xml:space="preserve">HN </t>
        </is>
      </c>
      <c r="S587" t="n">
        <v>8</v>
      </c>
      <c r="T587" t="n">
        <v>8</v>
      </c>
      <c r="U587" t="inlineStr">
        <is>
          <t>2008-04-07</t>
        </is>
      </c>
      <c r="V587" t="inlineStr">
        <is>
          <t>2008-04-07</t>
        </is>
      </c>
      <c r="W587" t="inlineStr">
        <is>
          <t>1992-01-10</t>
        </is>
      </c>
      <c r="X587" t="inlineStr">
        <is>
          <t>1992-01-10</t>
        </is>
      </c>
      <c r="Y587" t="n">
        <v>657</v>
      </c>
      <c r="Z587" t="n">
        <v>551</v>
      </c>
      <c r="AA587" t="n">
        <v>558</v>
      </c>
      <c r="AB587" t="n">
        <v>5</v>
      </c>
      <c r="AC587" t="n">
        <v>5</v>
      </c>
      <c r="AD587" t="n">
        <v>25</v>
      </c>
      <c r="AE587" t="n">
        <v>25</v>
      </c>
      <c r="AF587" t="n">
        <v>10</v>
      </c>
      <c r="AG587" t="n">
        <v>10</v>
      </c>
      <c r="AH587" t="n">
        <v>8</v>
      </c>
      <c r="AI587" t="n">
        <v>8</v>
      </c>
      <c r="AJ587" t="n">
        <v>13</v>
      </c>
      <c r="AK587" t="n">
        <v>13</v>
      </c>
      <c r="AL587" t="n">
        <v>2</v>
      </c>
      <c r="AM587" t="n">
        <v>2</v>
      </c>
      <c r="AN587" t="n">
        <v>1</v>
      </c>
      <c r="AO587" t="n">
        <v>1</v>
      </c>
      <c r="AP587" t="inlineStr">
        <is>
          <t>No</t>
        </is>
      </c>
      <c r="AQ587" t="inlineStr">
        <is>
          <t>No</t>
        </is>
      </c>
      <c r="AS587">
        <f>HYPERLINK("https://creighton-primo.hosted.exlibrisgroup.com/primo-explore/search?tab=default_tab&amp;search_scope=EVERYTHING&amp;vid=01CRU&amp;lang=en_US&amp;offset=0&amp;query=any,contains,991005133149702656","Catalog Record")</f>
        <v/>
      </c>
      <c r="AT587">
        <f>HYPERLINK("http://www.worldcat.org/oclc/7574215","WorldCat Record")</f>
        <v/>
      </c>
      <c r="AU587" t="inlineStr">
        <is>
          <t>415221:eng</t>
        </is>
      </c>
      <c r="AV587" t="inlineStr">
        <is>
          <t>7574215</t>
        </is>
      </c>
      <c r="AW587" t="inlineStr">
        <is>
          <t>991005133149702656</t>
        </is>
      </c>
      <c r="AX587" t="inlineStr">
        <is>
          <t>991005133149702656</t>
        </is>
      </c>
      <c r="AY587" t="inlineStr">
        <is>
          <t>2270935960002656</t>
        </is>
      </c>
      <c r="AZ587" t="inlineStr">
        <is>
          <t>BOOK</t>
        </is>
      </c>
      <c r="BB587" t="inlineStr">
        <is>
          <t>9780195030167</t>
        </is>
      </c>
      <c r="BC587" t="inlineStr">
        <is>
          <t>32285000912625</t>
        </is>
      </c>
      <c r="BD587" t="inlineStr">
        <is>
          <t>893625501</t>
        </is>
      </c>
    </row>
    <row r="588">
      <c r="A588" t="inlineStr">
        <is>
          <t>No</t>
        </is>
      </c>
      <c r="B588" t="inlineStr">
        <is>
          <t>HN90.M6 V34 1995</t>
        </is>
      </c>
      <c r="C588" t="inlineStr">
        <is>
          <t>0                      HN 0090000M  6                  V  34          1995</t>
        </is>
      </c>
      <c r="D588" t="inlineStr">
        <is>
          <t>Values and public life : an interdisciplinary study / edited by Gerard Magill and Marie D. Hoff.</t>
        </is>
      </c>
      <c r="F588" t="inlineStr">
        <is>
          <t>No</t>
        </is>
      </c>
      <c r="G588" t="inlineStr">
        <is>
          <t>1</t>
        </is>
      </c>
      <c r="H588" t="inlineStr">
        <is>
          <t>No</t>
        </is>
      </c>
      <c r="I588" t="inlineStr">
        <is>
          <t>No</t>
        </is>
      </c>
      <c r="J588" t="inlineStr">
        <is>
          <t>0</t>
        </is>
      </c>
      <c r="L588" t="inlineStr">
        <is>
          <t>Lanham, Md. : University Press of America, c1995.</t>
        </is>
      </c>
      <c r="M588" t="inlineStr">
        <is>
          <t>1995</t>
        </is>
      </c>
      <c r="O588" t="inlineStr">
        <is>
          <t>eng</t>
        </is>
      </c>
      <c r="P588" t="inlineStr">
        <is>
          <t>mdu</t>
        </is>
      </c>
      <c r="R588" t="inlineStr">
        <is>
          <t xml:space="preserve">HN </t>
        </is>
      </c>
      <c r="S588" t="n">
        <v>1</v>
      </c>
      <c r="T588" t="n">
        <v>1</v>
      </c>
      <c r="U588" t="inlineStr">
        <is>
          <t>2007-01-15</t>
        </is>
      </c>
      <c r="V588" t="inlineStr">
        <is>
          <t>2007-01-15</t>
        </is>
      </c>
      <c r="W588" t="inlineStr">
        <is>
          <t>1997-11-14</t>
        </is>
      </c>
      <c r="X588" t="inlineStr">
        <is>
          <t>1997-11-14</t>
        </is>
      </c>
      <c r="Y588" t="n">
        <v>161</v>
      </c>
      <c r="Z588" t="n">
        <v>141</v>
      </c>
      <c r="AA588" t="n">
        <v>158</v>
      </c>
      <c r="AB588" t="n">
        <v>2</v>
      </c>
      <c r="AC588" t="n">
        <v>2</v>
      </c>
      <c r="AD588" t="n">
        <v>6</v>
      </c>
      <c r="AE588" t="n">
        <v>8</v>
      </c>
      <c r="AF588" t="n">
        <v>0</v>
      </c>
      <c r="AG588" t="n">
        <v>1</v>
      </c>
      <c r="AH588" t="n">
        <v>2</v>
      </c>
      <c r="AI588" t="n">
        <v>3</v>
      </c>
      <c r="AJ588" t="n">
        <v>5</v>
      </c>
      <c r="AK588" t="n">
        <v>5</v>
      </c>
      <c r="AL588" t="n">
        <v>1</v>
      </c>
      <c r="AM588" t="n">
        <v>1</v>
      </c>
      <c r="AN588" t="n">
        <v>0</v>
      </c>
      <c r="AO588" t="n">
        <v>0</v>
      </c>
      <c r="AP588" t="inlineStr">
        <is>
          <t>No</t>
        </is>
      </c>
      <c r="AQ588" t="inlineStr">
        <is>
          <t>Yes</t>
        </is>
      </c>
      <c r="AR588">
        <f>HYPERLINK("http://catalog.hathitrust.org/Record/003012020","HathiTrust Record")</f>
        <v/>
      </c>
      <c r="AS588">
        <f>HYPERLINK("https://creighton-primo.hosted.exlibrisgroup.com/primo-explore/search?tab=default_tab&amp;search_scope=EVERYTHING&amp;vid=01CRU&amp;lang=en_US&amp;offset=0&amp;query=any,contains,991002495249702656","Catalog Record")</f>
        <v/>
      </c>
      <c r="AT588">
        <f>HYPERLINK("http://www.worldcat.org/oclc/32467253","WorldCat Record")</f>
        <v/>
      </c>
      <c r="AU588" t="inlineStr">
        <is>
          <t>836921434:eng</t>
        </is>
      </c>
      <c r="AV588" t="inlineStr">
        <is>
          <t>32467253</t>
        </is>
      </c>
      <c r="AW588" t="inlineStr">
        <is>
          <t>991002495249702656</t>
        </is>
      </c>
      <c r="AX588" t="inlineStr">
        <is>
          <t>991002495249702656</t>
        </is>
      </c>
      <c r="AY588" t="inlineStr">
        <is>
          <t>2262872340002656</t>
        </is>
      </c>
      <c r="AZ588" t="inlineStr">
        <is>
          <t>BOOK</t>
        </is>
      </c>
      <c r="BB588" t="inlineStr">
        <is>
          <t>9780819199744</t>
        </is>
      </c>
      <c r="BC588" t="inlineStr">
        <is>
          <t>32285003279725</t>
        </is>
      </c>
      <c r="BD588" t="inlineStr">
        <is>
          <t>893352357</t>
        </is>
      </c>
    </row>
    <row r="589">
      <c r="A589" t="inlineStr">
        <is>
          <t>No</t>
        </is>
      </c>
      <c r="B589" t="inlineStr">
        <is>
          <t>HN90.M6 W34 1997</t>
        </is>
      </c>
      <c r="C589" t="inlineStr">
        <is>
          <t>0                      HN 0090000M  6                  W  34          1997</t>
        </is>
      </c>
      <c r="D589" t="inlineStr">
        <is>
          <t>The new temperance : the American obsession with sin and vice / David Wagner.</t>
        </is>
      </c>
      <c r="F589" t="inlineStr">
        <is>
          <t>No</t>
        </is>
      </c>
      <c r="G589" t="inlineStr">
        <is>
          <t>1</t>
        </is>
      </c>
      <c r="H589" t="inlineStr">
        <is>
          <t>No</t>
        </is>
      </c>
      <c r="I589" t="inlineStr">
        <is>
          <t>No</t>
        </is>
      </c>
      <c r="J589" t="inlineStr">
        <is>
          <t>0</t>
        </is>
      </c>
      <c r="K589" t="inlineStr">
        <is>
          <t>Wagner, David.</t>
        </is>
      </c>
      <c r="L589" t="inlineStr">
        <is>
          <t>Boulder, Colo. : Westview Press, 1997.</t>
        </is>
      </c>
      <c r="M589" t="inlineStr">
        <is>
          <t>1997</t>
        </is>
      </c>
      <c r="O589" t="inlineStr">
        <is>
          <t>eng</t>
        </is>
      </c>
      <c r="P589" t="inlineStr">
        <is>
          <t>cou</t>
        </is>
      </c>
      <c r="R589" t="inlineStr">
        <is>
          <t xml:space="preserve">HN </t>
        </is>
      </c>
      <c r="S589" t="n">
        <v>1</v>
      </c>
      <c r="T589" t="n">
        <v>1</v>
      </c>
      <c r="U589" t="inlineStr">
        <is>
          <t>2004-12-03</t>
        </is>
      </c>
      <c r="V589" t="inlineStr">
        <is>
          <t>2004-12-03</t>
        </is>
      </c>
      <c r="W589" t="inlineStr">
        <is>
          <t>1999-09-01</t>
        </is>
      </c>
      <c r="X589" t="inlineStr">
        <is>
          <t>1999-09-01</t>
        </is>
      </c>
      <c r="Y589" t="n">
        <v>572</v>
      </c>
      <c r="Z589" t="n">
        <v>504</v>
      </c>
      <c r="AA589" t="n">
        <v>562</v>
      </c>
      <c r="AB589" t="n">
        <v>3</v>
      </c>
      <c r="AC589" t="n">
        <v>3</v>
      </c>
      <c r="AD589" t="n">
        <v>23</v>
      </c>
      <c r="AE589" t="n">
        <v>23</v>
      </c>
      <c r="AF589" t="n">
        <v>10</v>
      </c>
      <c r="AG589" t="n">
        <v>10</v>
      </c>
      <c r="AH589" t="n">
        <v>4</v>
      </c>
      <c r="AI589" t="n">
        <v>4</v>
      </c>
      <c r="AJ589" t="n">
        <v>14</v>
      </c>
      <c r="AK589" t="n">
        <v>14</v>
      </c>
      <c r="AL589" t="n">
        <v>2</v>
      </c>
      <c r="AM589" t="n">
        <v>2</v>
      </c>
      <c r="AN589" t="n">
        <v>0</v>
      </c>
      <c r="AO589" t="n">
        <v>0</v>
      </c>
      <c r="AP589" t="inlineStr">
        <is>
          <t>No</t>
        </is>
      </c>
      <c r="AQ589" t="inlineStr">
        <is>
          <t>Yes</t>
        </is>
      </c>
      <c r="AR589">
        <f>HYPERLINK("http://catalog.hathitrust.org/Record/003146410","HathiTrust Record")</f>
        <v/>
      </c>
      <c r="AS589">
        <f>HYPERLINK("https://creighton-primo.hosted.exlibrisgroup.com/primo-explore/search?tab=default_tab&amp;search_scope=EVERYTHING&amp;vid=01CRU&amp;lang=en_US&amp;offset=0&amp;query=any,contains,991002743069702656","Catalog Record")</f>
        <v/>
      </c>
      <c r="AT589">
        <f>HYPERLINK("http://www.worldcat.org/oclc/36011719","WorldCat Record")</f>
        <v/>
      </c>
      <c r="AU589" t="inlineStr">
        <is>
          <t>801240550:eng</t>
        </is>
      </c>
      <c r="AV589" t="inlineStr">
        <is>
          <t>36011719</t>
        </is>
      </c>
      <c r="AW589" t="inlineStr">
        <is>
          <t>991002743069702656</t>
        </is>
      </c>
      <c r="AX589" t="inlineStr">
        <is>
          <t>991002743069702656</t>
        </is>
      </c>
      <c r="AY589" t="inlineStr">
        <is>
          <t>2254954840002656</t>
        </is>
      </c>
      <c r="AZ589" t="inlineStr">
        <is>
          <t>BOOK</t>
        </is>
      </c>
      <c r="BB589" t="inlineStr">
        <is>
          <t>9780813325682</t>
        </is>
      </c>
      <c r="BC589" t="inlineStr">
        <is>
          <t>32285003585873</t>
        </is>
      </c>
      <c r="BD589" t="inlineStr">
        <is>
          <t>893798956</t>
        </is>
      </c>
    </row>
    <row r="590">
      <c r="A590" t="inlineStr">
        <is>
          <t>No</t>
        </is>
      </c>
      <c r="B590" t="inlineStr">
        <is>
          <t>HN90.P57 I8 2006</t>
        </is>
      </c>
      <c r="C590" t="inlineStr">
        <is>
          <t>0                      HN 0090000P  57                 I  8           2006</t>
        </is>
      </c>
      <c r="D590" t="inlineStr">
        <is>
          <t>Is the political divide harming America? / Julia Bauder, book editor.</t>
        </is>
      </c>
      <c r="F590" t="inlineStr">
        <is>
          <t>No</t>
        </is>
      </c>
      <c r="G590" t="inlineStr">
        <is>
          <t>1</t>
        </is>
      </c>
      <c r="H590" t="inlineStr">
        <is>
          <t>No</t>
        </is>
      </c>
      <c r="I590" t="inlineStr">
        <is>
          <t>No</t>
        </is>
      </c>
      <c r="J590" t="inlineStr">
        <is>
          <t>0</t>
        </is>
      </c>
      <c r="L590" t="inlineStr">
        <is>
          <t>Detroit : Greenhaven Press, c2006.</t>
        </is>
      </c>
      <c r="M590" t="inlineStr">
        <is>
          <t>2006</t>
        </is>
      </c>
      <c r="O590" t="inlineStr">
        <is>
          <t>eng</t>
        </is>
      </c>
      <c r="P590" t="inlineStr">
        <is>
          <t>miu</t>
        </is>
      </c>
      <c r="Q590" t="inlineStr">
        <is>
          <t>At issue</t>
        </is>
      </c>
      <c r="R590" t="inlineStr">
        <is>
          <t xml:space="preserve">HN </t>
        </is>
      </c>
      <c r="S590" t="n">
        <v>1</v>
      </c>
      <c r="T590" t="n">
        <v>1</v>
      </c>
      <c r="U590" t="inlineStr">
        <is>
          <t>2008-02-05</t>
        </is>
      </c>
      <c r="V590" t="inlineStr">
        <is>
          <t>2008-02-05</t>
        </is>
      </c>
      <c r="W590" t="inlineStr">
        <is>
          <t>2008-02-05</t>
        </is>
      </c>
      <c r="X590" t="inlineStr">
        <is>
          <t>2008-02-05</t>
        </is>
      </c>
      <c r="Y590" t="n">
        <v>270</v>
      </c>
      <c r="Z590" t="n">
        <v>267</v>
      </c>
      <c r="AA590" t="n">
        <v>528</v>
      </c>
      <c r="AB590" t="n">
        <v>4</v>
      </c>
      <c r="AC590" t="n">
        <v>6</v>
      </c>
      <c r="AD590" t="n">
        <v>4</v>
      </c>
      <c r="AE590" t="n">
        <v>14</v>
      </c>
      <c r="AF590" t="n">
        <v>0</v>
      </c>
      <c r="AG590" t="n">
        <v>5</v>
      </c>
      <c r="AH590" t="n">
        <v>0</v>
      </c>
      <c r="AI590" t="n">
        <v>2</v>
      </c>
      <c r="AJ590" t="n">
        <v>1</v>
      </c>
      <c r="AK590" t="n">
        <v>3</v>
      </c>
      <c r="AL590" t="n">
        <v>2</v>
      </c>
      <c r="AM590" t="n">
        <v>4</v>
      </c>
      <c r="AN590" t="n">
        <v>1</v>
      </c>
      <c r="AO590" t="n">
        <v>1</v>
      </c>
      <c r="AP590" t="inlineStr">
        <is>
          <t>No</t>
        </is>
      </c>
      <c r="AQ590" t="inlineStr">
        <is>
          <t>No</t>
        </is>
      </c>
      <c r="AS590">
        <f>HYPERLINK("https://creighton-primo.hosted.exlibrisgroup.com/primo-explore/search?tab=default_tab&amp;search_scope=EVERYTHING&amp;vid=01CRU&amp;lang=en_US&amp;offset=0&amp;query=any,contains,991005174089702656","Catalog Record")</f>
        <v/>
      </c>
      <c r="AT590">
        <f>HYPERLINK("http://www.worldcat.org/oclc/64487216","WorldCat Record")</f>
        <v/>
      </c>
      <c r="AU590" t="inlineStr">
        <is>
          <t>48442066:eng</t>
        </is>
      </c>
      <c r="AV590" t="inlineStr">
        <is>
          <t>64487216</t>
        </is>
      </c>
      <c r="AW590" t="inlineStr">
        <is>
          <t>991005174089702656</t>
        </is>
      </c>
      <c r="AX590" t="inlineStr">
        <is>
          <t>991005174089702656</t>
        </is>
      </c>
      <c r="AY590" t="inlineStr">
        <is>
          <t>2262567340002656</t>
        </is>
      </c>
      <c r="AZ590" t="inlineStr">
        <is>
          <t>BOOK</t>
        </is>
      </c>
      <c r="BB590" t="inlineStr">
        <is>
          <t>9780737735215</t>
        </is>
      </c>
      <c r="BC590" t="inlineStr">
        <is>
          <t>32285005392567</t>
        </is>
      </c>
      <c r="BD590" t="inlineStr">
        <is>
          <t>893600748</t>
        </is>
      </c>
    </row>
    <row r="591">
      <c r="A591" t="inlineStr">
        <is>
          <t>No</t>
        </is>
      </c>
      <c r="B591" t="inlineStr">
        <is>
          <t>HN90.P57 K46 2007</t>
        </is>
      </c>
      <c r="C591" t="inlineStr">
        <is>
          <t>0                      HN 0090000P  57                 K  46          2007</t>
        </is>
      </c>
      <c r="D591" t="inlineStr">
        <is>
          <t>God and country : America in red and blue / Sheila Kennedy.</t>
        </is>
      </c>
      <c r="F591" t="inlineStr">
        <is>
          <t>No</t>
        </is>
      </c>
      <c r="G591" t="inlineStr">
        <is>
          <t>1</t>
        </is>
      </c>
      <c r="H591" t="inlineStr">
        <is>
          <t>No</t>
        </is>
      </c>
      <c r="I591" t="inlineStr">
        <is>
          <t>No</t>
        </is>
      </c>
      <c r="J591" t="inlineStr">
        <is>
          <t>0</t>
        </is>
      </c>
      <c r="K591" t="inlineStr">
        <is>
          <t>Kennedy, Sheila Suess.</t>
        </is>
      </c>
      <c r="L591" t="inlineStr">
        <is>
          <t>Waco, Tex. : Baylor University Press, c2007.</t>
        </is>
      </c>
      <c r="M591" t="inlineStr">
        <is>
          <t>2007</t>
        </is>
      </c>
      <c r="O591" t="inlineStr">
        <is>
          <t>eng</t>
        </is>
      </c>
      <c r="P591" t="inlineStr">
        <is>
          <t>txu</t>
        </is>
      </c>
      <c r="R591" t="inlineStr">
        <is>
          <t xml:space="preserve">HN </t>
        </is>
      </c>
      <c r="S591" t="n">
        <v>1</v>
      </c>
      <c r="T591" t="n">
        <v>1</v>
      </c>
      <c r="U591" t="inlineStr">
        <is>
          <t>2008-01-15</t>
        </is>
      </c>
      <c r="V591" t="inlineStr">
        <is>
          <t>2008-01-15</t>
        </is>
      </c>
      <c r="W591" t="inlineStr">
        <is>
          <t>2008-01-15</t>
        </is>
      </c>
      <c r="X591" t="inlineStr">
        <is>
          <t>2008-01-15</t>
        </is>
      </c>
      <c r="Y591" t="n">
        <v>372</v>
      </c>
      <c r="Z591" t="n">
        <v>343</v>
      </c>
      <c r="AA591" t="n">
        <v>1249</v>
      </c>
      <c r="AB591" t="n">
        <v>3</v>
      </c>
      <c r="AC591" t="n">
        <v>16</v>
      </c>
      <c r="AD591" t="n">
        <v>18</v>
      </c>
      <c r="AE591" t="n">
        <v>44</v>
      </c>
      <c r="AF591" t="n">
        <v>11</v>
      </c>
      <c r="AG591" t="n">
        <v>17</v>
      </c>
      <c r="AH591" t="n">
        <v>2</v>
      </c>
      <c r="AI591" t="n">
        <v>9</v>
      </c>
      <c r="AJ591" t="n">
        <v>7</v>
      </c>
      <c r="AK591" t="n">
        <v>15</v>
      </c>
      <c r="AL591" t="n">
        <v>2</v>
      </c>
      <c r="AM591" t="n">
        <v>11</v>
      </c>
      <c r="AN591" t="n">
        <v>0</v>
      </c>
      <c r="AO591" t="n">
        <v>1</v>
      </c>
      <c r="AP591" t="inlineStr">
        <is>
          <t>No</t>
        </is>
      </c>
      <c r="AQ591" t="inlineStr">
        <is>
          <t>No</t>
        </is>
      </c>
      <c r="AS591">
        <f>HYPERLINK("https://creighton-primo.hosted.exlibrisgroup.com/primo-explore/search?tab=default_tab&amp;search_scope=EVERYTHING&amp;vid=01CRU&amp;lang=en_US&amp;offset=0&amp;query=any,contains,991005164849702656","Catalog Record")</f>
        <v/>
      </c>
      <c r="AT591">
        <f>HYPERLINK("http://www.worldcat.org/oclc/85892349","WorldCat Record")</f>
        <v/>
      </c>
      <c r="AU591" t="inlineStr">
        <is>
          <t>802735098:eng</t>
        </is>
      </c>
      <c r="AV591" t="inlineStr">
        <is>
          <t>85892349</t>
        </is>
      </c>
      <c r="AW591" t="inlineStr">
        <is>
          <t>991005164849702656</t>
        </is>
      </c>
      <c r="AX591" t="inlineStr">
        <is>
          <t>991005164849702656</t>
        </is>
      </c>
      <c r="AY591" t="inlineStr">
        <is>
          <t>2257558840002656</t>
        </is>
      </c>
      <c r="AZ591" t="inlineStr">
        <is>
          <t>BOOK</t>
        </is>
      </c>
      <c r="BB591" t="inlineStr">
        <is>
          <t>9781932792997</t>
        </is>
      </c>
      <c r="BC591" t="inlineStr">
        <is>
          <t>32285005377758</t>
        </is>
      </c>
      <c r="BD591" t="inlineStr">
        <is>
          <t>893536425</t>
        </is>
      </c>
    </row>
    <row r="592">
      <c r="A592" t="inlineStr">
        <is>
          <t>No</t>
        </is>
      </c>
      <c r="B592" t="inlineStr">
        <is>
          <t>HN90.P57 L37 1995</t>
        </is>
      </c>
      <c r="C592" t="inlineStr">
        <is>
          <t>0                      HN 0090000P  57                 L  37          1995</t>
        </is>
      </c>
      <c r="D592" t="inlineStr">
        <is>
          <t>The revolt of the elites : and the betrayal of democracy / Christopher Lasch.</t>
        </is>
      </c>
      <c r="F592" t="inlineStr">
        <is>
          <t>No</t>
        </is>
      </c>
      <c r="G592" t="inlineStr">
        <is>
          <t>1</t>
        </is>
      </c>
      <c r="H592" t="inlineStr">
        <is>
          <t>No</t>
        </is>
      </c>
      <c r="I592" t="inlineStr">
        <is>
          <t>No</t>
        </is>
      </c>
      <c r="J592" t="inlineStr">
        <is>
          <t>0</t>
        </is>
      </c>
      <c r="K592" t="inlineStr">
        <is>
          <t>Lasch, Christopher.</t>
        </is>
      </c>
      <c r="L592" t="inlineStr">
        <is>
          <t>New York : W.W. Norton, c1995.</t>
        </is>
      </c>
      <c r="M592" t="inlineStr">
        <is>
          <t>1995</t>
        </is>
      </c>
      <c r="N592" t="inlineStr">
        <is>
          <t>1st ed.</t>
        </is>
      </c>
      <c r="O592" t="inlineStr">
        <is>
          <t>eng</t>
        </is>
      </c>
      <c r="P592" t="inlineStr">
        <is>
          <t>nyu</t>
        </is>
      </c>
      <c r="R592" t="inlineStr">
        <is>
          <t xml:space="preserve">HN </t>
        </is>
      </c>
      <c r="S592" t="n">
        <v>9</v>
      </c>
      <c r="T592" t="n">
        <v>9</v>
      </c>
      <c r="U592" t="inlineStr">
        <is>
          <t>2008-12-08</t>
        </is>
      </c>
      <c r="V592" t="inlineStr">
        <is>
          <t>2008-12-08</t>
        </is>
      </c>
      <c r="W592" t="inlineStr">
        <is>
          <t>1995-01-30</t>
        </is>
      </c>
      <c r="X592" t="inlineStr">
        <is>
          <t>1995-01-30</t>
        </is>
      </c>
      <c r="Y592" t="n">
        <v>1433</v>
      </c>
      <c r="Z592" t="n">
        <v>1211</v>
      </c>
      <c r="AA592" t="n">
        <v>1331</v>
      </c>
      <c r="AB592" t="n">
        <v>8</v>
      </c>
      <c r="AC592" t="n">
        <v>11</v>
      </c>
      <c r="AD592" t="n">
        <v>47</v>
      </c>
      <c r="AE592" t="n">
        <v>50</v>
      </c>
      <c r="AF592" t="n">
        <v>21</v>
      </c>
      <c r="AG592" t="n">
        <v>22</v>
      </c>
      <c r="AH592" t="n">
        <v>11</v>
      </c>
      <c r="AI592" t="n">
        <v>11</v>
      </c>
      <c r="AJ592" t="n">
        <v>23</v>
      </c>
      <c r="AK592" t="n">
        <v>23</v>
      </c>
      <c r="AL592" t="n">
        <v>6</v>
      </c>
      <c r="AM592" t="n">
        <v>8</v>
      </c>
      <c r="AN592" t="n">
        <v>0</v>
      </c>
      <c r="AO592" t="n">
        <v>0</v>
      </c>
      <c r="AP592" t="inlineStr">
        <is>
          <t>No</t>
        </is>
      </c>
      <c r="AQ592" t="inlineStr">
        <is>
          <t>No</t>
        </is>
      </c>
      <c r="AS592">
        <f>HYPERLINK("https://creighton-primo.hosted.exlibrisgroup.com/primo-explore/search?tab=default_tab&amp;search_scope=EVERYTHING&amp;vid=01CRU&amp;lang=en_US&amp;offset=0&amp;query=any,contains,991002411309702656","Catalog Record")</f>
        <v/>
      </c>
      <c r="AT592">
        <f>HYPERLINK("http://www.worldcat.org/oclc/31376856","WorldCat Record")</f>
        <v/>
      </c>
      <c r="AU592" t="inlineStr">
        <is>
          <t>27593619:eng</t>
        </is>
      </c>
      <c r="AV592" t="inlineStr">
        <is>
          <t>31376856</t>
        </is>
      </c>
      <c r="AW592" t="inlineStr">
        <is>
          <t>991002411309702656</t>
        </is>
      </c>
      <c r="AX592" t="inlineStr">
        <is>
          <t>991002411309702656</t>
        </is>
      </c>
      <c r="AY592" t="inlineStr">
        <is>
          <t>2255915290002656</t>
        </is>
      </c>
      <c r="AZ592" t="inlineStr">
        <is>
          <t>BOOK</t>
        </is>
      </c>
      <c r="BB592" t="inlineStr">
        <is>
          <t>9780393036992</t>
        </is>
      </c>
      <c r="BC592" t="inlineStr">
        <is>
          <t>32285001995835</t>
        </is>
      </c>
      <c r="BD592" t="inlineStr">
        <is>
          <t>893721449</t>
        </is>
      </c>
    </row>
    <row r="593">
      <c r="A593" t="inlineStr">
        <is>
          <t>No</t>
        </is>
      </c>
      <c r="B593" t="inlineStr">
        <is>
          <t>HN90.P8 A27 1983</t>
        </is>
      </c>
      <c r="C593" t="inlineStr">
        <is>
          <t>0                      HN 0090000P  8                  A  27          1983</t>
        </is>
      </c>
      <c r="D593" t="inlineStr">
        <is>
          <t>Political attitudes in America : formation and change / Paul R. Abramson.</t>
        </is>
      </c>
      <c r="F593" t="inlineStr">
        <is>
          <t>No</t>
        </is>
      </c>
      <c r="G593" t="inlineStr">
        <is>
          <t>1</t>
        </is>
      </c>
      <c r="H593" t="inlineStr">
        <is>
          <t>No</t>
        </is>
      </c>
      <c r="I593" t="inlineStr">
        <is>
          <t>No</t>
        </is>
      </c>
      <c r="J593" t="inlineStr">
        <is>
          <t>0</t>
        </is>
      </c>
      <c r="K593" t="inlineStr">
        <is>
          <t>Abramson, Paul R.</t>
        </is>
      </c>
      <c r="L593" t="inlineStr">
        <is>
          <t>San Francisco : W.H. Freeman, c1983.</t>
        </is>
      </c>
      <c r="M593" t="inlineStr">
        <is>
          <t>1983</t>
        </is>
      </c>
      <c r="O593" t="inlineStr">
        <is>
          <t>eng</t>
        </is>
      </c>
      <c r="P593" t="inlineStr">
        <is>
          <t>cau</t>
        </is>
      </c>
      <c r="R593" t="inlineStr">
        <is>
          <t xml:space="preserve">HN </t>
        </is>
      </c>
      <c r="S593" t="n">
        <v>5</v>
      </c>
      <c r="T593" t="n">
        <v>5</v>
      </c>
      <c r="U593" t="inlineStr">
        <is>
          <t>1999-11-20</t>
        </is>
      </c>
      <c r="V593" t="inlineStr">
        <is>
          <t>1999-11-20</t>
        </is>
      </c>
      <c r="W593" t="inlineStr">
        <is>
          <t>1992-04-30</t>
        </is>
      </c>
      <c r="X593" t="inlineStr">
        <is>
          <t>1992-04-30</t>
        </is>
      </c>
      <c r="Y593" t="n">
        <v>526</v>
      </c>
      <c r="Z593" t="n">
        <v>434</v>
      </c>
      <c r="AA593" t="n">
        <v>434</v>
      </c>
      <c r="AB593" t="n">
        <v>3</v>
      </c>
      <c r="AC593" t="n">
        <v>3</v>
      </c>
      <c r="AD593" t="n">
        <v>23</v>
      </c>
      <c r="AE593" t="n">
        <v>23</v>
      </c>
      <c r="AF593" t="n">
        <v>10</v>
      </c>
      <c r="AG593" t="n">
        <v>10</v>
      </c>
      <c r="AH593" t="n">
        <v>5</v>
      </c>
      <c r="AI593" t="n">
        <v>5</v>
      </c>
      <c r="AJ593" t="n">
        <v>12</v>
      </c>
      <c r="AK593" t="n">
        <v>12</v>
      </c>
      <c r="AL593" t="n">
        <v>2</v>
      </c>
      <c r="AM593" t="n">
        <v>2</v>
      </c>
      <c r="AN593" t="n">
        <v>0</v>
      </c>
      <c r="AO593" t="n">
        <v>0</v>
      </c>
      <c r="AP593" t="inlineStr">
        <is>
          <t>No</t>
        </is>
      </c>
      <c r="AQ593" t="inlineStr">
        <is>
          <t>No</t>
        </is>
      </c>
      <c r="AS593">
        <f>HYPERLINK("https://creighton-primo.hosted.exlibrisgroup.com/primo-explore/search?tab=default_tab&amp;search_scope=EVERYTHING&amp;vid=01CRU&amp;lang=en_US&amp;offset=0&amp;query=any,contains,991000042849702656","Catalog Record")</f>
        <v/>
      </c>
      <c r="AT593">
        <f>HYPERLINK("http://www.worldcat.org/oclc/8666900","WorldCat Record")</f>
        <v/>
      </c>
      <c r="AU593" t="inlineStr">
        <is>
          <t>20545882:eng</t>
        </is>
      </c>
      <c r="AV593" t="inlineStr">
        <is>
          <t>8666900</t>
        </is>
      </c>
      <c r="AW593" t="inlineStr">
        <is>
          <t>991000042849702656</t>
        </is>
      </c>
      <c r="AX593" t="inlineStr">
        <is>
          <t>991000042849702656</t>
        </is>
      </c>
      <c r="AY593" t="inlineStr">
        <is>
          <t>2272402840002656</t>
        </is>
      </c>
      <c r="AZ593" t="inlineStr">
        <is>
          <t>BOOK</t>
        </is>
      </c>
      <c r="BB593" t="inlineStr">
        <is>
          <t>9780716714200</t>
        </is>
      </c>
      <c r="BC593" t="inlineStr">
        <is>
          <t>32285001103596</t>
        </is>
      </c>
      <c r="BD593" t="inlineStr">
        <is>
          <t>893431623</t>
        </is>
      </c>
    </row>
    <row r="594">
      <c r="A594" t="inlineStr">
        <is>
          <t>No</t>
        </is>
      </c>
      <c r="B594" t="inlineStr">
        <is>
          <t>HN90.P8 A47 2003</t>
        </is>
      </c>
      <c r="C594" t="inlineStr">
        <is>
          <t>0                      HN 0090000P  8                  A  47          2003</t>
        </is>
      </c>
      <c r="D594" t="inlineStr">
        <is>
          <t>Collective preferences in democratic politics : opinion surveys and the will of the people / Scott L. Althaus.</t>
        </is>
      </c>
      <c r="F594" t="inlineStr">
        <is>
          <t>No</t>
        </is>
      </c>
      <c r="G594" t="inlineStr">
        <is>
          <t>1</t>
        </is>
      </c>
      <c r="H594" t="inlineStr">
        <is>
          <t>No</t>
        </is>
      </c>
      <c r="I594" t="inlineStr">
        <is>
          <t>No</t>
        </is>
      </c>
      <c r="J594" t="inlineStr">
        <is>
          <t>0</t>
        </is>
      </c>
      <c r="K594" t="inlineStr">
        <is>
          <t>Althaus, Scott L., 1966-</t>
        </is>
      </c>
      <c r="L594" t="inlineStr">
        <is>
          <t>Cambridge, UK : New York : Cambridge University Press, 2003.</t>
        </is>
      </c>
      <c r="M594" t="inlineStr">
        <is>
          <t>2003</t>
        </is>
      </c>
      <c r="O594" t="inlineStr">
        <is>
          <t>eng</t>
        </is>
      </c>
      <c r="P594" t="inlineStr">
        <is>
          <t>enk</t>
        </is>
      </c>
      <c r="R594" t="inlineStr">
        <is>
          <t xml:space="preserve">HN </t>
        </is>
      </c>
      <c r="S594" t="n">
        <v>2</v>
      </c>
      <c r="T594" t="n">
        <v>2</v>
      </c>
      <c r="U594" t="inlineStr">
        <is>
          <t>2005-05-11</t>
        </is>
      </c>
      <c r="V594" t="inlineStr">
        <is>
          <t>2005-05-11</t>
        </is>
      </c>
      <c r="W594" t="inlineStr">
        <is>
          <t>2005-05-11</t>
        </is>
      </c>
      <c r="X594" t="inlineStr">
        <is>
          <t>2005-05-11</t>
        </is>
      </c>
      <c r="Y594" t="n">
        <v>404</v>
      </c>
      <c r="Z594" t="n">
        <v>313</v>
      </c>
      <c r="AA594" t="n">
        <v>323</v>
      </c>
      <c r="AB594" t="n">
        <v>2</v>
      </c>
      <c r="AC594" t="n">
        <v>2</v>
      </c>
      <c r="AD594" t="n">
        <v>18</v>
      </c>
      <c r="AE594" t="n">
        <v>19</v>
      </c>
      <c r="AF594" t="n">
        <v>8</v>
      </c>
      <c r="AG594" t="n">
        <v>8</v>
      </c>
      <c r="AH594" t="n">
        <v>6</v>
      </c>
      <c r="AI594" t="n">
        <v>6</v>
      </c>
      <c r="AJ594" t="n">
        <v>9</v>
      </c>
      <c r="AK594" t="n">
        <v>10</v>
      </c>
      <c r="AL594" t="n">
        <v>1</v>
      </c>
      <c r="AM594" t="n">
        <v>1</v>
      </c>
      <c r="AN594" t="n">
        <v>0</v>
      </c>
      <c r="AO594" t="n">
        <v>0</v>
      </c>
      <c r="AP594" t="inlineStr">
        <is>
          <t>No</t>
        </is>
      </c>
      <c r="AQ594" t="inlineStr">
        <is>
          <t>No</t>
        </is>
      </c>
      <c r="AS594">
        <f>HYPERLINK("https://creighton-primo.hosted.exlibrisgroup.com/primo-explore/search?tab=default_tab&amp;search_scope=EVERYTHING&amp;vid=01CRU&amp;lang=en_US&amp;offset=0&amp;query=any,contains,991004504529702656","Catalog Record")</f>
        <v/>
      </c>
      <c r="AT594">
        <f>HYPERLINK("http://www.worldcat.org/oclc/51477893","WorldCat Record")</f>
        <v/>
      </c>
      <c r="AU594" t="inlineStr">
        <is>
          <t>197760811:eng</t>
        </is>
      </c>
      <c r="AV594" t="inlineStr">
        <is>
          <t>51477893</t>
        </is>
      </c>
      <c r="AW594" t="inlineStr">
        <is>
          <t>991004504529702656</t>
        </is>
      </c>
      <c r="AX594" t="inlineStr">
        <is>
          <t>991004504529702656</t>
        </is>
      </c>
      <c r="AY594" t="inlineStr">
        <is>
          <t>2255509170002656</t>
        </is>
      </c>
      <c r="AZ594" t="inlineStr">
        <is>
          <t>BOOK</t>
        </is>
      </c>
      <c r="BB594" t="inlineStr">
        <is>
          <t>9780521527873</t>
        </is>
      </c>
      <c r="BC594" t="inlineStr">
        <is>
          <t>32285005037477</t>
        </is>
      </c>
      <c r="BD594" t="inlineStr">
        <is>
          <t>893612433</t>
        </is>
      </c>
    </row>
    <row r="595">
      <c r="A595" t="inlineStr">
        <is>
          <t>No</t>
        </is>
      </c>
      <c r="B595" t="inlineStr">
        <is>
          <t>HN90.P8 B46</t>
        </is>
      </c>
      <c r="C595" t="inlineStr">
        <is>
          <t>0                      HN 0090000P  8                  B  46</t>
        </is>
      </c>
      <c r="D595" t="inlineStr">
        <is>
          <t>Public opinion in American politics / W. Lance Bennett ; under the general editorship of James David Barber.</t>
        </is>
      </c>
      <c r="F595" t="inlineStr">
        <is>
          <t>No</t>
        </is>
      </c>
      <c r="G595" t="inlineStr">
        <is>
          <t>1</t>
        </is>
      </c>
      <c r="H595" t="inlineStr">
        <is>
          <t>No</t>
        </is>
      </c>
      <c r="I595" t="inlineStr">
        <is>
          <t>No</t>
        </is>
      </c>
      <c r="J595" t="inlineStr">
        <is>
          <t>0</t>
        </is>
      </c>
      <c r="K595" t="inlineStr">
        <is>
          <t>Bennett, W. Lance.</t>
        </is>
      </c>
      <c r="L595" t="inlineStr">
        <is>
          <t>New York : Harcourt Brace Jovanovich, c1980.</t>
        </is>
      </c>
      <c r="M595" t="inlineStr">
        <is>
          <t>1980</t>
        </is>
      </c>
      <c r="O595" t="inlineStr">
        <is>
          <t>eng</t>
        </is>
      </c>
      <c r="P595" t="inlineStr">
        <is>
          <t>nyu</t>
        </is>
      </c>
      <c r="R595" t="inlineStr">
        <is>
          <t xml:space="preserve">HN </t>
        </is>
      </c>
      <c r="S595" t="n">
        <v>4</v>
      </c>
      <c r="T595" t="n">
        <v>4</v>
      </c>
      <c r="U595" t="inlineStr">
        <is>
          <t>1994-04-23</t>
        </is>
      </c>
      <c r="V595" t="inlineStr">
        <is>
          <t>1994-04-23</t>
        </is>
      </c>
      <c r="W595" t="inlineStr">
        <is>
          <t>1992-04-30</t>
        </is>
      </c>
      <c r="X595" t="inlineStr">
        <is>
          <t>1992-04-30</t>
        </is>
      </c>
      <c r="Y595" t="n">
        <v>674</v>
      </c>
      <c r="Z595" t="n">
        <v>578</v>
      </c>
      <c r="AA595" t="n">
        <v>585</v>
      </c>
      <c r="AB595" t="n">
        <v>6</v>
      </c>
      <c r="AC595" t="n">
        <v>6</v>
      </c>
      <c r="AD595" t="n">
        <v>27</v>
      </c>
      <c r="AE595" t="n">
        <v>27</v>
      </c>
      <c r="AF595" t="n">
        <v>11</v>
      </c>
      <c r="AG595" t="n">
        <v>11</v>
      </c>
      <c r="AH595" t="n">
        <v>5</v>
      </c>
      <c r="AI595" t="n">
        <v>5</v>
      </c>
      <c r="AJ595" t="n">
        <v>13</v>
      </c>
      <c r="AK595" t="n">
        <v>13</v>
      </c>
      <c r="AL595" t="n">
        <v>5</v>
      </c>
      <c r="AM595" t="n">
        <v>5</v>
      </c>
      <c r="AN595" t="n">
        <v>0</v>
      </c>
      <c r="AO595" t="n">
        <v>0</v>
      </c>
      <c r="AP595" t="inlineStr">
        <is>
          <t>No</t>
        </is>
      </c>
      <c r="AQ595" t="inlineStr">
        <is>
          <t>No</t>
        </is>
      </c>
      <c r="AS595">
        <f>HYPERLINK("https://creighton-primo.hosted.exlibrisgroup.com/primo-explore/search?tab=default_tab&amp;search_scope=EVERYTHING&amp;vid=01CRU&amp;lang=en_US&amp;offset=0&amp;query=any,contains,991004958469702656","Catalog Record")</f>
        <v/>
      </c>
      <c r="AT595">
        <f>HYPERLINK("http://www.worldcat.org/oclc/6295413","WorldCat Record")</f>
        <v/>
      </c>
      <c r="AU595" t="inlineStr">
        <is>
          <t>413878:eng</t>
        </is>
      </c>
      <c r="AV595" t="inlineStr">
        <is>
          <t>6295413</t>
        </is>
      </c>
      <c r="AW595" t="inlineStr">
        <is>
          <t>991004958469702656</t>
        </is>
      </c>
      <c r="AX595" t="inlineStr">
        <is>
          <t>991004958469702656</t>
        </is>
      </c>
      <c r="AY595" t="inlineStr">
        <is>
          <t>2268965000002656</t>
        </is>
      </c>
      <c r="AZ595" t="inlineStr">
        <is>
          <t>BOOK</t>
        </is>
      </c>
      <c r="BB595" t="inlineStr">
        <is>
          <t>9780155738102</t>
        </is>
      </c>
      <c r="BC595" t="inlineStr">
        <is>
          <t>32285001103604</t>
        </is>
      </c>
      <c r="BD595" t="inlineStr">
        <is>
          <t>893412140</t>
        </is>
      </c>
    </row>
    <row r="596">
      <c r="A596" t="inlineStr">
        <is>
          <t>No</t>
        </is>
      </c>
      <c r="B596" t="inlineStr">
        <is>
          <t>HN90.P8 B57 2005</t>
        </is>
      </c>
      <c r="C596" t="inlineStr">
        <is>
          <t>0                      HN 0090000P  8                  B  57          2005</t>
        </is>
      </c>
      <c r="D596" t="inlineStr">
        <is>
          <t>The illusion of public opinion : fact and artifact in American public opinion polls / George F. Bishop.</t>
        </is>
      </c>
      <c r="F596" t="inlineStr">
        <is>
          <t>No</t>
        </is>
      </c>
      <c r="G596" t="inlineStr">
        <is>
          <t>1</t>
        </is>
      </c>
      <c r="H596" t="inlineStr">
        <is>
          <t>No</t>
        </is>
      </c>
      <c r="I596" t="inlineStr">
        <is>
          <t>No</t>
        </is>
      </c>
      <c r="J596" t="inlineStr">
        <is>
          <t>0</t>
        </is>
      </c>
      <c r="K596" t="inlineStr">
        <is>
          <t>Bishop, George F.</t>
        </is>
      </c>
      <c r="L596" t="inlineStr">
        <is>
          <t>Lanham, MD : Rowman &amp; Littlefield, c2005.</t>
        </is>
      </c>
      <c r="M596" t="inlineStr">
        <is>
          <t>2005</t>
        </is>
      </c>
      <c r="O596" t="inlineStr">
        <is>
          <t>eng</t>
        </is>
      </c>
      <c r="P596" t="inlineStr">
        <is>
          <t>mdu</t>
        </is>
      </c>
      <c r="R596" t="inlineStr">
        <is>
          <t xml:space="preserve">HN </t>
        </is>
      </c>
      <c r="S596" t="n">
        <v>2</v>
      </c>
      <c r="T596" t="n">
        <v>2</v>
      </c>
      <c r="U596" t="inlineStr">
        <is>
          <t>2004-11-08</t>
        </is>
      </c>
      <c r="V596" t="inlineStr">
        <is>
          <t>2004-11-08</t>
        </is>
      </c>
      <c r="W596" t="inlineStr">
        <is>
          <t>2004-11-08</t>
        </is>
      </c>
      <c r="X596" t="inlineStr">
        <is>
          <t>2004-11-08</t>
        </is>
      </c>
      <c r="Y596" t="n">
        <v>676</v>
      </c>
      <c r="Z596" t="n">
        <v>606</v>
      </c>
      <c r="AA596" t="n">
        <v>615</v>
      </c>
      <c r="AB596" t="n">
        <v>6</v>
      </c>
      <c r="AC596" t="n">
        <v>6</v>
      </c>
      <c r="AD596" t="n">
        <v>33</v>
      </c>
      <c r="AE596" t="n">
        <v>33</v>
      </c>
      <c r="AF596" t="n">
        <v>15</v>
      </c>
      <c r="AG596" t="n">
        <v>15</v>
      </c>
      <c r="AH596" t="n">
        <v>8</v>
      </c>
      <c r="AI596" t="n">
        <v>8</v>
      </c>
      <c r="AJ596" t="n">
        <v>13</v>
      </c>
      <c r="AK596" t="n">
        <v>13</v>
      </c>
      <c r="AL596" t="n">
        <v>5</v>
      </c>
      <c r="AM596" t="n">
        <v>5</v>
      </c>
      <c r="AN596" t="n">
        <v>0</v>
      </c>
      <c r="AO596" t="n">
        <v>0</v>
      </c>
      <c r="AP596" t="inlineStr">
        <is>
          <t>No</t>
        </is>
      </c>
      <c r="AQ596" t="inlineStr">
        <is>
          <t>Yes</t>
        </is>
      </c>
      <c r="AR596">
        <f>HYPERLINK("http://catalog.hathitrust.org/Record/004764133","HathiTrust Record")</f>
        <v/>
      </c>
      <c r="AS596">
        <f>HYPERLINK("https://creighton-primo.hosted.exlibrisgroup.com/primo-explore/search?tab=default_tab&amp;search_scope=EVERYTHING&amp;vid=01CRU&amp;lang=en_US&amp;offset=0&amp;query=any,contains,991004396549702656","Catalog Record")</f>
        <v/>
      </c>
      <c r="AT596">
        <f>HYPERLINK("http://www.worldcat.org/oclc/54611356","WorldCat Record")</f>
        <v/>
      </c>
      <c r="AU596" t="inlineStr">
        <is>
          <t>866962389:eng</t>
        </is>
      </c>
      <c r="AV596" t="inlineStr">
        <is>
          <t>54611356</t>
        </is>
      </c>
      <c r="AW596" t="inlineStr">
        <is>
          <t>991004396549702656</t>
        </is>
      </c>
      <c r="AX596" t="inlineStr">
        <is>
          <t>991004396549702656</t>
        </is>
      </c>
      <c r="AY596" t="inlineStr">
        <is>
          <t>2269475200002656</t>
        </is>
      </c>
      <c r="AZ596" t="inlineStr">
        <is>
          <t>BOOK</t>
        </is>
      </c>
      <c r="BB596" t="inlineStr">
        <is>
          <t>9780742516441</t>
        </is>
      </c>
      <c r="BC596" t="inlineStr">
        <is>
          <t>32285005009377</t>
        </is>
      </c>
      <c r="BD596" t="inlineStr">
        <is>
          <t>893605982</t>
        </is>
      </c>
    </row>
    <row r="597">
      <c r="A597" t="inlineStr">
        <is>
          <t>No</t>
        </is>
      </c>
      <c r="B597" t="inlineStr">
        <is>
          <t>HN90.P8 C685 1991</t>
        </is>
      </c>
      <c r="C597" t="inlineStr">
        <is>
          <t>0                      HN 0090000P  8                  C  685         1991</t>
        </is>
      </c>
      <c r="D597" t="inlineStr">
        <is>
          <t>American public opinion : trends, processes, and patterns / Michael Corbett.</t>
        </is>
      </c>
      <c r="F597" t="inlineStr">
        <is>
          <t>No</t>
        </is>
      </c>
      <c r="G597" t="inlineStr">
        <is>
          <t>1</t>
        </is>
      </c>
      <c r="H597" t="inlineStr">
        <is>
          <t>No</t>
        </is>
      </c>
      <c r="I597" t="inlineStr">
        <is>
          <t>No</t>
        </is>
      </c>
      <c r="J597" t="inlineStr">
        <is>
          <t>0</t>
        </is>
      </c>
      <c r="K597" t="inlineStr">
        <is>
          <t>Corbett, Michael, 1943-</t>
        </is>
      </c>
      <c r="L597" t="inlineStr">
        <is>
          <t>New York : Longman, c1991.</t>
        </is>
      </c>
      <c r="M597" t="inlineStr">
        <is>
          <t>1991</t>
        </is>
      </c>
      <c r="O597" t="inlineStr">
        <is>
          <t>eng</t>
        </is>
      </c>
      <c r="P597" t="inlineStr">
        <is>
          <t>nyu</t>
        </is>
      </c>
      <c r="R597" t="inlineStr">
        <is>
          <t xml:space="preserve">HN </t>
        </is>
      </c>
      <c r="S597" t="n">
        <v>22</v>
      </c>
      <c r="T597" t="n">
        <v>22</v>
      </c>
      <c r="U597" t="inlineStr">
        <is>
          <t>1999-11-20</t>
        </is>
      </c>
      <c r="V597" t="inlineStr">
        <is>
          <t>1999-11-20</t>
        </is>
      </c>
      <c r="W597" t="inlineStr">
        <is>
          <t>1991-12-02</t>
        </is>
      </c>
      <c r="X597" t="inlineStr">
        <is>
          <t>1991-12-02</t>
        </is>
      </c>
      <c r="Y597" t="n">
        <v>163</v>
      </c>
      <c r="Z597" t="n">
        <v>139</v>
      </c>
      <c r="AA597" t="n">
        <v>141</v>
      </c>
      <c r="AB597" t="n">
        <v>2</v>
      </c>
      <c r="AC597" t="n">
        <v>2</v>
      </c>
      <c r="AD597" t="n">
        <v>6</v>
      </c>
      <c r="AE597" t="n">
        <v>6</v>
      </c>
      <c r="AF597" t="n">
        <v>3</v>
      </c>
      <c r="AG597" t="n">
        <v>3</v>
      </c>
      <c r="AH597" t="n">
        <v>1</v>
      </c>
      <c r="AI597" t="n">
        <v>1</v>
      </c>
      <c r="AJ597" t="n">
        <v>4</v>
      </c>
      <c r="AK597" t="n">
        <v>4</v>
      </c>
      <c r="AL597" t="n">
        <v>1</v>
      </c>
      <c r="AM597" t="n">
        <v>1</v>
      </c>
      <c r="AN597" t="n">
        <v>0</v>
      </c>
      <c r="AO597" t="n">
        <v>0</v>
      </c>
      <c r="AP597" t="inlineStr">
        <is>
          <t>No</t>
        </is>
      </c>
      <c r="AQ597" t="inlineStr">
        <is>
          <t>Yes</t>
        </is>
      </c>
      <c r="AR597">
        <f>HYPERLINK("http://catalog.hathitrust.org/Record/003338373","HathiTrust Record")</f>
        <v/>
      </c>
      <c r="AS597">
        <f>HYPERLINK("https://creighton-primo.hosted.exlibrisgroup.com/primo-explore/search?tab=default_tab&amp;search_scope=EVERYTHING&amp;vid=01CRU&amp;lang=en_US&amp;offset=0&amp;query=any,contains,991001687029702656","Catalog Record")</f>
        <v/>
      </c>
      <c r="AT597">
        <f>HYPERLINK("http://www.worldcat.org/oclc/21407996","WorldCat Record")</f>
        <v/>
      </c>
      <c r="AU597" t="inlineStr">
        <is>
          <t>328331370:eng</t>
        </is>
      </c>
      <c r="AV597" t="inlineStr">
        <is>
          <t>21407996</t>
        </is>
      </c>
      <c r="AW597" t="inlineStr">
        <is>
          <t>991001687029702656</t>
        </is>
      </c>
      <c r="AX597" t="inlineStr">
        <is>
          <t>991001687029702656</t>
        </is>
      </c>
      <c r="AY597" t="inlineStr">
        <is>
          <t>2272687520002656</t>
        </is>
      </c>
      <c r="AZ597" t="inlineStr">
        <is>
          <t>BOOK</t>
        </is>
      </c>
      <c r="BB597" t="inlineStr">
        <is>
          <t>9780801303234</t>
        </is>
      </c>
      <c r="BC597" t="inlineStr">
        <is>
          <t>32285000818467</t>
        </is>
      </c>
      <c r="BD597" t="inlineStr">
        <is>
          <t>893322151</t>
        </is>
      </c>
    </row>
    <row r="598">
      <c r="A598" t="inlineStr">
        <is>
          <t>No</t>
        </is>
      </c>
      <c r="B598" t="inlineStr">
        <is>
          <t>HN90.P8 E74 1988</t>
        </is>
      </c>
      <c r="C598" t="inlineStr">
        <is>
          <t>0                      HN 0090000P  8                  E  74          1988</t>
        </is>
      </c>
      <c r="D598" t="inlineStr">
        <is>
          <t>American public opinion : its origins, content, and impact / Robert S. Erikson, Norman R. Luttbeg, Kent L. Tedin.</t>
        </is>
      </c>
      <c r="F598" t="inlineStr">
        <is>
          <t>No</t>
        </is>
      </c>
      <c r="G598" t="inlineStr">
        <is>
          <t>1</t>
        </is>
      </c>
      <c r="H598" t="inlineStr">
        <is>
          <t>No</t>
        </is>
      </c>
      <c r="I598" t="inlineStr">
        <is>
          <t>No</t>
        </is>
      </c>
      <c r="J598" t="inlineStr">
        <is>
          <t>0</t>
        </is>
      </c>
      <c r="K598" t="inlineStr">
        <is>
          <t>Erikson, Robert S.</t>
        </is>
      </c>
      <c r="L598" t="inlineStr">
        <is>
          <t>New York : Macmillan ; London : Collier Macmillan, c1988.</t>
        </is>
      </c>
      <c r="M598" t="inlineStr">
        <is>
          <t>1988</t>
        </is>
      </c>
      <c r="N598" t="inlineStr">
        <is>
          <t>3rd ed.</t>
        </is>
      </c>
      <c r="O598" t="inlineStr">
        <is>
          <t>eng</t>
        </is>
      </c>
      <c r="P598" t="inlineStr">
        <is>
          <t>nyu</t>
        </is>
      </c>
      <c r="R598" t="inlineStr">
        <is>
          <t xml:space="preserve">HN </t>
        </is>
      </c>
      <c r="S598" t="n">
        <v>7</v>
      </c>
      <c r="T598" t="n">
        <v>7</v>
      </c>
      <c r="U598" t="inlineStr">
        <is>
          <t>2002-09-14</t>
        </is>
      </c>
      <c r="V598" t="inlineStr">
        <is>
          <t>2002-09-14</t>
        </is>
      </c>
      <c r="W598" t="inlineStr">
        <is>
          <t>1992-10-05</t>
        </is>
      </c>
      <c r="X598" t="inlineStr">
        <is>
          <t>1992-10-05</t>
        </is>
      </c>
      <c r="Y598" t="n">
        <v>138</v>
      </c>
      <c r="Z598" t="n">
        <v>117</v>
      </c>
      <c r="AA598" t="n">
        <v>722</v>
      </c>
      <c r="AB598" t="n">
        <v>1</v>
      </c>
      <c r="AC598" t="n">
        <v>5</v>
      </c>
      <c r="AD598" t="n">
        <v>2</v>
      </c>
      <c r="AE598" t="n">
        <v>28</v>
      </c>
      <c r="AF598" t="n">
        <v>0</v>
      </c>
      <c r="AG598" t="n">
        <v>10</v>
      </c>
      <c r="AH598" t="n">
        <v>1</v>
      </c>
      <c r="AI598" t="n">
        <v>4</v>
      </c>
      <c r="AJ598" t="n">
        <v>2</v>
      </c>
      <c r="AK598" t="n">
        <v>15</v>
      </c>
      <c r="AL598" t="n">
        <v>0</v>
      </c>
      <c r="AM598" t="n">
        <v>4</v>
      </c>
      <c r="AN598" t="n">
        <v>0</v>
      </c>
      <c r="AO598" t="n">
        <v>1</v>
      </c>
      <c r="AP598" t="inlineStr">
        <is>
          <t>No</t>
        </is>
      </c>
      <c r="AQ598" t="inlineStr">
        <is>
          <t>No</t>
        </is>
      </c>
      <c r="AS598">
        <f>HYPERLINK("https://creighton-primo.hosted.exlibrisgroup.com/primo-explore/search?tab=default_tab&amp;search_scope=EVERYTHING&amp;vid=01CRU&amp;lang=en_US&amp;offset=0&amp;query=any,contains,991001158639702656","Catalog Record")</f>
        <v/>
      </c>
      <c r="AT598">
        <f>HYPERLINK("http://www.worldcat.org/oclc/16871393","WorldCat Record")</f>
        <v/>
      </c>
      <c r="AU598" t="inlineStr">
        <is>
          <t>4922311962:eng</t>
        </is>
      </c>
      <c r="AV598" t="inlineStr">
        <is>
          <t>16871393</t>
        </is>
      </c>
      <c r="AW598" t="inlineStr">
        <is>
          <t>991001158639702656</t>
        </is>
      </c>
      <c r="AX598" t="inlineStr">
        <is>
          <t>991001158639702656</t>
        </is>
      </c>
      <c r="AY598" t="inlineStr">
        <is>
          <t>2263194180002656</t>
        </is>
      </c>
      <c r="AZ598" t="inlineStr">
        <is>
          <t>BOOK</t>
        </is>
      </c>
      <c r="BB598" t="inlineStr">
        <is>
          <t>9780023340109</t>
        </is>
      </c>
      <c r="BC598" t="inlineStr">
        <is>
          <t>32285001355998</t>
        </is>
      </c>
      <c r="BD598" t="inlineStr">
        <is>
          <t>893243907</t>
        </is>
      </c>
    </row>
    <row r="599">
      <c r="A599" t="inlineStr">
        <is>
          <t>No</t>
        </is>
      </c>
      <c r="B599" t="inlineStr">
        <is>
          <t>HN90.P8 L48 1987</t>
        </is>
      </c>
      <c r="C599" t="inlineStr">
        <is>
          <t>0                      HN 0090000P  8                  L  48          1987</t>
        </is>
      </c>
      <c r="D599" t="inlineStr">
        <is>
          <t>Talk radio and the American dream / by Murray B. Levin.</t>
        </is>
      </c>
      <c r="F599" t="inlineStr">
        <is>
          <t>No</t>
        </is>
      </c>
      <c r="G599" t="inlineStr">
        <is>
          <t>1</t>
        </is>
      </c>
      <c r="H599" t="inlineStr">
        <is>
          <t>No</t>
        </is>
      </c>
      <c r="I599" t="inlineStr">
        <is>
          <t>No</t>
        </is>
      </c>
      <c r="J599" t="inlineStr">
        <is>
          <t>0</t>
        </is>
      </c>
      <c r="K599" t="inlineStr">
        <is>
          <t>Levin, Murray Burton.</t>
        </is>
      </c>
      <c r="L599" t="inlineStr">
        <is>
          <t>Lexington, Mass. : Lexington Books, c1987.</t>
        </is>
      </c>
      <c r="M599" t="inlineStr">
        <is>
          <t>1987</t>
        </is>
      </c>
      <c r="O599" t="inlineStr">
        <is>
          <t>eng</t>
        </is>
      </c>
      <c r="P599" t="inlineStr">
        <is>
          <t>mau</t>
        </is>
      </c>
      <c r="R599" t="inlineStr">
        <is>
          <t xml:space="preserve">HN </t>
        </is>
      </c>
      <c r="S599" t="n">
        <v>7</v>
      </c>
      <c r="T599" t="n">
        <v>7</v>
      </c>
      <c r="U599" t="inlineStr">
        <is>
          <t>1993-11-03</t>
        </is>
      </c>
      <c r="V599" t="inlineStr">
        <is>
          <t>1993-11-03</t>
        </is>
      </c>
      <c r="W599" t="inlineStr">
        <is>
          <t>1992-10-05</t>
        </is>
      </c>
      <c r="X599" t="inlineStr">
        <is>
          <t>1992-10-05</t>
        </is>
      </c>
      <c r="Y599" t="n">
        <v>460</v>
      </c>
      <c r="Z599" t="n">
        <v>417</v>
      </c>
      <c r="AA599" t="n">
        <v>418</v>
      </c>
      <c r="AB599" t="n">
        <v>3</v>
      </c>
      <c r="AC599" t="n">
        <v>3</v>
      </c>
      <c r="AD599" t="n">
        <v>23</v>
      </c>
      <c r="AE599" t="n">
        <v>23</v>
      </c>
      <c r="AF599" t="n">
        <v>8</v>
      </c>
      <c r="AG599" t="n">
        <v>8</v>
      </c>
      <c r="AH599" t="n">
        <v>8</v>
      </c>
      <c r="AI599" t="n">
        <v>8</v>
      </c>
      <c r="AJ599" t="n">
        <v>13</v>
      </c>
      <c r="AK599" t="n">
        <v>13</v>
      </c>
      <c r="AL599" t="n">
        <v>2</v>
      </c>
      <c r="AM599" t="n">
        <v>2</v>
      </c>
      <c r="AN599" t="n">
        <v>0</v>
      </c>
      <c r="AO599" t="n">
        <v>0</v>
      </c>
      <c r="AP599" t="inlineStr">
        <is>
          <t>No</t>
        </is>
      </c>
      <c r="AQ599" t="inlineStr">
        <is>
          <t>No</t>
        </is>
      </c>
      <c r="AS599">
        <f>HYPERLINK("https://creighton-primo.hosted.exlibrisgroup.com/primo-explore/search?tab=default_tab&amp;search_scope=EVERYTHING&amp;vid=01CRU&amp;lang=en_US&amp;offset=0&amp;query=any,contains,991000875749702656","Catalog Record")</f>
        <v/>
      </c>
      <c r="AT599">
        <f>HYPERLINK("http://www.worldcat.org/oclc/13796714","WorldCat Record")</f>
        <v/>
      </c>
      <c r="AU599" t="inlineStr">
        <is>
          <t>7986903:eng</t>
        </is>
      </c>
      <c r="AV599" t="inlineStr">
        <is>
          <t>13796714</t>
        </is>
      </c>
      <c r="AW599" t="inlineStr">
        <is>
          <t>991000875749702656</t>
        </is>
      </c>
      <c r="AX599" t="inlineStr">
        <is>
          <t>991000875749702656</t>
        </is>
      </c>
      <c r="AY599" t="inlineStr">
        <is>
          <t>2270600110002656</t>
        </is>
      </c>
      <c r="AZ599" t="inlineStr">
        <is>
          <t>BOOK</t>
        </is>
      </c>
      <c r="BB599" t="inlineStr">
        <is>
          <t>9780669132175</t>
        </is>
      </c>
      <c r="BC599" t="inlineStr">
        <is>
          <t>32285001356061</t>
        </is>
      </c>
      <c r="BD599" t="inlineStr">
        <is>
          <t>893528465</t>
        </is>
      </c>
    </row>
    <row r="600">
      <c r="A600" t="inlineStr">
        <is>
          <t>No</t>
        </is>
      </c>
      <c r="B600" t="inlineStr">
        <is>
          <t>HN90.P8 M65</t>
        </is>
      </c>
      <c r="C600" t="inlineStr">
        <is>
          <t>0                      HN 0090000P  8                  M  65</t>
        </is>
      </c>
      <c r="D600" t="inlineStr">
        <is>
          <t>Public opinion in America / Alan D. Monroe.</t>
        </is>
      </c>
      <c r="F600" t="inlineStr">
        <is>
          <t>No</t>
        </is>
      </c>
      <c r="G600" t="inlineStr">
        <is>
          <t>1</t>
        </is>
      </c>
      <c r="H600" t="inlineStr">
        <is>
          <t>No</t>
        </is>
      </c>
      <c r="I600" t="inlineStr">
        <is>
          <t>No</t>
        </is>
      </c>
      <c r="J600" t="inlineStr">
        <is>
          <t>0</t>
        </is>
      </c>
      <c r="K600" t="inlineStr">
        <is>
          <t>Monroe, Alan D.</t>
        </is>
      </c>
      <c r="L600" t="inlineStr">
        <is>
          <t>New York : Dodd, Mead, 1975.</t>
        </is>
      </c>
      <c r="M600" t="inlineStr">
        <is>
          <t>1975</t>
        </is>
      </c>
      <c r="O600" t="inlineStr">
        <is>
          <t>eng</t>
        </is>
      </c>
      <c r="P600" t="inlineStr">
        <is>
          <t>nyu</t>
        </is>
      </c>
      <c r="R600" t="inlineStr">
        <is>
          <t xml:space="preserve">HN </t>
        </is>
      </c>
      <c r="S600" t="n">
        <v>5</v>
      </c>
      <c r="T600" t="n">
        <v>5</v>
      </c>
      <c r="U600" t="inlineStr">
        <is>
          <t>2010-11-23</t>
        </is>
      </c>
      <c r="V600" t="inlineStr">
        <is>
          <t>2010-11-23</t>
        </is>
      </c>
      <c r="W600" t="inlineStr">
        <is>
          <t>1990-07-31</t>
        </is>
      </c>
      <c r="X600" t="inlineStr">
        <is>
          <t>1990-07-31</t>
        </is>
      </c>
      <c r="Y600" t="n">
        <v>327</v>
      </c>
      <c r="Z600" t="n">
        <v>281</v>
      </c>
      <c r="AA600" t="n">
        <v>305</v>
      </c>
      <c r="AB600" t="n">
        <v>1</v>
      </c>
      <c r="AC600" t="n">
        <v>1</v>
      </c>
      <c r="AD600" t="n">
        <v>11</v>
      </c>
      <c r="AE600" t="n">
        <v>12</v>
      </c>
      <c r="AF600" t="n">
        <v>4</v>
      </c>
      <c r="AG600" t="n">
        <v>5</v>
      </c>
      <c r="AH600" t="n">
        <v>2</v>
      </c>
      <c r="AI600" t="n">
        <v>2</v>
      </c>
      <c r="AJ600" t="n">
        <v>9</v>
      </c>
      <c r="AK600" t="n">
        <v>10</v>
      </c>
      <c r="AL600" t="n">
        <v>0</v>
      </c>
      <c r="AM600" t="n">
        <v>0</v>
      </c>
      <c r="AN600" t="n">
        <v>0</v>
      </c>
      <c r="AO600" t="n">
        <v>0</v>
      </c>
      <c r="AP600" t="inlineStr">
        <is>
          <t>No</t>
        </is>
      </c>
      <c r="AQ600" t="inlineStr">
        <is>
          <t>Yes</t>
        </is>
      </c>
      <c r="AR600">
        <f>HYPERLINK("http://catalog.hathitrust.org/Record/000036005","HathiTrust Record")</f>
        <v/>
      </c>
      <c r="AS600">
        <f>HYPERLINK("https://creighton-primo.hosted.exlibrisgroup.com/primo-explore/search?tab=default_tab&amp;search_scope=EVERYTHING&amp;vid=01CRU&amp;lang=en_US&amp;offset=0&amp;query=any,contains,991003693259702656","Catalog Record")</f>
        <v/>
      </c>
      <c r="AT600">
        <f>HYPERLINK("http://www.worldcat.org/oclc/1323799","WorldCat Record")</f>
        <v/>
      </c>
      <c r="AU600" t="inlineStr">
        <is>
          <t>2204476:eng</t>
        </is>
      </c>
      <c r="AV600" t="inlineStr">
        <is>
          <t>1323799</t>
        </is>
      </c>
      <c r="AW600" t="inlineStr">
        <is>
          <t>991003693259702656</t>
        </is>
      </c>
      <c r="AX600" t="inlineStr">
        <is>
          <t>991003693259702656</t>
        </is>
      </c>
      <c r="AY600" t="inlineStr">
        <is>
          <t>2255347480002656</t>
        </is>
      </c>
      <c r="AZ600" t="inlineStr">
        <is>
          <t>BOOK</t>
        </is>
      </c>
      <c r="BB600" t="inlineStr">
        <is>
          <t>9780396071006</t>
        </is>
      </c>
      <c r="BC600" t="inlineStr">
        <is>
          <t>32285000252493</t>
        </is>
      </c>
      <c r="BD600" t="inlineStr">
        <is>
          <t>893887763</t>
        </is>
      </c>
    </row>
    <row r="601">
      <c r="A601" t="inlineStr">
        <is>
          <t>No</t>
        </is>
      </c>
      <c r="B601" t="inlineStr">
        <is>
          <t>HN90.P8 O76 1988</t>
        </is>
      </c>
      <c r="C601" t="inlineStr">
        <is>
          <t>0                      HN 0090000P  8                  O  76          1988</t>
        </is>
      </c>
      <c r="D601" t="inlineStr">
        <is>
          <t>The people, the press &amp; politics : the Times Mirror study of the American electorate / Norman Ornstein, Andrew Kohut, Larry McCarthy.</t>
        </is>
      </c>
      <c r="F601" t="inlineStr">
        <is>
          <t>No</t>
        </is>
      </c>
      <c r="G601" t="inlineStr">
        <is>
          <t>1</t>
        </is>
      </c>
      <c r="H601" t="inlineStr">
        <is>
          <t>No</t>
        </is>
      </c>
      <c r="I601" t="inlineStr">
        <is>
          <t>No</t>
        </is>
      </c>
      <c r="J601" t="inlineStr">
        <is>
          <t>0</t>
        </is>
      </c>
      <c r="K601" t="inlineStr">
        <is>
          <t>Ornstein, Norman J.</t>
        </is>
      </c>
      <c r="L601" t="inlineStr">
        <is>
          <t>Reading, Mass. : Addison-Wesley, c1988.</t>
        </is>
      </c>
      <c r="M601" t="inlineStr">
        <is>
          <t>1988</t>
        </is>
      </c>
      <c r="O601" t="inlineStr">
        <is>
          <t>eng</t>
        </is>
      </c>
      <c r="P601" t="inlineStr">
        <is>
          <t>mau</t>
        </is>
      </c>
      <c r="R601" t="inlineStr">
        <is>
          <t xml:space="preserve">HN </t>
        </is>
      </c>
      <c r="S601" t="n">
        <v>2</v>
      </c>
      <c r="T601" t="n">
        <v>2</v>
      </c>
      <c r="U601" t="inlineStr">
        <is>
          <t>2003-06-14</t>
        </is>
      </c>
      <c r="V601" t="inlineStr">
        <is>
          <t>2003-06-14</t>
        </is>
      </c>
      <c r="W601" t="inlineStr">
        <is>
          <t>1989-10-23</t>
        </is>
      </c>
      <c r="X601" t="inlineStr">
        <is>
          <t>1989-10-23</t>
        </is>
      </c>
      <c r="Y601" t="n">
        <v>405</v>
      </c>
      <c r="Z601" t="n">
        <v>363</v>
      </c>
      <c r="AA601" t="n">
        <v>363</v>
      </c>
      <c r="AB601" t="n">
        <v>1</v>
      </c>
      <c r="AC601" t="n">
        <v>1</v>
      </c>
      <c r="AD601" t="n">
        <v>10</v>
      </c>
      <c r="AE601" t="n">
        <v>10</v>
      </c>
      <c r="AF601" t="n">
        <v>2</v>
      </c>
      <c r="AG601" t="n">
        <v>2</v>
      </c>
      <c r="AH601" t="n">
        <v>3</v>
      </c>
      <c r="AI601" t="n">
        <v>3</v>
      </c>
      <c r="AJ601" t="n">
        <v>6</v>
      </c>
      <c r="AK601" t="n">
        <v>6</v>
      </c>
      <c r="AL601" t="n">
        <v>0</v>
      </c>
      <c r="AM601" t="n">
        <v>0</v>
      </c>
      <c r="AN601" t="n">
        <v>1</v>
      </c>
      <c r="AO601" t="n">
        <v>1</v>
      </c>
      <c r="AP601" t="inlineStr">
        <is>
          <t>No</t>
        </is>
      </c>
      <c r="AQ601" t="inlineStr">
        <is>
          <t>No</t>
        </is>
      </c>
      <c r="AS601">
        <f>HYPERLINK("https://creighton-primo.hosted.exlibrisgroup.com/primo-explore/search?tab=default_tab&amp;search_scope=EVERYTHING&amp;vid=01CRU&amp;lang=en_US&amp;offset=0&amp;query=any,contains,991001220019702656","Catalog Record")</f>
        <v/>
      </c>
      <c r="AT601">
        <f>HYPERLINK("http://www.worldcat.org/oclc/17442216","WorldCat Record")</f>
        <v/>
      </c>
      <c r="AU601" t="inlineStr">
        <is>
          <t>16090968:eng</t>
        </is>
      </c>
      <c r="AV601" t="inlineStr">
        <is>
          <t>17442216</t>
        </is>
      </c>
      <c r="AW601" t="inlineStr">
        <is>
          <t>991001220019702656</t>
        </is>
      </c>
      <c r="AX601" t="inlineStr">
        <is>
          <t>991001220019702656</t>
        </is>
      </c>
      <c r="AY601" t="inlineStr">
        <is>
          <t>2259780360002656</t>
        </is>
      </c>
      <c r="AZ601" t="inlineStr">
        <is>
          <t>BOOK</t>
        </is>
      </c>
      <c r="BB601" t="inlineStr">
        <is>
          <t>9780201093582</t>
        </is>
      </c>
      <c r="BC601" t="inlineStr">
        <is>
          <t>32285000003896</t>
        </is>
      </c>
      <c r="BD601" t="inlineStr">
        <is>
          <t>893503210</t>
        </is>
      </c>
    </row>
    <row r="602">
      <c r="A602" t="inlineStr">
        <is>
          <t>No</t>
        </is>
      </c>
      <c r="B602" t="inlineStr">
        <is>
          <t>HN90.P8 P74 1995</t>
        </is>
      </c>
      <c r="C602" t="inlineStr">
        <is>
          <t>0                      HN 0090000P  8                  P  74          1995</t>
        </is>
      </c>
      <c r="D602" t="inlineStr">
        <is>
          <t>Presidential polls and the news media / edited by Paul J. Lavrakas, Michael W. Traugott, and Peter V. Miller.</t>
        </is>
      </c>
      <c r="F602" t="inlineStr">
        <is>
          <t>No</t>
        </is>
      </c>
      <c r="G602" t="inlineStr">
        <is>
          <t>1</t>
        </is>
      </c>
      <c r="H602" t="inlineStr">
        <is>
          <t>No</t>
        </is>
      </c>
      <c r="I602" t="inlineStr">
        <is>
          <t>No</t>
        </is>
      </c>
      <c r="J602" t="inlineStr">
        <is>
          <t>0</t>
        </is>
      </c>
      <c r="L602" t="inlineStr">
        <is>
          <t>Boulder : Westview Press, 1995.</t>
        </is>
      </c>
      <c r="M602" t="inlineStr">
        <is>
          <t>1995</t>
        </is>
      </c>
      <c r="O602" t="inlineStr">
        <is>
          <t>eng</t>
        </is>
      </c>
      <c r="P602" t="inlineStr">
        <is>
          <t>cou</t>
        </is>
      </c>
      <c r="R602" t="inlineStr">
        <is>
          <t xml:space="preserve">HN </t>
        </is>
      </c>
      <c r="S602" t="n">
        <v>3</v>
      </c>
      <c r="T602" t="n">
        <v>3</v>
      </c>
      <c r="U602" t="inlineStr">
        <is>
          <t>2003-03-07</t>
        </is>
      </c>
      <c r="V602" t="inlineStr">
        <is>
          <t>2003-03-07</t>
        </is>
      </c>
      <c r="W602" t="inlineStr">
        <is>
          <t>1996-11-01</t>
        </is>
      </c>
      <c r="X602" t="inlineStr">
        <is>
          <t>1996-11-01</t>
        </is>
      </c>
      <c r="Y602" t="n">
        <v>379</v>
      </c>
      <c r="Z602" t="n">
        <v>335</v>
      </c>
      <c r="AA602" t="n">
        <v>358</v>
      </c>
      <c r="AB602" t="n">
        <v>2</v>
      </c>
      <c r="AC602" t="n">
        <v>2</v>
      </c>
      <c r="AD602" t="n">
        <v>23</v>
      </c>
      <c r="AE602" t="n">
        <v>23</v>
      </c>
      <c r="AF602" t="n">
        <v>12</v>
      </c>
      <c r="AG602" t="n">
        <v>12</v>
      </c>
      <c r="AH602" t="n">
        <v>3</v>
      </c>
      <c r="AI602" t="n">
        <v>3</v>
      </c>
      <c r="AJ602" t="n">
        <v>12</v>
      </c>
      <c r="AK602" t="n">
        <v>12</v>
      </c>
      <c r="AL602" t="n">
        <v>1</v>
      </c>
      <c r="AM602" t="n">
        <v>1</v>
      </c>
      <c r="AN602" t="n">
        <v>0</v>
      </c>
      <c r="AO602" t="n">
        <v>0</v>
      </c>
      <c r="AP602" t="inlineStr">
        <is>
          <t>No</t>
        </is>
      </c>
      <c r="AQ602" t="inlineStr">
        <is>
          <t>Yes</t>
        </is>
      </c>
      <c r="AR602">
        <f>HYPERLINK("http://catalog.hathitrust.org/Record/002994531","HathiTrust Record")</f>
        <v/>
      </c>
      <c r="AS602">
        <f>HYPERLINK("https://creighton-primo.hosted.exlibrisgroup.com/primo-explore/search?tab=default_tab&amp;search_scope=EVERYTHING&amp;vid=01CRU&amp;lang=en_US&amp;offset=0&amp;query=any,contains,991002478949702656","Catalog Record")</f>
        <v/>
      </c>
      <c r="AT602">
        <f>HYPERLINK("http://www.worldcat.org/oclc/32273815","WorldCat Record")</f>
        <v/>
      </c>
      <c r="AU602" t="inlineStr">
        <is>
          <t>350650739:eng</t>
        </is>
      </c>
      <c r="AV602" t="inlineStr">
        <is>
          <t>32273815</t>
        </is>
      </c>
      <c r="AW602" t="inlineStr">
        <is>
          <t>991002478949702656</t>
        </is>
      </c>
      <c r="AX602" t="inlineStr">
        <is>
          <t>991002478949702656</t>
        </is>
      </c>
      <c r="AY602" t="inlineStr">
        <is>
          <t>2260494950002656</t>
        </is>
      </c>
      <c r="AZ602" t="inlineStr">
        <is>
          <t>BOOK</t>
        </is>
      </c>
      <c r="BB602" t="inlineStr">
        <is>
          <t>9780813389431</t>
        </is>
      </c>
      <c r="BC602" t="inlineStr">
        <is>
          <t>32285002370400</t>
        </is>
      </c>
      <c r="BD602" t="inlineStr">
        <is>
          <t>893322994</t>
        </is>
      </c>
    </row>
    <row r="603">
      <c r="A603" t="inlineStr">
        <is>
          <t>No</t>
        </is>
      </c>
      <c r="B603" t="inlineStr">
        <is>
          <t>HN90.P8 T73 2004</t>
        </is>
      </c>
      <c r="C603" t="inlineStr">
        <is>
          <t>0                      HN 0090000P  8                  T  73          2004</t>
        </is>
      </c>
      <c r="D603" t="inlineStr">
        <is>
          <t>The voter's guide to election polls / Michael W. Traugott and Paul J. Lavrakas.</t>
        </is>
      </c>
      <c r="F603" t="inlineStr">
        <is>
          <t>No</t>
        </is>
      </c>
      <c r="G603" t="inlineStr">
        <is>
          <t>1</t>
        </is>
      </c>
      <c r="H603" t="inlineStr">
        <is>
          <t>No</t>
        </is>
      </c>
      <c r="I603" t="inlineStr">
        <is>
          <t>No</t>
        </is>
      </c>
      <c r="J603" t="inlineStr">
        <is>
          <t>0</t>
        </is>
      </c>
      <c r="K603" t="inlineStr">
        <is>
          <t>Traugott, Michael W.</t>
        </is>
      </c>
      <c r="L603" t="inlineStr">
        <is>
          <t>Lanham : Rowman &amp; Littlefield, c2004.</t>
        </is>
      </c>
      <c r="M603" t="inlineStr">
        <is>
          <t>2004</t>
        </is>
      </c>
      <c r="N603" t="inlineStr">
        <is>
          <t>3rd ed.</t>
        </is>
      </c>
      <c r="O603" t="inlineStr">
        <is>
          <t>eng</t>
        </is>
      </c>
      <c r="P603" t="inlineStr">
        <is>
          <t>mdu</t>
        </is>
      </c>
      <c r="R603" t="inlineStr">
        <is>
          <t xml:space="preserve">HN </t>
        </is>
      </c>
      <c r="S603" t="n">
        <v>3</v>
      </c>
      <c r="T603" t="n">
        <v>3</v>
      </c>
      <c r="U603" t="inlineStr">
        <is>
          <t>2010-04-15</t>
        </is>
      </c>
      <c r="V603" t="inlineStr">
        <is>
          <t>2010-04-15</t>
        </is>
      </c>
      <c r="W603" t="inlineStr">
        <is>
          <t>2004-07-21</t>
        </is>
      </c>
      <c r="X603" t="inlineStr">
        <is>
          <t>2004-07-21</t>
        </is>
      </c>
      <c r="Y603" t="n">
        <v>172</v>
      </c>
      <c r="Z603" t="n">
        <v>154</v>
      </c>
      <c r="AA603" t="n">
        <v>1485</v>
      </c>
      <c r="AB603" t="n">
        <v>1</v>
      </c>
      <c r="AC603" t="n">
        <v>28</v>
      </c>
      <c r="AD603" t="n">
        <v>4</v>
      </c>
      <c r="AE603" t="n">
        <v>53</v>
      </c>
      <c r="AF603" t="n">
        <v>0</v>
      </c>
      <c r="AG603" t="n">
        <v>23</v>
      </c>
      <c r="AH603" t="n">
        <v>1</v>
      </c>
      <c r="AI603" t="n">
        <v>9</v>
      </c>
      <c r="AJ603" t="n">
        <v>4</v>
      </c>
      <c r="AK603" t="n">
        <v>21</v>
      </c>
      <c r="AL603" t="n">
        <v>0</v>
      </c>
      <c r="AM603" t="n">
        <v>13</v>
      </c>
      <c r="AN603" t="n">
        <v>0</v>
      </c>
      <c r="AO603" t="n">
        <v>0</v>
      </c>
      <c r="AP603" t="inlineStr">
        <is>
          <t>No</t>
        </is>
      </c>
      <c r="AQ603" t="inlineStr">
        <is>
          <t>Yes</t>
        </is>
      </c>
      <c r="AR603">
        <f>HYPERLINK("http://catalog.hathitrust.org/Record/004723983","HathiTrust Record")</f>
        <v/>
      </c>
      <c r="AS603">
        <f>HYPERLINK("https://creighton-primo.hosted.exlibrisgroup.com/primo-explore/search?tab=default_tab&amp;search_scope=EVERYTHING&amp;vid=01CRU&amp;lang=en_US&amp;offset=0&amp;query=any,contains,991004312869702656","Catalog Record")</f>
        <v/>
      </c>
      <c r="AT603">
        <f>HYPERLINK("http://www.worldcat.org/oclc/54414719","WorldCat Record")</f>
        <v/>
      </c>
      <c r="AU603" t="inlineStr">
        <is>
          <t>1039471:eng</t>
        </is>
      </c>
      <c r="AV603" t="inlineStr">
        <is>
          <t>54414719</t>
        </is>
      </c>
      <c r="AW603" t="inlineStr">
        <is>
          <t>991004312869702656</t>
        </is>
      </c>
      <c r="AX603" t="inlineStr">
        <is>
          <t>991004312869702656</t>
        </is>
      </c>
      <c r="AY603" t="inlineStr">
        <is>
          <t>2264908090002656</t>
        </is>
      </c>
      <c r="AZ603" t="inlineStr">
        <is>
          <t>BOOK</t>
        </is>
      </c>
      <c r="BB603" t="inlineStr">
        <is>
          <t>9780742536111</t>
        </is>
      </c>
      <c r="BC603" t="inlineStr">
        <is>
          <t>32285004924287</t>
        </is>
      </c>
      <c r="BD603" t="inlineStr">
        <is>
          <t>893712433</t>
        </is>
      </c>
    </row>
    <row r="604">
      <c r="A604" t="inlineStr">
        <is>
          <t>No</t>
        </is>
      </c>
      <c r="B604" t="inlineStr">
        <is>
          <t>HN90.P8 U53 1997</t>
        </is>
      </c>
      <c r="C604" t="inlineStr">
        <is>
          <t>0                      HN 0090000P  8                  U  53          1997</t>
        </is>
      </c>
      <c r="D604" t="inlineStr">
        <is>
          <t>Understanding public opinion / edited by Barbara Norrander, Clyde Wilcox.</t>
        </is>
      </c>
      <c r="F604" t="inlineStr">
        <is>
          <t>No</t>
        </is>
      </c>
      <c r="G604" t="inlineStr">
        <is>
          <t>1</t>
        </is>
      </c>
      <c r="H604" t="inlineStr">
        <is>
          <t>No</t>
        </is>
      </c>
      <c r="I604" t="inlineStr">
        <is>
          <t>No</t>
        </is>
      </c>
      <c r="J604" t="inlineStr">
        <is>
          <t>0</t>
        </is>
      </c>
      <c r="L604" t="inlineStr">
        <is>
          <t>Washington, D.C. : CQ Press, c1997.</t>
        </is>
      </c>
      <c r="M604" t="inlineStr">
        <is>
          <t>1997</t>
        </is>
      </c>
      <c r="O604" t="inlineStr">
        <is>
          <t>eng</t>
        </is>
      </c>
      <c r="P604" t="inlineStr">
        <is>
          <t>dcu</t>
        </is>
      </c>
      <c r="R604" t="inlineStr">
        <is>
          <t xml:space="preserve">HN </t>
        </is>
      </c>
      <c r="S604" t="n">
        <v>12</v>
      </c>
      <c r="T604" t="n">
        <v>12</v>
      </c>
      <c r="U604" t="inlineStr">
        <is>
          <t>2004-10-03</t>
        </is>
      </c>
      <c r="V604" t="inlineStr">
        <is>
          <t>2004-10-03</t>
        </is>
      </c>
      <c r="W604" t="inlineStr">
        <is>
          <t>1997-11-18</t>
        </is>
      </c>
      <c r="X604" t="inlineStr">
        <is>
          <t>1997-11-18</t>
        </is>
      </c>
      <c r="Y604" t="n">
        <v>346</v>
      </c>
      <c r="Z604" t="n">
        <v>310</v>
      </c>
      <c r="AA604" t="n">
        <v>483</v>
      </c>
      <c r="AB604" t="n">
        <v>3</v>
      </c>
      <c r="AC604" t="n">
        <v>4</v>
      </c>
      <c r="AD604" t="n">
        <v>11</v>
      </c>
      <c r="AE604" t="n">
        <v>21</v>
      </c>
      <c r="AF604" t="n">
        <v>4</v>
      </c>
      <c r="AG604" t="n">
        <v>10</v>
      </c>
      <c r="AH604" t="n">
        <v>3</v>
      </c>
      <c r="AI604" t="n">
        <v>6</v>
      </c>
      <c r="AJ604" t="n">
        <v>6</v>
      </c>
      <c r="AK604" t="n">
        <v>10</v>
      </c>
      <c r="AL604" t="n">
        <v>2</v>
      </c>
      <c r="AM604" t="n">
        <v>3</v>
      </c>
      <c r="AN604" t="n">
        <v>0</v>
      </c>
      <c r="AO604" t="n">
        <v>0</v>
      </c>
      <c r="AP604" t="inlineStr">
        <is>
          <t>No</t>
        </is>
      </c>
      <c r="AQ604" t="inlineStr">
        <is>
          <t>Yes</t>
        </is>
      </c>
      <c r="AR604">
        <f>HYPERLINK("http://catalog.hathitrust.org/Record/003091738","HathiTrust Record")</f>
        <v/>
      </c>
      <c r="AS604">
        <f>HYPERLINK("https://creighton-primo.hosted.exlibrisgroup.com/primo-explore/search?tab=default_tab&amp;search_scope=EVERYTHING&amp;vid=01CRU&amp;lang=en_US&amp;offset=0&amp;query=any,contains,991002667119702656","Catalog Record")</f>
        <v/>
      </c>
      <c r="AT604">
        <f>HYPERLINK("http://www.worldcat.org/oclc/34886227","WorldCat Record")</f>
        <v/>
      </c>
      <c r="AU604" t="inlineStr">
        <is>
          <t>351972706:eng</t>
        </is>
      </c>
      <c r="AV604" t="inlineStr">
        <is>
          <t>34886227</t>
        </is>
      </c>
      <c r="AW604" t="inlineStr">
        <is>
          <t>991002667119702656</t>
        </is>
      </c>
      <c r="AX604" t="inlineStr">
        <is>
          <t>991002667119702656</t>
        </is>
      </c>
      <c r="AY604" t="inlineStr">
        <is>
          <t>2259048590002656</t>
        </is>
      </c>
      <c r="AZ604" t="inlineStr">
        <is>
          <t>BOOK</t>
        </is>
      </c>
      <c r="BB604" t="inlineStr">
        <is>
          <t>9781568021539</t>
        </is>
      </c>
      <c r="BC604" t="inlineStr">
        <is>
          <t>32285003271474</t>
        </is>
      </c>
      <c r="BD604" t="inlineStr">
        <is>
          <t>893335560</t>
        </is>
      </c>
    </row>
    <row r="605">
      <c r="A605" t="inlineStr">
        <is>
          <t>No</t>
        </is>
      </c>
      <c r="B605" t="inlineStr">
        <is>
          <t>HN90.P8 W43</t>
        </is>
      </c>
      <c r="C605" t="inlineStr">
        <is>
          <t>0                      HN 0090000P  8                  W  43</t>
        </is>
      </c>
      <c r="D605" t="inlineStr">
        <is>
          <t>Public opinion and popular government / Robert Weissberg.</t>
        </is>
      </c>
      <c r="F605" t="inlineStr">
        <is>
          <t>No</t>
        </is>
      </c>
      <c r="G605" t="inlineStr">
        <is>
          <t>1</t>
        </is>
      </c>
      <c r="H605" t="inlineStr">
        <is>
          <t>No</t>
        </is>
      </c>
      <c r="I605" t="inlineStr">
        <is>
          <t>No</t>
        </is>
      </c>
      <c r="J605" t="inlineStr">
        <is>
          <t>0</t>
        </is>
      </c>
      <c r="K605" t="inlineStr">
        <is>
          <t>Weissberg, Robert, 1941-</t>
        </is>
      </c>
      <c r="L605" t="inlineStr">
        <is>
          <t>Englewood Cliffs, N.J. : Prentice-Hall, c1976.</t>
        </is>
      </c>
      <c r="M605" t="inlineStr">
        <is>
          <t>1976</t>
        </is>
      </c>
      <c r="O605" t="inlineStr">
        <is>
          <t>eng</t>
        </is>
      </c>
      <c r="P605" t="inlineStr">
        <is>
          <t>nju</t>
        </is>
      </c>
      <c r="R605" t="inlineStr">
        <is>
          <t xml:space="preserve">HN </t>
        </is>
      </c>
      <c r="S605" t="n">
        <v>3</v>
      </c>
      <c r="T605" t="n">
        <v>3</v>
      </c>
      <c r="U605" t="inlineStr">
        <is>
          <t>2002-09-14</t>
        </is>
      </c>
      <c r="V605" t="inlineStr">
        <is>
          <t>2002-09-14</t>
        </is>
      </c>
      <c r="W605" t="inlineStr">
        <is>
          <t>1997-08-06</t>
        </is>
      </c>
      <c r="X605" t="inlineStr">
        <is>
          <t>1997-08-06</t>
        </is>
      </c>
      <c r="Y605" t="n">
        <v>502</v>
      </c>
      <c r="Z605" t="n">
        <v>422</v>
      </c>
      <c r="AA605" t="n">
        <v>423</v>
      </c>
      <c r="AB605" t="n">
        <v>4</v>
      </c>
      <c r="AC605" t="n">
        <v>4</v>
      </c>
      <c r="AD605" t="n">
        <v>16</v>
      </c>
      <c r="AE605" t="n">
        <v>16</v>
      </c>
      <c r="AF605" t="n">
        <v>5</v>
      </c>
      <c r="AG605" t="n">
        <v>5</v>
      </c>
      <c r="AH605" t="n">
        <v>5</v>
      </c>
      <c r="AI605" t="n">
        <v>5</v>
      </c>
      <c r="AJ605" t="n">
        <v>8</v>
      </c>
      <c r="AK605" t="n">
        <v>8</v>
      </c>
      <c r="AL605" t="n">
        <v>3</v>
      </c>
      <c r="AM605" t="n">
        <v>3</v>
      </c>
      <c r="AN605" t="n">
        <v>0</v>
      </c>
      <c r="AO605" t="n">
        <v>0</v>
      </c>
      <c r="AP605" t="inlineStr">
        <is>
          <t>No</t>
        </is>
      </c>
      <c r="AQ605" t="inlineStr">
        <is>
          <t>Yes</t>
        </is>
      </c>
      <c r="AR605">
        <f>HYPERLINK("http://catalog.hathitrust.org/Record/000724437","HathiTrust Record")</f>
        <v/>
      </c>
      <c r="AS605">
        <f>HYPERLINK("https://creighton-primo.hosted.exlibrisgroup.com/primo-explore/search?tab=default_tab&amp;search_scope=EVERYTHING&amp;vid=01CRU&amp;lang=en_US&amp;offset=0&amp;query=any,contains,991003973189702656","Catalog Record")</f>
        <v/>
      </c>
      <c r="AT605">
        <f>HYPERLINK("http://www.worldcat.org/oclc/1994104","WorldCat Record")</f>
        <v/>
      </c>
      <c r="AU605" t="inlineStr">
        <is>
          <t>3856116681:eng</t>
        </is>
      </c>
      <c r="AV605" t="inlineStr">
        <is>
          <t>1994104</t>
        </is>
      </c>
      <c r="AW605" t="inlineStr">
        <is>
          <t>991003973189702656</t>
        </is>
      </c>
      <c r="AX605" t="inlineStr">
        <is>
          <t>991003973189702656</t>
        </is>
      </c>
      <c r="AY605" t="inlineStr">
        <is>
          <t>2263714790002656</t>
        </is>
      </c>
      <c r="AZ605" t="inlineStr">
        <is>
          <t>BOOK</t>
        </is>
      </c>
      <c r="BB605" t="inlineStr">
        <is>
          <t>9780137379088</t>
        </is>
      </c>
      <c r="BC605" t="inlineStr">
        <is>
          <t>32285003044269</t>
        </is>
      </c>
      <c r="BD605" t="inlineStr">
        <is>
          <t>893894422</t>
        </is>
      </c>
    </row>
    <row r="606">
      <c r="A606" t="inlineStr">
        <is>
          <t>No</t>
        </is>
      </c>
      <c r="B606" t="inlineStr">
        <is>
          <t>HN90.P8 Y36 1991</t>
        </is>
      </c>
      <c r="C606" t="inlineStr">
        <is>
          <t>0                      HN 0090000P  8                  Y  36          1991</t>
        </is>
      </c>
      <c r="D606" t="inlineStr">
        <is>
          <t>Coming to public judgment : making democracy work in a complex world / Daniel Yankelovich.</t>
        </is>
      </c>
      <c r="F606" t="inlineStr">
        <is>
          <t>No</t>
        </is>
      </c>
      <c r="G606" t="inlineStr">
        <is>
          <t>1</t>
        </is>
      </c>
      <c r="H606" t="inlineStr">
        <is>
          <t>No</t>
        </is>
      </c>
      <c r="I606" t="inlineStr">
        <is>
          <t>No</t>
        </is>
      </c>
      <c r="J606" t="inlineStr">
        <is>
          <t>0</t>
        </is>
      </c>
      <c r="K606" t="inlineStr">
        <is>
          <t>Yankelovich, Daniel.</t>
        </is>
      </c>
      <c r="L606" t="inlineStr">
        <is>
          <t>Syracuse, N.Y. : Syracuse University Press, 1991.</t>
        </is>
      </c>
      <c r="M606" t="inlineStr">
        <is>
          <t>1991</t>
        </is>
      </c>
      <c r="N606" t="inlineStr">
        <is>
          <t>1st ed.</t>
        </is>
      </c>
      <c r="O606" t="inlineStr">
        <is>
          <t>eng</t>
        </is>
      </c>
      <c r="P606" t="inlineStr">
        <is>
          <t>nyu</t>
        </is>
      </c>
      <c r="Q606" t="inlineStr">
        <is>
          <t>The Frank W. Abrams lectures</t>
        </is>
      </c>
      <c r="R606" t="inlineStr">
        <is>
          <t xml:space="preserve">HN </t>
        </is>
      </c>
      <c r="S606" t="n">
        <v>2</v>
      </c>
      <c r="T606" t="n">
        <v>2</v>
      </c>
      <c r="U606" t="inlineStr">
        <is>
          <t>1992-01-24</t>
        </is>
      </c>
      <c r="V606" t="inlineStr">
        <is>
          <t>1992-01-24</t>
        </is>
      </c>
      <c r="W606" t="inlineStr">
        <is>
          <t>1991-10-16</t>
        </is>
      </c>
      <c r="X606" t="inlineStr">
        <is>
          <t>1991-10-16</t>
        </is>
      </c>
      <c r="Y606" t="n">
        <v>607</v>
      </c>
      <c r="Z606" t="n">
        <v>506</v>
      </c>
      <c r="AA606" t="n">
        <v>512</v>
      </c>
      <c r="AB606" t="n">
        <v>4</v>
      </c>
      <c r="AC606" t="n">
        <v>4</v>
      </c>
      <c r="AD606" t="n">
        <v>30</v>
      </c>
      <c r="AE606" t="n">
        <v>30</v>
      </c>
      <c r="AF606" t="n">
        <v>14</v>
      </c>
      <c r="AG606" t="n">
        <v>14</v>
      </c>
      <c r="AH606" t="n">
        <v>6</v>
      </c>
      <c r="AI606" t="n">
        <v>6</v>
      </c>
      <c r="AJ606" t="n">
        <v>11</v>
      </c>
      <c r="AK606" t="n">
        <v>11</v>
      </c>
      <c r="AL606" t="n">
        <v>3</v>
      </c>
      <c r="AM606" t="n">
        <v>3</v>
      </c>
      <c r="AN606" t="n">
        <v>3</v>
      </c>
      <c r="AO606" t="n">
        <v>3</v>
      </c>
      <c r="AP606" t="inlineStr">
        <is>
          <t>No</t>
        </is>
      </c>
      <c r="AQ606" t="inlineStr">
        <is>
          <t>No</t>
        </is>
      </c>
      <c r="AS606">
        <f>HYPERLINK("https://creighton-primo.hosted.exlibrisgroup.com/primo-explore/search?tab=default_tab&amp;search_scope=EVERYTHING&amp;vid=01CRU&amp;lang=en_US&amp;offset=0&amp;query=any,contains,991001803989702656","Catalog Record")</f>
        <v/>
      </c>
      <c r="AT606">
        <f>HYPERLINK("http://www.worldcat.org/oclc/22665469","WorldCat Record")</f>
        <v/>
      </c>
      <c r="AU606" t="inlineStr">
        <is>
          <t>865028556:eng</t>
        </is>
      </c>
      <c r="AV606" t="inlineStr">
        <is>
          <t>22665469</t>
        </is>
      </c>
      <c r="AW606" t="inlineStr">
        <is>
          <t>991001803989702656</t>
        </is>
      </c>
      <c r="AX606" t="inlineStr">
        <is>
          <t>991001803989702656</t>
        </is>
      </c>
      <c r="AY606" t="inlineStr">
        <is>
          <t>2256833880002656</t>
        </is>
      </c>
      <c r="AZ606" t="inlineStr">
        <is>
          <t>BOOK</t>
        </is>
      </c>
      <c r="BB606" t="inlineStr">
        <is>
          <t>9780815625155</t>
        </is>
      </c>
      <c r="BC606" t="inlineStr">
        <is>
          <t>32285000726405</t>
        </is>
      </c>
      <c r="BD606" t="inlineStr">
        <is>
          <t>893879200</t>
        </is>
      </c>
    </row>
    <row r="607">
      <c r="A607" t="inlineStr">
        <is>
          <t>No</t>
        </is>
      </c>
      <c r="B607" t="inlineStr">
        <is>
          <t>HN90.P8 Z64 2008</t>
        </is>
      </c>
      <c r="C607" t="inlineStr">
        <is>
          <t>0                      HN 0090000P  8                  Z  64          2008</t>
        </is>
      </c>
      <c r="D607" t="inlineStr">
        <is>
          <t>The way we'll be : the Zogby report on the transformation of the American dream / John Zogby.</t>
        </is>
      </c>
      <c r="F607" t="inlineStr">
        <is>
          <t>No</t>
        </is>
      </c>
      <c r="G607" t="inlineStr">
        <is>
          <t>1</t>
        </is>
      </c>
      <c r="H607" t="inlineStr">
        <is>
          <t>No</t>
        </is>
      </c>
      <c r="I607" t="inlineStr">
        <is>
          <t>No</t>
        </is>
      </c>
      <c r="J607" t="inlineStr">
        <is>
          <t>0</t>
        </is>
      </c>
      <c r="K607" t="inlineStr">
        <is>
          <t>Zogby, John.</t>
        </is>
      </c>
      <c r="L607" t="inlineStr">
        <is>
          <t>New York : Random House, c2008.</t>
        </is>
      </c>
      <c r="M607" t="inlineStr">
        <is>
          <t>2008</t>
        </is>
      </c>
      <c r="N607" t="inlineStr">
        <is>
          <t>1st ed.</t>
        </is>
      </c>
      <c r="O607" t="inlineStr">
        <is>
          <t>eng</t>
        </is>
      </c>
      <c r="P607" t="inlineStr">
        <is>
          <t>nyu</t>
        </is>
      </c>
      <c r="R607" t="inlineStr">
        <is>
          <t xml:space="preserve">HN </t>
        </is>
      </c>
      <c r="S607" t="n">
        <v>1</v>
      </c>
      <c r="T607" t="n">
        <v>1</v>
      </c>
      <c r="U607" t="inlineStr">
        <is>
          <t>2009-03-25</t>
        </is>
      </c>
      <c r="V607" t="inlineStr">
        <is>
          <t>2009-03-25</t>
        </is>
      </c>
      <c r="W607" t="inlineStr">
        <is>
          <t>2009-03-25</t>
        </is>
      </c>
      <c r="X607" t="inlineStr">
        <is>
          <t>2009-03-25</t>
        </is>
      </c>
      <c r="Y607" t="n">
        <v>843</v>
      </c>
      <c r="Z607" t="n">
        <v>810</v>
      </c>
      <c r="AA607" t="n">
        <v>832</v>
      </c>
      <c r="AB607" t="n">
        <v>5</v>
      </c>
      <c r="AC607" t="n">
        <v>5</v>
      </c>
      <c r="AD607" t="n">
        <v>24</v>
      </c>
      <c r="AE607" t="n">
        <v>24</v>
      </c>
      <c r="AF607" t="n">
        <v>9</v>
      </c>
      <c r="AG607" t="n">
        <v>9</v>
      </c>
      <c r="AH607" t="n">
        <v>6</v>
      </c>
      <c r="AI607" t="n">
        <v>6</v>
      </c>
      <c r="AJ607" t="n">
        <v>11</v>
      </c>
      <c r="AK607" t="n">
        <v>11</v>
      </c>
      <c r="AL607" t="n">
        <v>3</v>
      </c>
      <c r="AM607" t="n">
        <v>3</v>
      </c>
      <c r="AN607" t="n">
        <v>0</v>
      </c>
      <c r="AO607" t="n">
        <v>0</v>
      </c>
      <c r="AP607" t="inlineStr">
        <is>
          <t>No</t>
        </is>
      </c>
      <c r="AQ607" t="inlineStr">
        <is>
          <t>Yes</t>
        </is>
      </c>
      <c r="AR607">
        <f>HYPERLINK("http://catalog.hathitrust.org/Record/005874837","HathiTrust Record")</f>
        <v/>
      </c>
      <c r="AS607">
        <f>HYPERLINK("https://creighton-primo.hosted.exlibrisgroup.com/primo-explore/search?tab=default_tab&amp;search_scope=EVERYTHING&amp;vid=01CRU&amp;lang=en_US&amp;offset=0&amp;query=any,contains,991005301969702656","Catalog Record")</f>
        <v/>
      </c>
      <c r="AT607">
        <f>HYPERLINK("http://www.worldcat.org/oclc/183926423","WorldCat Record")</f>
        <v/>
      </c>
      <c r="AU607" t="inlineStr">
        <is>
          <t>5609614250:eng</t>
        </is>
      </c>
      <c r="AV607" t="inlineStr">
        <is>
          <t>183926423</t>
        </is>
      </c>
      <c r="AW607" t="inlineStr">
        <is>
          <t>991005301969702656</t>
        </is>
      </c>
      <c r="AX607" t="inlineStr">
        <is>
          <t>991005301969702656</t>
        </is>
      </c>
      <c r="AY607" t="inlineStr">
        <is>
          <t>2265297790002656</t>
        </is>
      </c>
      <c r="AZ607" t="inlineStr">
        <is>
          <t>BOOK</t>
        </is>
      </c>
      <c r="BB607" t="inlineStr">
        <is>
          <t>9781400064502</t>
        </is>
      </c>
      <c r="BC607" t="inlineStr">
        <is>
          <t>32285005510127</t>
        </is>
      </c>
      <c r="BD607" t="inlineStr">
        <is>
          <t>893795945</t>
        </is>
      </c>
    </row>
    <row r="608">
      <c r="A608" t="inlineStr">
        <is>
          <t>No</t>
        </is>
      </c>
      <c r="B608" t="inlineStr">
        <is>
          <t>HN90.R3 A6754 2006</t>
        </is>
      </c>
      <c r="C608" t="inlineStr">
        <is>
          <t>0                      HN 0090000R  3                  A  6754        2006</t>
        </is>
      </c>
      <c r="D608" t="inlineStr">
        <is>
          <t>American protest literature / edited by Zoe Trodd ; foreword by John Stauffer ; afterword by Howard Zinn.</t>
        </is>
      </c>
      <c r="F608" t="inlineStr">
        <is>
          <t>No</t>
        </is>
      </c>
      <c r="G608" t="inlineStr">
        <is>
          <t>1</t>
        </is>
      </c>
      <c r="H608" t="inlineStr">
        <is>
          <t>No</t>
        </is>
      </c>
      <c r="I608" t="inlineStr">
        <is>
          <t>No</t>
        </is>
      </c>
      <c r="J608" t="inlineStr">
        <is>
          <t>0</t>
        </is>
      </c>
      <c r="L608" t="inlineStr">
        <is>
          <t>Cambridge, Mass. : Belknap Press of Harvard University Press, 2006.</t>
        </is>
      </c>
      <c r="M608" t="inlineStr">
        <is>
          <t>2006</t>
        </is>
      </c>
      <c r="O608" t="inlineStr">
        <is>
          <t>eng</t>
        </is>
      </c>
      <c r="P608" t="inlineStr">
        <is>
          <t>mau</t>
        </is>
      </c>
      <c r="Q608" t="inlineStr">
        <is>
          <t>The John Harvard library</t>
        </is>
      </c>
      <c r="R608" t="inlineStr">
        <is>
          <t xml:space="preserve">HN </t>
        </is>
      </c>
      <c r="S608" t="n">
        <v>2</v>
      </c>
      <c r="T608" t="n">
        <v>2</v>
      </c>
      <c r="U608" t="inlineStr">
        <is>
          <t>2009-12-16</t>
        </is>
      </c>
      <c r="V608" t="inlineStr">
        <is>
          <t>2009-12-16</t>
        </is>
      </c>
      <c r="W608" t="inlineStr">
        <is>
          <t>2006-12-07</t>
        </is>
      </c>
      <c r="X608" t="inlineStr">
        <is>
          <t>2006-12-07</t>
        </is>
      </c>
      <c r="Y608" t="n">
        <v>985</v>
      </c>
      <c r="Z608" t="n">
        <v>910</v>
      </c>
      <c r="AA608" t="n">
        <v>1004</v>
      </c>
      <c r="AB608" t="n">
        <v>8</v>
      </c>
      <c r="AC608" t="n">
        <v>10</v>
      </c>
      <c r="AD608" t="n">
        <v>38</v>
      </c>
      <c r="AE608" t="n">
        <v>44</v>
      </c>
      <c r="AF608" t="n">
        <v>19</v>
      </c>
      <c r="AG608" t="n">
        <v>23</v>
      </c>
      <c r="AH608" t="n">
        <v>5</v>
      </c>
      <c r="AI608" t="n">
        <v>6</v>
      </c>
      <c r="AJ608" t="n">
        <v>12</v>
      </c>
      <c r="AK608" t="n">
        <v>14</v>
      </c>
      <c r="AL608" t="n">
        <v>7</v>
      </c>
      <c r="AM608" t="n">
        <v>8</v>
      </c>
      <c r="AN608" t="n">
        <v>2</v>
      </c>
      <c r="AO608" t="n">
        <v>2</v>
      </c>
      <c r="AP608" t="inlineStr">
        <is>
          <t>No</t>
        </is>
      </c>
      <c r="AQ608" t="inlineStr">
        <is>
          <t>No</t>
        </is>
      </c>
      <c r="AS608">
        <f>HYPERLINK("https://creighton-primo.hosted.exlibrisgroup.com/primo-explore/search?tab=default_tab&amp;search_scope=EVERYTHING&amp;vid=01CRU&amp;lang=en_US&amp;offset=0&amp;query=any,contains,991004957209702656","Catalog Record")</f>
        <v/>
      </c>
      <c r="AT608">
        <f>HYPERLINK("http://www.worldcat.org/oclc/71284898","WorldCat Record")</f>
        <v/>
      </c>
      <c r="AU608" t="inlineStr">
        <is>
          <t>364325937:eng</t>
        </is>
      </c>
      <c r="AV608" t="inlineStr">
        <is>
          <t>71284898</t>
        </is>
      </c>
      <c r="AW608" t="inlineStr">
        <is>
          <t>991004957209702656</t>
        </is>
      </c>
      <c r="AX608" t="inlineStr">
        <is>
          <t>991004957209702656</t>
        </is>
      </c>
      <c r="AY608" t="inlineStr">
        <is>
          <t>2256021550002656</t>
        </is>
      </c>
      <c r="AZ608" t="inlineStr">
        <is>
          <t>BOOK</t>
        </is>
      </c>
      <c r="BB608" t="inlineStr">
        <is>
          <t>9780674023529</t>
        </is>
      </c>
      <c r="BC608" t="inlineStr">
        <is>
          <t>32285005264865</t>
        </is>
      </c>
      <c r="BD608" t="inlineStr">
        <is>
          <t>893694554</t>
        </is>
      </c>
    </row>
    <row r="609">
      <c r="A609" t="inlineStr">
        <is>
          <t>No</t>
        </is>
      </c>
      <c r="B609" t="inlineStr">
        <is>
          <t>HN90.R3 B32</t>
        </is>
      </c>
      <c r="C609" t="inlineStr">
        <is>
          <t>0                      HN 0090000R  3                  B  32</t>
        </is>
      </c>
      <c r="D609" t="inlineStr">
        <is>
          <t>The New Left in America; reform to revolution, 1956 to 1970 [by] Edward J. Bacciocco, Jr.</t>
        </is>
      </c>
      <c r="F609" t="inlineStr">
        <is>
          <t>No</t>
        </is>
      </c>
      <c r="G609" t="inlineStr">
        <is>
          <t>1</t>
        </is>
      </c>
      <c r="H609" t="inlineStr">
        <is>
          <t>No</t>
        </is>
      </c>
      <c r="I609" t="inlineStr">
        <is>
          <t>No</t>
        </is>
      </c>
      <c r="J609" t="inlineStr">
        <is>
          <t>0</t>
        </is>
      </c>
      <c r="K609" t="inlineStr">
        <is>
          <t>Bacciocco, Edward J., 1935-</t>
        </is>
      </c>
      <c r="L609" t="inlineStr">
        <is>
          <t>Stanford, Calif., Hoover Institution Press [1974]</t>
        </is>
      </c>
      <c r="M609" t="inlineStr">
        <is>
          <t>1974</t>
        </is>
      </c>
      <c r="O609" t="inlineStr">
        <is>
          <t>eng</t>
        </is>
      </c>
      <c r="P609" t="inlineStr">
        <is>
          <t>cau</t>
        </is>
      </c>
      <c r="Q609" t="inlineStr">
        <is>
          <t>Hoover Institution Publications, 130</t>
        </is>
      </c>
      <c r="R609" t="inlineStr">
        <is>
          <t xml:space="preserve">HN </t>
        </is>
      </c>
      <c r="S609" t="n">
        <v>1</v>
      </c>
      <c r="T609" t="n">
        <v>1</v>
      </c>
      <c r="U609" t="inlineStr">
        <is>
          <t>2005-05-02</t>
        </is>
      </c>
      <c r="V609" t="inlineStr">
        <is>
          <t>2005-05-02</t>
        </is>
      </c>
      <c r="W609" t="inlineStr">
        <is>
          <t>1997-08-06</t>
        </is>
      </c>
      <c r="X609" t="inlineStr">
        <is>
          <t>1997-08-06</t>
        </is>
      </c>
      <c r="Y609" t="n">
        <v>689</v>
      </c>
      <c r="Z609" t="n">
        <v>588</v>
      </c>
      <c r="AA609" t="n">
        <v>592</v>
      </c>
      <c r="AB609" t="n">
        <v>6</v>
      </c>
      <c r="AC609" t="n">
        <v>6</v>
      </c>
      <c r="AD609" t="n">
        <v>32</v>
      </c>
      <c r="AE609" t="n">
        <v>32</v>
      </c>
      <c r="AF609" t="n">
        <v>10</v>
      </c>
      <c r="AG609" t="n">
        <v>10</v>
      </c>
      <c r="AH609" t="n">
        <v>8</v>
      </c>
      <c r="AI609" t="n">
        <v>8</v>
      </c>
      <c r="AJ609" t="n">
        <v>15</v>
      </c>
      <c r="AK609" t="n">
        <v>15</v>
      </c>
      <c r="AL609" t="n">
        <v>5</v>
      </c>
      <c r="AM609" t="n">
        <v>5</v>
      </c>
      <c r="AN609" t="n">
        <v>1</v>
      </c>
      <c r="AO609" t="n">
        <v>1</v>
      </c>
      <c r="AP609" t="inlineStr">
        <is>
          <t>No</t>
        </is>
      </c>
      <c r="AQ609" t="inlineStr">
        <is>
          <t>Yes</t>
        </is>
      </c>
      <c r="AR609">
        <f>HYPERLINK("http://catalog.hathitrust.org/Record/000975119","HathiTrust Record")</f>
        <v/>
      </c>
      <c r="AS609">
        <f>HYPERLINK("https://creighton-primo.hosted.exlibrisgroup.com/primo-explore/search?tab=default_tab&amp;search_scope=EVERYTHING&amp;vid=01CRU&amp;lang=en_US&amp;offset=0&amp;query=any,contains,991003334439702656","Catalog Record")</f>
        <v/>
      </c>
      <c r="AT609">
        <f>HYPERLINK("http://www.worldcat.org/oclc/866002","WorldCat Record")</f>
        <v/>
      </c>
      <c r="AU609" t="inlineStr">
        <is>
          <t>370207870:eng</t>
        </is>
      </c>
      <c r="AV609" t="inlineStr">
        <is>
          <t>866002</t>
        </is>
      </c>
      <c r="AW609" t="inlineStr">
        <is>
          <t>991003334439702656</t>
        </is>
      </c>
      <c r="AX609" t="inlineStr">
        <is>
          <t>991003334439702656</t>
        </is>
      </c>
      <c r="AY609" t="inlineStr">
        <is>
          <t>2262681770002656</t>
        </is>
      </c>
      <c r="AZ609" t="inlineStr">
        <is>
          <t>BOOK</t>
        </is>
      </c>
      <c r="BB609" t="inlineStr">
        <is>
          <t>9780817913014</t>
        </is>
      </c>
      <c r="BC609" t="inlineStr">
        <is>
          <t>32285003044277</t>
        </is>
      </c>
      <c r="BD609" t="inlineStr">
        <is>
          <t>893893627</t>
        </is>
      </c>
    </row>
    <row r="610">
      <c r="A610" t="inlineStr">
        <is>
          <t>No</t>
        </is>
      </c>
      <c r="B610" t="inlineStr">
        <is>
          <t>HN90.R3 D439 1996</t>
        </is>
      </c>
      <c r="C610" t="inlineStr">
        <is>
          <t>0                      HN 0090000R  3                  D  439         1996</t>
        </is>
      </c>
      <c r="D610" t="inlineStr">
        <is>
          <t>Gathering storm : America's militia threat / Morris Dees, with James Corcoran.</t>
        </is>
      </c>
      <c r="F610" t="inlineStr">
        <is>
          <t>No</t>
        </is>
      </c>
      <c r="G610" t="inlineStr">
        <is>
          <t>1</t>
        </is>
      </c>
      <c r="H610" t="inlineStr">
        <is>
          <t>No</t>
        </is>
      </c>
      <c r="I610" t="inlineStr">
        <is>
          <t>No</t>
        </is>
      </c>
      <c r="J610" t="inlineStr">
        <is>
          <t>0</t>
        </is>
      </c>
      <c r="K610" t="inlineStr">
        <is>
          <t>Dees, Morris.</t>
        </is>
      </c>
      <c r="L610" t="inlineStr">
        <is>
          <t>New York : HarperCollinsPublishers, c1996.</t>
        </is>
      </c>
      <c r="M610" t="inlineStr">
        <is>
          <t>1996</t>
        </is>
      </c>
      <c r="N610" t="inlineStr">
        <is>
          <t>1st ed.</t>
        </is>
      </c>
      <c r="O610" t="inlineStr">
        <is>
          <t>eng</t>
        </is>
      </c>
      <c r="P610" t="inlineStr">
        <is>
          <t>nyu</t>
        </is>
      </c>
      <c r="R610" t="inlineStr">
        <is>
          <t xml:space="preserve">HN </t>
        </is>
      </c>
      <c r="S610" t="n">
        <v>1</v>
      </c>
      <c r="T610" t="n">
        <v>1</v>
      </c>
      <c r="U610" t="inlineStr">
        <is>
          <t>1997-06-27</t>
        </is>
      </c>
      <c r="V610" t="inlineStr">
        <is>
          <t>1997-06-27</t>
        </is>
      </c>
      <c r="W610" t="inlineStr">
        <is>
          <t>1996-04-24</t>
        </is>
      </c>
      <c r="X610" t="inlineStr">
        <is>
          <t>1996-04-24</t>
        </is>
      </c>
      <c r="Y610" t="n">
        <v>1253</v>
      </c>
      <c r="Z610" t="n">
        <v>1206</v>
      </c>
      <c r="AA610" t="n">
        <v>1332</v>
      </c>
      <c r="AB610" t="n">
        <v>9</v>
      </c>
      <c r="AC610" t="n">
        <v>9</v>
      </c>
      <c r="AD610" t="n">
        <v>33</v>
      </c>
      <c r="AE610" t="n">
        <v>38</v>
      </c>
      <c r="AF610" t="n">
        <v>11</v>
      </c>
      <c r="AG610" t="n">
        <v>13</v>
      </c>
      <c r="AH610" t="n">
        <v>6</v>
      </c>
      <c r="AI610" t="n">
        <v>6</v>
      </c>
      <c r="AJ610" t="n">
        <v>17</v>
      </c>
      <c r="AK610" t="n">
        <v>17</v>
      </c>
      <c r="AL610" t="n">
        <v>5</v>
      </c>
      <c r="AM610" t="n">
        <v>5</v>
      </c>
      <c r="AN610" t="n">
        <v>2</v>
      </c>
      <c r="AO610" t="n">
        <v>5</v>
      </c>
      <c r="AP610" t="inlineStr">
        <is>
          <t>No</t>
        </is>
      </c>
      <c r="AQ610" t="inlineStr">
        <is>
          <t>No</t>
        </is>
      </c>
      <c r="AS610">
        <f>HYPERLINK("https://creighton-primo.hosted.exlibrisgroup.com/primo-explore/search?tab=default_tab&amp;search_scope=EVERYTHING&amp;vid=01CRU&amp;lang=en_US&amp;offset=0&amp;query=any,contains,991002607969702656","Catalog Record")</f>
        <v/>
      </c>
      <c r="AT610">
        <f>HYPERLINK("http://www.worldcat.org/oclc/34151463","WorldCat Record")</f>
        <v/>
      </c>
      <c r="AU610" t="inlineStr">
        <is>
          <t>871341:eng</t>
        </is>
      </c>
      <c r="AV610" t="inlineStr">
        <is>
          <t>34151463</t>
        </is>
      </c>
      <c r="AW610" t="inlineStr">
        <is>
          <t>991002607969702656</t>
        </is>
      </c>
      <c r="AX610" t="inlineStr">
        <is>
          <t>991002607969702656</t>
        </is>
      </c>
      <c r="AY610" t="inlineStr">
        <is>
          <t>2261774620002656</t>
        </is>
      </c>
      <c r="AZ610" t="inlineStr">
        <is>
          <t>BOOK</t>
        </is>
      </c>
      <c r="BB610" t="inlineStr">
        <is>
          <t>9780060174033</t>
        </is>
      </c>
      <c r="BC610" t="inlineStr">
        <is>
          <t>32285002156676</t>
        </is>
      </c>
      <c r="BD610" t="inlineStr">
        <is>
          <t>893347695</t>
        </is>
      </c>
    </row>
    <row r="611">
      <c r="A611" t="inlineStr">
        <is>
          <t>No</t>
        </is>
      </c>
      <c r="B611" t="inlineStr">
        <is>
          <t>HN90.R3 E95 1995</t>
        </is>
      </c>
      <c r="C611" t="inlineStr">
        <is>
          <t>0                      HN 0090000R  3                  E  95          1995</t>
        </is>
      </c>
      <c r="D611" t="inlineStr">
        <is>
          <t>Extremism in America : a reader / edited by Lyman Tower Sargent.</t>
        </is>
      </c>
      <c r="F611" t="inlineStr">
        <is>
          <t>No</t>
        </is>
      </c>
      <c r="G611" t="inlineStr">
        <is>
          <t>1</t>
        </is>
      </c>
      <c r="H611" t="inlineStr">
        <is>
          <t>No</t>
        </is>
      </c>
      <c r="I611" t="inlineStr">
        <is>
          <t>No</t>
        </is>
      </c>
      <c r="J611" t="inlineStr">
        <is>
          <t>0</t>
        </is>
      </c>
      <c r="L611" t="inlineStr">
        <is>
          <t>New York : New York University Press, c1995.</t>
        </is>
      </c>
      <c r="M611" t="inlineStr">
        <is>
          <t>1995</t>
        </is>
      </c>
      <c r="O611" t="inlineStr">
        <is>
          <t>eng</t>
        </is>
      </c>
      <c r="P611" t="inlineStr">
        <is>
          <t>nyu</t>
        </is>
      </c>
      <c r="R611" t="inlineStr">
        <is>
          <t xml:space="preserve">HN </t>
        </is>
      </c>
      <c r="S611" t="n">
        <v>3</v>
      </c>
      <c r="T611" t="n">
        <v>3</v>
      </c>
      <c r="U611" t="inlineStr">
        <is>
          <t>1997-12-08</t>
        </is>
      </c>
      <c r="V611" t="inlineStr">
        <is>
          <t>1997-12-08</t>
        </is>
      </c>
      <c r="W611" t="inlineStr">
        <is>
          <t>1995-11-30</t>
        </is>
      </c>
      <c r="X611" t="inlineStr">
        <is>
          <t>1995-11-30</t>
        </is>
      </c>
      <c r="Y611" t="n">
        <v>774</v>
      </c>
      <c r="Z611" t="n">
        <v>691</v>
      </c>
      <c r="AA611" t="n">
        <v>696</v>
      </c>
      <c r="AB611" t="n">
        <v>3</v>
      </c>
      <c r="AC611" t="n">
        <v>3</v>
      </c>
      <c r="AD611" t="n">
        <v>25</v>
      </c>
      <c r="AE611" t="n">
        <v>25</v>
      </c>
      <c r="AF611" t="n">
        <v>7</v>
      </c>
      <c r="AG611" t="n">
        <v>7</v>
      </c>
      <c r="AH611" t="n">
        <v>6</v>
      </c>
      <c r="AI611" t="n">
        <v>6</v>
      </c>
      <c r="AJ611" t="n">
        <v>12</v>
      </c>
      <c r="AK611" t="n">
        <v>12</v>
      </c>
      <c r="AL611" t="n">
        <v>2</v>
      </c>
      <c r="AM611" t="n">
        <v>2</v>
      </c>
      <c r="AN611" t="n">
        <v>2</v>
      </c>
      <c r="AO611" t="n">
        <v>2</v>
      </c>
      <c r="AP611" t="inlineStr">
        <is>
          <t>No</t>
        </is>
      </c>
      <c r="AQ611" t="inlineStr">
        <is>
          <t>No</t>
        </is>
      </c>
      <c r="AS611">
        <f>HYPERLINK("https://creighton-primo.hosted.exlibrisgroup.com/primo-explore/search?tab=default_tab&amp;search_scope=EVERYTHING&amp;vid=01CRU&amp;lang=en_US&amp;offset=0&amp;query=any,contains,991002472039702656","Catalog Record")</f>
        <v/>
      </c>
      <c r="AT611">
        <f>HYPERLINK("http://www.worldcat.org/oclc/32199564","WorldCat Record")</f>
        <v/>
      </c>
      <c r="AU611" t="inlineStr">
        <is>
          <t>837039119:eng</t>
        </is>
      </c>
      <c r="AV611" t="inlineStr">
        <is>
          <t>32199564</t>
        </is>
      </c>
      <c r="AW611" t="inlineStr">
        <is>
          <t>991002472039702656</t>
        </is>
      </c>
      <c r="AX611" t="inlineStr">
        <is>
          <t>991002472039702656</t>
        </is>
      </c>
      <c r="AY611" t="inlineStr">
        <is>
          <t>2268040760002656</t>
        </is>
      </c>
      <c r="AZ611" t="inlineStr">
        <is>
          <t>BOOK</t>
        </is>
      </c>
      <c r="BB611" t="inlineStr">
        <is>
          <t>9780814779781</t>
        </is>
      </c>
      <c r="BC611" t="inlineStr">
        <is>
          <t>32285002106960</t>
        </is>
      </c>
      <c r="BD611" t="inlineStr">
        <is>
          <t>893427633</t>
        </is>
      </c>
    </row>
    <row r="612">
      <c r="A612" t="inlineStr">
        <is>
          <t>No</t>
        </is>
      </c>
      <c r="B612" t="inlineStr">
        <is>
          <t>HN90.R3 F57 1984</t>
        </is>
      </c>
      <c r="C612" t="inlineStr">
        <is>
          <t>0                      HN 0090000R  3                  F  57          1984</t>
        </is>
      </c>
      <c r="D612" t="inlineStr">
        <is>
          <t>Let the people decide : neighborhood organizing in America / Robert Fisher.</t>
        </is>
      </c>
      <c r="F612" t="inlineStr">
        <is>
          <t>No</t>
        </is>
      </c>
      <c r="G612" t="inlineStr">
        <is>
          <t>1</t>
        </is>
      </c>
      <c r="H612" t="inlineStr">
        <is>
          <t>No</t>
        </is>
      </c>
      <c r="I612" t="inlineStr">
        <is>
          <t>No</t>
        </is>
      </c>
      <c r="J612" t="inlineStr">
        <is>
          <t>0</t>
        </is>
      </c>
      <c r="K612" t="inlineStr">
        <is>
          <t>Fisher, Robert, 1947-</t>
        </is>
      </c>
      <c r="L612" t="inlineStr">
        <is>
          <t>Boston, Mass. : Twayne Publishers, c1984.</t>
        </is>
      </c>
      <c r="M612" t="inlineStr">
        <is>
          <t>1984</t>
        </is>
      </c>
      <c r="O612" t="inlineStr">
        <is>
          <t>eng</t>
        </is>
      </c>
      <c r="P612" t="inlineStr">
        <is>
          <t>mau</t>
        </is>
      </c>
      <c r="Q612" t="inlineStr">
        <is>
          <t>Social movements past and present</t>
        </is>
      </c>
      <c r="R612" t="inlineStr">
        <is>
          <t xml:space="preserve">HN </t>
        </is>
      </c>
      <c r="S612" t="n">
        <v>8</v>
      </c>
      <c r="T612" t="n">
        <v>8</v>
      </c>
      <c r="U612" t="inlineStr">
        <is>
          <t>2003-09-16</t>
        </is>
      </c>
      <c r="V612" t="inlineStr">
        <is>
          <t>2003-09-16</t>
        </is>
      </c>
      <c r="W612" t="inlineStr">
        <is>
          <t>1992-10-05</t>
        </is>
      </c>
      <c r="X612" t="inlineStr">
        <is>
          <t>1992-10-05</t>
        </is>
      </c>
      <c r="Y612" t="n">
        <v>653</v>
      </c>
      <c r="Z612" t="n">
        <v>589</v>
      </c>
      <c r="AA612" t="n">
        <v>824</v>
      </c>
      <c r="AB612" t="n">
        <v>4</v>
      </c>
      <c r="AC612" t="n">
        <v>5</v>
      </c>
      <c r="AD612" t="n">
        <v>24</v>
      </c>
      <c r="AE612" t="n">
        <v>32</v>
      </c>
      <c r="AF612" t="n">
        <v>10</v>
      </c>
      <c r="AG612" t="n">
        <v>15</v>
      </c>
      <c r="AH612" t="n">
        <v>5</v>
      </c>
      <c r="AI612" t="n">
        <v>5</v>
      </c>
      <c r="AJ612" t="n">
        <v>13</v>
      </c>
      <c r="AK612" t="n">
        <v>19</v>
      </c>
      <c r="AL612" t="n">
        <v>3</v>
      </c>
      <c r="AM612" t="n">
        <v>4</v>
      </c>
      <c r="AN612" t="n">
        <v>0</v>
      </c>
      <c r="AO612" t="n">
        <v>0</v>
      </c>
      <c r="AP612" t="inlineStr">
        <is>
          <t>No</t>
        </is>
      </c>
      <c r="AQ612" t="inlineStr">
        <is>
          <t>No</t>
        </is>
      </c>
      <c r="AS612">
        <f>HYPERLINK("https://creighton-primo.hosted.exlibrisgroup.com/primo-explore/search?tab=default_tab&amp;search_scope=EVERYTHING&amp;vid=01CRU&amp;lang=en_US&amp;offset=0&amp;query=any,contains,991000389149702656","Catalog Record")</f>
        <v/>
      </c>
      <c r="AT612">
        <f>HYPERLINK("http://www.worldcat.org/oclc/10533392","WorldCat Record")</f>
        <v/>
      </c>
      <c r="AU612" t="inlineStr">
        <is>
          <t>890391161:eng</t>
        </is>
      </c>
      <c r="AV612" t="inlineStr">
        <is>
          <t>10533392</t>
        </is>
      </c>
      <c r="AW612" t="inlineStr">
        <is>
          <t>991000389149702656</t>
        </is>
      </c>
      <c r="AX612" t="inlineStr">
        <is>
          <t>991000389149702656</t>
        </is>
      </c>
      <c r="AY612" t="inlineStr">
        <is>
          <t>2257485090002656</t>
        </is>
      </c>
      <c r="AZ612" t="inlineStr">
        <is>
          <t>BOOK</t>
        </is>
      </c>
      <c r="BB612" t="inlineStr">
        <is>
          <t>9780805797091</t>
        </is>
      </c>
      <c r="BC612" t="inlineStr">
        <is>
          <t>32285001356145</t>
        </is>
      </c>
      <c r="BD612" t="inlineStr">
        <is>
          <t>893877992</t>
        </is>
      </c>
    </row>
    <row r="613">
      <c r="A613" t="inlineStr">
        <is>
          <t>No</t>
        </is>
      </c>
      <c r="B613" t="inlineStr">
        <is>
          <t>HN90.R3 H578 2006</t>
        </is>
      </c>
      <c r="C613" t="inlineStr">
        <is>
          <t>0                      HN 0090000R  3                  H  578         2006</t>
        </is>
      </c>
      <c r="D613" t="inlineStr">
        <is>
          <t>The color of fascism : Lawrence Dennis, racial passing, and the rise of right-wing extremism in the United States / Gerald Horne.</t>
        </is>
      </c>
      <c r="F613" t="inlineStr">
        <is>
          <t>No</t>
        </is>
      </c>
      <c r="G613" t="inlineStr">
        <is>
          <t>1</t>
        </is>
      </c>
      <c r="H613" t="inlineStr">
        <is>
          <t>No</t>
        </is>
      </c>
      <c r="I613" t="inlineStr">
        <is>
          <t>No</t>
        </is>
      </c>
      <c r="J613" t="inlineStr">
        <is>
          <t>0</t>
        </is>
      </c>
      <c r="K613" t="inlineStr">
        <is>
          <t>Horne, Gerald.</t>
        </is>
      </c>
      <c r="L613" t="inlineStr">
        <is>
          <t>New York : New York University Press, c2006.</t>
        </is>
      </c>
      <c r="M613" t="inlineStr">
        <is>
          <t>2006</t>
        </is>
      </c>
      <c r="O613" t="inlineStr">
        <is>
          <t>eng</t>
        </is>
      </c>
      <c r="P613" t="inlineStr">
        <is>
          <t>nyu</t>
        </is>
      </c>
      <c r="R613" t="inlineStr">
        <is>
          <t xml:space="preserve">HN </t>
        </is>
      </c>
      <c r="S613" t="n">
        <v>1</v>
      </c>
      <c r="T613" t="n">
        <v>1</v>
      </c>
      <c r="U613" t="inlineStr">
        <is>
          <t>2008-01-22</t>
        </is>
      </c>
      <c r="V613" t="inlineStr">
        <is>
          <t>2008-01-22</t>
        </is>
      </c>
      <c r="W613" t="inlineStr">
        <is>
          <t>2008-01-22</t>
        </is>
      </c>
      <c r="X613" t="inlineStr">
        <is>
          <t>2008-01-22</t>
        </is>
      </c>
      <c r="Y613" t="n">
        <v>323</v>
      </c>
      <c r="Z613" t="n">
        <v>294</v>
      </c>
      <c r="AA613" t="n">
        <v>1178</v>
      </c>
      <c r="AB613" t="n">
        <v>4</v>
      </c>
      <c r="AC613" t="n">
        <v>20</v>
      </c>
      <c r="AD613" t="n">
        <v>15</v>
      </c>
      <c r="AE613" t="n">
        <v>40</v>
      </c>
      <c r="AF613" t="n">
        <v>6</v>
      </c>
      <c r="AG613" t="n">
        <v>12</v>
      </c>
      <c r="AH613" t="n">
        <v>4</v>
      </c>
      <c r="AI613" t="n">
        <v>8</v>
      </c>
      <c r="AJ613" t="n">
        <v>7</v>
      </c>
      <c r="AK613" t="n">
        <v>12</v>
      </c>
      <c r="AL613" t="n">
        <v>3</v>
      </c>
      <c r="AM613" t="n">
        <v>14</v>
      </c>
      <c r="AN613" t="n">
        <v>0</v>
      </c>
      <c r="AO613" t="n">
        <v>1</v>
      </c>
      <c r="AP613" t="inlineStr">
        <is>
          <t>No</t>
        </is>
      </c>
      <c r="AQ613" t="inlineStr">
        <is>
          <t>No</t>
        </is>
      </c>
      <c r="AS613">
        <f>HYPERLINK("https://creighton-primo.hosted.exlibrisgroup.com/primo-explore/search?tab=default_tab&amp;search_scope=EVERYTHING&amp;vid=01CRU&amp;lang=en_US&amp;offset=0&amp;query=any,contains,991005170249702656","Catalog Record")</f>
        <v/>
      </c>
      <c r="AT613">
        <f>HYPERLINK("http://www.worldcat.org/oclc/70045882","WorldCat Record")</f>
        <v/>
      </c>
      <c r="AU613" t="inlineStr">
        <is>
          <t>794098356:eng</t>
        </is>
      </c>
      <c r="AV613" t="inlineStr">
        <is>
          <t>70045882</t>
        </is>
      </c>
      <c r="AW613" t="inlineStr">
        <is>
          <t>991005170249702656</t>
        </is>
      </c>
      <c r="AX613" t="inlineStr">
        <is>
          <t>991005170249702656</t>
        </is>
      </c>
      <c r="AY613" t="inlineStr">
        <is>
          <t>2267007330002656</t>
        </is>
      </c>
      <c r="AZ613" t="inlineStr">
        <is>
          <t>BOOK</t>
        </is>
      </c>
      <c r="BB613" t="inlineStr">
        <is>
          <t>9780814736869</t>
        </is>
      </c>
      <c r="BC613" t="inlineStr">
        <is>
          <t>32285005379655</t>
        </is>
      </c>
      <c r="BD613" t="inlineStr">
        <is>
          <t>893533305</t>
        </is>
      </c>
    </row>
    <row r="614">
      <c r="A614" t="inlineStr">
        <is>
          <t>No</t>
        </is>
      </c>
      <c r="B614" t="inlineStr">
        <is>
          <t>HN90.R3 H6</t>
        </is>
      </c>
      <c r="C614" t="inlineStr">
        <is>
          <t>0                      HN 0090000R  3                  H  6</t>
        </is>
      </c>
      <c r="D614" t="inlineStr">
        <is>
          <t>The struggle is the message ; the organization and ideology of the anti-war movement / Irving Louis Horowitz. --</t>
        </is>
      </c>
      <c r="F614" t="inlineStr">
        <is>
          <t>No</t>
        </is>
      </c>
      <c r="G614" t="inlineStr">
        <is>
          <t>1</t>
        </is>
      </c>
      <c r="H614" t="inlineStr">
        <is>
          <t>No</t>
        </is>
      </c>
      <c r="I614" t="inlineStr">
        <is>
          <t>No</t>
        </is>
      </c>
      <c r="J614" t="inlineStr">
        <is>
          <t>0</t>
        </is>
      </c>
      <c r="K614" t="inlineStr">
        <is>
          <t>Horowitz, Irving Louis.</t>
        </is>
      </c>
      <c r="L614" t="inlineStr">
        <is>
          <t>Berkeley, Calif. : Glendessary Press, [1970]</t>
        </is>
      </c>
      <c r="M614" t="inlineStr">
        <is>
          <t>1970</t>
        </is>
      </c>
      <c r="O614" t="inlineStr">
        <is>
          <t>eng</t>
        </is>
      </c>
      <c r="P614" t="inlineStr">
        <is>
          <t>cau</t>
        </is>
      </c>
      <c r="R614" t="inlineStr">
        <is>
          <t xml:space="preserve">HN </t>
        </is>
      </c>
      <c r="S614" t="n">
        <v>2</v>
      </c>
      <c r="T614" t="n">
        <v>2</v>
      </c>
      <c r="U614" t="inlineStr">
        <is>
          <t>2001-07-15</t>
        </is>
      </c>
      <c r="V614" t="inlineStr">
        <is>
          <t>2001-07-15</t>
        </is>
      </c>
      <c r="W614" t="inlineStr">
        <is>
          <t>1992-10-05</t>
        </is>
      </c>
      <c r="X614" t="inlineStr">
        <is>
          <t>1992-10-05</t>
        </is>
      </c>
      <c r="Y614" t="n">
        <v>494</v>
      </c>
      <c r="Z614" t="n">
        <v>400</v>
      </c>
      <c r="AA614" t="n">
        <v>405</v>
      </c>
      <c r="AB614" t="n">
        <v>3</v>
      </c>
      <c r="AC614" t="n">
        <v>3</v>
      </c>
      <c r="AD614" t="n">
        <v>18</v>
      </c>
      <c r="AE614" t="n">
        <v>18</v>
      </c>
      <c r="AF614" t="n">
        <v>7</v>
      </c>
      <c r="AG614" t="n">
        <v>7</v>
      </c>
      <c r="AH614" t="n">
        <v>6</v>
      </c>
      <c r="AI614" t="n">
        <v>6</v>
      </c>
      <c r="AJ614" t="n">
        <v>9</v>
      </c>
      <c r="AK614" t="n">
        <v>9</v>
      </c>
      <c r="AL614" t="n">
        <v>2</v>
      </c>
      <c r="AM614" t="n">
        <v>2</v>
      </c>
      <c r="AN614" t="n">
        <v>0</v>
      </c>
      <c r="AO614" t="n">
        <v>0</v>
      </c>
      <c r="AP614" t="inlineStr">
        <is>
          <t>No</t>
        </is>
      </c>
      <c r="AQ614" t="inlineStr">
        <is>
          <t>No</t>
        </is>
      </c>
      <c r="AS614">
        <f>HYPERLINK("https://creighton-primo.hosted.exlibrisgroup.com/primo-explore/search?tab=default_tab&amp;search_scope=EVERYTHING&amp;vid=01CRU&amp;lang=en_US&amp;offset=0&amp;query=any,contains,991000806839702656","Catalog Record")</f>
        <v/>
      </c>
      <c r="AT614">
        <f>HYPERLINK("http://www.worldcat.org/oclc/140858","WorldCat Record")</f>
        <v/>
      </c>
      <c r="AU614" t="inlineStr">
        <is>
          <t>1304037:eng</t>
        </is>
      </c>
      <c r="AV614" t="inlineStr">
        <is>
          <t>140858</t>
        </is>
      </c>
      <c r="AW614" t="inlineStr">
        <is>
          <t>991000806839702656</t>
        </is>
      </c>
      <c r="AX614" t="inlineStr">
        <is>
          <t>991000806839702656</t>
        </is>
      </c>
      <c r="AY614" t="inlineStr">
        <is>
          <t>2255821340002656</t>
        </is>
      </c>
      <c r="AZ614" t="inlineStr">
        <is>
          <t>BOOK</t>
        </is>
      </c>
      <c r="BC614" t="inlineStr">
        <is>
          <t>32285001356152</t>
        </is>
      </c>
      <c r="BD614" t="inlineStr">
        <is>
          <t>893808828</t>
        </is>
      </c>
    </row>
    <row r="615">
      <c r="A615" t="inlineStr">
        <is>
          <t>No</t>
        </is>
      </c>
      <c r="B615" t="inlineStr">
        <is>
          <t>HN90.R3 K38 2006</t>
        </is>
      </c>
      <c r="C615" t="inlineStr">
        <is>
          <t>0                      HN 0090000R  3                  K  38          2006</t>
        </is>
      </c>
      <c r="D615" t="inlineStr">
        <is>
          <t>Look homeward, America : in search of reactionary radicals and front-porch anarchists / Bill Kauffman.</t>
        </is>
      </c>
      <c r="F615" t="inlineStr">
        <is>
          <t>No</t>
        </is>
      </c>
      <c r="G615" t="inlineStr">
        <is>
          <t>1</t>
        </is>
      </c>
      <c r="H615" t="inlineStr">
        <is>
          <t>No</t>
        </is>
      </c>
      <c r="I615" t="inlineStr">
        <is>
          <t>No</t>
        </is>
      </c>
      <c r="J615" t="inlineStr">
        <is>
          <t>0</t>
        </is>
      </c>
      <c r="K615" t="inlineStr">
        <is>
          <t>Kauffman, Bill, 1959-</t>
        </is>
      </c>
      <c r="L615" t="inlineStr">
        <is>
          <t>Wilmington, DE : ISI Books, c2006.</t>
        </is>
      </c>
      <c r="M615" t="inlineStr">
        <is>
          <t>2006</t>
        </is>
      </c>
      <c r="O615" t="inlineStr">
        <is>
          <t>eng</t>
        </is>
      </c>
      <c r="P615" t="inlineStr">
        <is>
          <t>deu</t>
        </is>
      </c>
      <c r="R615" t="inlineStr">
        <is>
          <t xml:space="preserve">HN </t>
        </is>
      </c>
      <c r="S615" t="n">
        <v>2</v>
      </c>
      <c r="T615" t="n">
        <v>2</v>
      </c>
      <c r="U615" t="inlineStr">
        <is>
          <t>2006-07-18</t>
        </is>
      </c>
      <c r="V615" t="inlineStr">
        <is>
          <t>2006-07-18</t>
        </is>
      </c>
      <c r="W615" t="inlineStr">
        <is>
          <t>2006-07-18</t>
        </is>
      </c>
      <c r="X615" t="inlineStr">
        <is>
          <t>2006-07-18</t>
        </is>
      </c>
      <c r="Y615" t="n">
        <v>420</v>
      </c>
      <c r="Z615" t="n">
        <v>409</v>
      </c>
      <c r="AA615" t="n">
        <v>416</v>
      </c>
      <c r="AB615" t="n">
        <v>2</v>
      </c>
      <c r="AC615" t="n">
        <v>2</v>
      </c>
      <c r="AD615" t="n">
        <v>15</v>
      </c>
      <c r="AE615" t="n">
        <v>15</v>
      </c>
      <c r="AF615" t="n">
        <v>4</v>
      </c>
      <c r="AG615" t="n">
        <v>4</v>
      </c>
      <c r="AH615" t="n">
        <v>5</v>
      </c>
      <c r="AI615" t="n">
        <v>5</v>
      </c>
      <c r="AJ615" t="n">
        <v>8</v>
      </c>
      <c r="AK615" t="n">
        <v>8</v>
      </c>
      <c r="AL615" t="n">
        <v>1</v>
      </c>
      <c r="AM615" t="n">
        <v>1</v>
      </c>
      <c r="AN615" t="n">
        <v>1</v>
      </c>
      <c r="AO615" t="n">
        <v>1</v>
      </c>
      <c r="AP615" t="inlineStr">
        <is>
          <t>No</t>
        </is>
      </c>
      <c r="AQ615" t="inlineStr">
        <is>
          <t>Yes</t>
        </is>
      </c>
      <c r="AR615">
        <f>HYPERLINK("http://catalog.hathitrust.org/Record/005872056","HathiTrust Record")</f>
        <v/>
      </c>
      <c r="AS615">
        <f>HYPERLINK("https://creighton-primo.hosted.exlibrisgroup.com/primo-explore/search?tab=default_tab&amp;search_scope=EVERYTHING&amp;vid=01CRU&amp;lang=en_US&amp;offset=0&amp;query=any,contains,991004839529702656","Catalog Record")</f>
        <v/>
      </c>
      <c r="AT615">
        <f>HYPERLINK("http://www.worldcat.org/oclc/69171738","WorldCat Record")</f>
        <v/>
      </c>
      <c r="AU615" t="inlineStr">
        <is>
          <t>52518152:eng</t>
        </is>
      </c>
      <c r="AV615" t="inlineStr">
        <is>
          <t>69171738</t>
        </is>
      </c>
      <c r="AW615" t="inlineStr">
        <is>
          <t>991004839529702656</t>
        </is>
      </c>
      <c r="AX615" t="inlineStr">
        <is>
          <t>991004839529702656</t>
        </is>
      </c>
      <c r="AY615" t="inlineStr">
        <is>
          <t>2271503560002656</t>
        </is>
      </c>
      <c r="AZ615" t="inlineStr">
        <is>
          <t>BOOK</t>
        </is>
      </c>
      <c r="BB615" t="inlineStr">
        <is>
          <t>9781932236873</t>
        </is>
      </c>
      <c r="BC615" t="inlineStr">
        <is>
          <t>32285005195150</t>
        </is>
      </c>
      <c r="BD615" t="inlineStr">
        <is>
          <t>893520103</t>
        </is>
      </c>
    </row>
    <row r="616">
      <c r="A616" t="inlineStr">
        <is>
          <t>No</t>
        </is>
      </c>
      <c r="B616" t="inlineStr">
        <is>
          <t>HN90.R3 K7</t>
        </is>
      </c>
      <c r="C616" t="inlineStr">
        <is>
          <t>0                      HN 0090000R  3                  K  7</t>
        </is>
      </c>
      <c r="D616" t="inlineStr">
        <is>
          <t>The radical persuasion, 1890-1917 : aspects of the intellectual history and the historiography of three American radical organizations / Aileen S. Kraditor.</t>
        </is>
      </c>
      <c r="F616" t="inlineStr">
        <is>
          <t>No</t>
        </is>
      </c>
      <c r="G616" t="inlineStr">
        <is>
          <t>1</t>
        </is>
      </c>
      <c r="H616" t="inlineStr">
        <is>
          <t>No</t>
        </is>
      </c>
      <c r="I616" t="inlineStr">
        <is>
          <t>No</t>
        </is>
      </c>
      <c r="J616" t="inlineStr">
        <is>
          <t>0</t>
        </is>
      </c>
      <c r="K616" t="inlineStr">
        <is>
          <t>Kraditor, Aileen S.</t>
        </is>
      </c>
      <c r="L616" t="inlineStr">
        <is>
          <t>Baton Rouge : Louisiana State University Press, c1981.</t>
        </is>
      </c>
      <c r="M616" t="inlineStr">
        <is>
          <t>1981</t>
        </is>
      </c>
      <c r="O616" t="inlineStr">
        <is>
          <t>eng</t>
        </is>
      </c>
      <c r="P616" t="inlineStr">
        <is>
          <t>lau</t>
        </is>
      </c>
      <c r="R616" t="inlineStr">
        <is>
          <t xml:space="preserve">HN </t>
        </is>
      </c>
      <c r="S616" t="n">
        <v>2</v>
      </c>
      <c r="T616" t="n">
        <v>2</v>
      </c>
      <c r="U616" t="inlineStr">
        <is>
          <t>1997-06-18</t>
        </is>
      </c>
      <c r="V616" t="inlineStr">
        <is>
          <t>1997-06-18</t>
        </is>
      </c>
      <c r="W616" t="inlineStr">
        <is>
          <t>1992-10-05</t>
        </is>
      </c>
      <c r="X616" t="inlineStr">
        <is>
          <t>1992-10-05</t>
        </is>
      </c>
      <c r="Y616" t="n">
        <v>575</v>
      </c>
      <c r="Z616" t="n">
        <v>494</v>
      </c>
      <c r="AA616" t="n">
        <v>505</v>
      </c>
      <c r="AB616" t="n">
        <v>5</v>
      </c>
      <c r="AC616" t="n">
        <v>5</v>
      </c>
      <c r="AD616" t="n">
        <v>21</v>
      </c>
      <c r="AE616" t="n">
        <v>22</v>
      </c>
      <c r="AF616" t="n">
        <v>8</v>
      </c>
      <c r="AG616" t="n">
        <v>8</v>
      </c>
      <c r="AH616" t="n">
        <v>4</v>
      </c>
      <c r="AI616" t="n">
        <v>5</v>
      </c>
      <c r="AJ616" t="n">
        <v>10</v>
      </c>
      <c r="AK616" t="n">
        <v>11</v>
      </c>
      <c r="AL616" t="n">
        <v>4</v>
      </c>
      <c r="AM616" t="n">
        <v>4</v>
      </c>
      <c r="AN616" t="n">
        <v>0</v>
      </c>
      <c r="AO616" t="n">
        <v>0</v>
      </c>
      <c r="AP616" t="inlineStr">
        <is>
          <t>No</t>
        </is>
      </c>
      <c r="AQ616" t="inlineStr">
        <is>
          <t>No</t>
        </is>
      </c>
      <c r="AS616">
        <f>HYPERLINK("https://creighton-primo.hosted.exlibrisgroup.com/primo-explore/search?tab=default_tab&amp;search_scope=EVERYTHING&amp;vid=01CRU&amp;lang=en_US&amp;offset=0&amp;query=any,contains,991005001949702656","Catalog Record")</f>
        <v/>
      </c>
      <c r="AT616">
        <f>HYPERLINK("http://www.worldcat.org/oclc/6554247","WorldCat Record")</f>
        <v/>
      </c>
      <c r="AU616" t="inlineStr">
        <is>
          <t>252299492:eng</t>
        </is>
      </c>
      <c r="AV616" t="inlineStr">
        <is>
          <t>6554247</t>
        </is>
      </c>
      <c r="AW616" t="inlineStr">
        <is>
          <t>991005001949702656</t>
        </is>
      </c>
      <c r="AX616" t="inlineStr">
        <is>
          <t>991005001949702656</t>
        </is>
      </c>
      <c r="AY616" t="inlineStr">
        <is>
          <t>2256490630002656</t>
        </is>
      </c>
      <c r="AZ616" t="inlineStr">
        <is>
          <t>BOOK</t>
        </is>
      </c>
      <c r="BB616" t="inlineStr">
        <is>
          <t>9780807107676</t>
        </is>
      </c>
      <c r="BC616" t="inlineStr">
        <is>
          <t>32285001356186</t>
        </is>
      </c>
      <c r="BD616" t="inlineStr">
        <is>
          <t>893536302</t>
        </is>
      </c>
    </row>
    <row r="617">
      <c r="A617" t="inlineStr">
        <is>
          <t>No</t>
        </is>
      </c>
      <c r="B617" t="inlineStr">
        <is>
          <t>HN90.R3 M47 1987</t>
        </is>
      </c>
      <c r="C617" t="inlineStr">
        <is>
          <t>0                      HN 0090000R  3                  M  47          1987</t>
        </is>
      </c>
      <c r="D617" t="inlineStr">
        <is>
          <t>Democracy is in the streets : from Port Huron to the siege of Chicago / by James Miller.</t>
        </is>
      </c>
      <c r="F617" t="inlineStr">
        <is>
          <t>No</t>
        </is>
      </c>
      <c r="G617" t="inlineStr">
        <is>
          <t>1</t>
        </is>
      </c>
      <c r="H617" t="inlineStr">
        <is>
          <t>No</t>
        </is>
      </c>
      <c r="I617" t="inlineStr">
        <is>
          <t>No</t>
        </is>
      </c>
      <c r="J617" t="inlineStr">
        <is>
          <t>0</t>
        </is>
      </c>
      <c r="K617" t="inlineStr">
        <is>
          <t>Miller, Jim, 1947-</t>
        </is>
      </c>
      <c r="L617" t="inlineStr">
        <is>
          <t>New York : Simon and Schuster, c1987.</t>
        </is>
      </c>
      <c r="M617" t="inlineStr">
        <is>
          <t>1987</t>
        </is>
      </c>
      <c r="O617" t="inlineStr">
        <is>
          <t>eng</t>
        </is>
      </c>
      <c r="P617" t="inlineStr">
        <is>
          <t>nyu</t>
        </is>
      </c>
      <c r="R617" t="inlineStr">
        <is>
          <t xml:space="preserve">HN </t>
        </is>
      </c>
      <c r="S617" t="n">
        <v>5</v>
      </c>
      <c r="T617" t="n">
        <v>5</v>
      </c>
      <c r="U617" t="inlineStr">
        <is>
          <t>2005-04-26</t>
        </is>
      </c>
      <c r="V617" t="inlineStr">
        <is>
          <t>2005-04-26</t>
        </is>
      </c>
      <c r="W617" t="inlineStr">
        <is>
          <t>1990-02-12</t>
        </is>
      </c>
      <c r="X617" t="inlineStr">
        <is>
          <t>1990-02-12</t>
        </is>
      </c>
      <c r="Y617" t="n">
        <v>1170</v>
      </c>
      <c r="Z617" t="n">
        <v>1082</v>
      </c>
      <c r="AA617" t="n">
        <v>1211</v>
      </c>
      <c r="AB617" t="n">
        <v>7</v>
      </c>
      <c r="AC617" t="n">
        <v>9</v>
      </c>
      <c r="AD617" t="n">
        <v>48</v>
      </c>
      <c r="AE617" t="n">
        <v>52</v>
      </c>
      <c r="AF617" t="n">
        <v>20</v>
      </c>
      <c r="AG617" t="n">
        <v>22</v>
      </c>
      <c r="AH617" t="n">
        <v>8</v>
      </c>
      <c r="AI617" t="n">
        <v>9</v>
      </c>
      <c r="AJ617" t="n">
        <v>22</v>
      </c>
      <c r="AK617" t="n">
        <v>23</v>
      </c>
      <c r="AL617" t="n">
        <v>6</v>
      </c>
      <c r="AM617" t="n">
        <v>7</v>
      </c>
      <c r="AN617" t="n">
        <v>2</v>
      </c>
      <c r="AO617" t="n">
        <v>2</v>
      </c>
      <c r="AP617" t="inlineStr">
        <is>
          <t>No</t>
        </is>
      </c>
      <c r="AQ617" t="inlineStr">
        <is>
          <t>Yes</t>
        </is>
      </c>
      <c r="AR617">
        <f>HYPERLINK("http://catalog.hathitrust.org/Record/000830547","HathiTrust Record")</f>
        <v/>
      </c>
      <c r="AS617">
        <f>HYPERLINK("https://creighton-primo.hosted.exlibrisgroup.com/primo-explore/search?tab=default_tab&amp;search_scope=EVERYTHING&amp;vid=01CRU&amp;lang=en_US&amp;offset=0&amp;query=any,contains,991000942739702656","Catalog Record")</f>
        <v/>
      </c>
      <c r="AT617">
        <f>HYPERLINK("http://www.worldcat.org/oclc/14414284","WorldCat Record")</f>
        <v/>
      </c>
      <c r="AU617" t="inlineStr">
        <is>
          <t>327219341:eng</t>
        </is>
      </c>
      <c r="AV617" t="inlineStr">
        <is>
          <t>14414284</t>
        </is>
      </c>
      <c r="AW617" t="inlineStr">
        <is>
          <t>991000942739702656</t>
        </is>
      </c>
      <c r="AX617" t="inlineStr">
        <is>
          <t>991000942739702656</t>
        </is>
      </c>
      <c r="AY617" t="inlineStr">
        <is>
          <t>2264689750002656</t>
        </is>
      </c>
      <c r="AZ617" t="inlineStr">
        <is>
          <t>BOOK</t>
        </is>
      </c>
      <c r="BB617" t="inlineStr">
        <is>
          <t>9780671530563</t>
        </is>
      </c>
      <c r="BC617" t="inlineStr">
        <is>
          <t>32285000045863</t>
        </is>
      </c>
      <c r="BD617" t="inlineStr">
        <is>
          <t>893225464</t>
        </is>
      </c>
    </row>
    <row r="618">
      <c r="A618" t="inlineStr">
        <is>
          <t>No</t>
        </is>
      </c>
      <c r="B618" t="inlineStr">
        <is>
          <t>HN90.R3 N454 2003</t>
        </is>
      </c>
      <c r="C618" t="inlineStr">
        <is>
          <t>0                      HN 0090000R  3                  N  454         2003</t>
        </is>
      </c>
      <c r="D618" t="inlineStr">
        <is>
          <t>The new left revisited / edited by John McMillian and Paul Buhle.</t>
        </is>
      </c>
      <c r="F618" t="inlineStr">
        <is>
          <t>No</t>
        </is>
      </c>
      <c r="G618" t="inlineStr">
        <is>
          <t>1</t>
        </is>
      </c>
      <c r="H618" t="inlineStr">
        <is>
          <t>No</t>
        </is>
      </c>
      <c r="I618" t="inlineStr">
        <is>
          <t>No</t>
        </is>
      </c>
      <c r="J618" t="inlineStr">
        <is>
          <t>0</t>
        </is>
      </c>
      <c r="L618" t="inlineStr">
        <is>
          <t>Philadelphia, PA : Temple University Press, c2003.</t>
        </is>
      </c>
      <c r="M618" t="inlineStr">
        <is>
          <t>2003</t>
        </is>
      </c>
      <c r="O618" t="inlineStr">
        <is>
          <t>eng</t>
        </is>
      </c>
      <c r="P618" t="inlineStr">
        <is>
          <t>pau</t>
        </is>
      </c>
      <c r="Q618" t="inlineStr">
        <is>
          <t>Critical perspectives on the past</t>
        </is>
      </c>
      <c r="R618" t="inlineStr">
        <is>
          <t xml:space="preserve">HN </t>
        </is>
      </c>
      <c r="S618" t="n">
        <v>3</v>
      </c>
      <c r="T618" t="n">
        <v>3</v>
      </c>
      <c r="U618" t="inlineStr">
        <is>
          <t>2003-03-27</t>
        </is>
      </c>
      <c r="V618" t="inlineStr">
        <is>
          <t>2003-03-27</t>
        </is>
      </c>
      <c r="W618" t="inlineStr">
        <is>
          <t>2003-03-27</t>
        </is>
      </c>
      <c r="X618" t="inlineStr">
        <is>
          <t>2003-03-27</t>
        </is>
      </c>
      <c r="Y618" t="n">
        <v>603</v>
      </c>
      <c r="Z618" t="n">
        <v>525</v>
      </c>
      <c r="AA618" t="n">
        <v>930</v>
      </c>
      <c r="AB618" t="n">
        <v>3</v>
      </c>
      <c r="AC618" t="n">
        <v>5</v>
      </c>
      <c r="AD618" t="n">
        <v>27</v>
      </c>
      <c r="AE618" t="n">
        <v>43</v>
      </c>
      <c r="AF618" t="n">
        <v>15</v>
      </c>
      <c r="AG618" t="n">
        <v>21</v>
      </c>
      <c r="AH618" t="n">
        <v>7</v>
      </c>
      <c r="AI618" t="n">
        <v>9</v>
      </c>
      <c r="AJ618" t="n">
        <v>12</v>
      </c>
      <c r="AK618" t="n">
        <v>19</v>
      </c>
      <c r="AL618" t="n">
        <v>2</v>
      </c>
      <c r="AM618" t="n">
        <v>4</v>
      </c>
      <c r="AN618" t="n">
        <v>0</v>
      </c>
      <c r="AO618" t="n">
        <v>1</v>
      </c>
      <c r="AP618" t="inlineStr">
        <is>
          <t>No</t>
        </is>
      </c>
      <c r="AQ618" t="inlineStr">
        <is>
          <t>No</t>
        </is>
      </c>
      <c r="AS618">
        <f>HYPERLINK("https://creighton-primo.hosted.exlibrisgroup.com/primo-explore/search?tab=default_tab&amp;search_scope=EVERYTHING&amp;vid=01CRU&amp;lang=en_US&amp;offset=0&amp;query=any,contains,991004015779702656","Catalog Record")</f>
        <v/>
      </c>
      <c r="AT618">
        <f>HYPERLINK("http://www.worldcat.org/oclc/49805888","WorldCat Record")</f>
        <v/>
      </c>
      <c r="AU618" t="inlineStr">
        <is>
          <t>766691288:eng</t>
        </is>
      </c>
      <c r="AV618" t="inlineStr">
        <is>
          <t>49805888</t>
        </is>
      </c>
      <c r="AW618" t="inlineStr">
        <is>
          <t>991004015779702656</t>
        </is>
      </c>
      <c r="AX618" t="inlineStr">
        <is>
          <t>991004015779702656</t>
        </is>
      </c>
      <c r="AY618" t="inlineStr">
        <is>
          <t>2264034620002656</t>
        </is>
      </c>
      <c r="AZ618" t="inlineStr">
        <is>
          <t>BOOK</t>
        </is>
      </c>
      <c r="BB618" t="inlineStr">
        <is>
          <t>9781566399753</t>
        </is>
      </c>
      <c r="BC618" t="inlineStr">
        <is>
          <t>32285004687983</t>
        </is>
      </c>
      <c r="BD618" t="inlineStr">
        <is>
          <t>893531878</t>
        </is>
      </c>
    </row>
    <row r="619">
      <c r="A619" t="inlineStr">
        <is>
          <t>No</t>
        </is>
      </c>
      <c r="B619" t="inlineStr">
        <is>
          <t>HN90.R3 O54 2001</t>
        </is>
      </c>
      <c r="C619" t="inlineStr">
        <is>
          <t>0                      HN 0090000R  3                  O  54          2001</t>
        </is>
      </c>
      <c r="D619" t="inlineStr">
        <is>
          <t>The New Left : a history / William L. O'Neill.</t>
        </is>
      </c>
      <c r="F619" t="inlineStr">
        <is>
          <t>No</t>
        </is>
      </c>
      <c r="G619" t="inlineStr">
        <is>
          <t>1</t>
        </is>
      </c>
      <c r="H619" t="inlineStr">
        <is>
          <t>No</t>
        </is>
      </c>
      <c r="I619" t="inlineStr">
        <is>
          <t>No</t>
        </is>
      </c>
      <c r="J619" t="inlineStr">
        <is>
          <t>0</t>
        </is>
      </c>
      <c r="K619" t="inlineStr">
        <is>
          <t>O'Neill, William L.</t>
        </is>
      </c>
      <c r="L619" t="inlineStr">
        <is>
          <t>Wheeling, Ill. : Harlan Davidson, c2001.</t>
        </is>
      </c>
      <c r="M619" t="inlineStr">
        <is>
          <t>2001</t>
        </is>
      </c>
      <c r="O619" t="inlineStr">
        <is>
          <t>eng</t>
        </is>
      </c>
      <c r="P619" t="inlineStr">
        <is>
          <t>ilu</t>
        </is>
      </c>
      <c r="Q619" t="inlineStr">
        <is>
          <t>The American history series</t>
        </is>
      </c>
      <c r="R619" t="inlineStr">
        <is>
          <t xml:space="preserve">HN </t>
        </is>
      </c>
      <c r="S619" t="n">
        <v>3</v>
      </c>
      <c r="T619" t="n">
        <v>3</v>
      </c>
      <c r="U619" t="inlineStr">
        <is>
          <t>2005-05-02</t>
        </is>
      </c>
      <c r="V619" t="inlineStr">
        <is>
          <t>2005-05-02</t>
        </is>
      </c>
      <c r="W619" t="inlineStr">
        <is>
          <t>2001-05-09</t>
        </is>
      </c>
      <c r="X619" t="inlineStr">
        <is>
          <t>2001-05-09</t>
        </is>
      </c>
      <c r="Y619" t="n">
        <v>236</v>
      </c>
      <c r="Z619" t="n">
        <v>200</v>
      </c>
      <c r="AA619" t="n">
        <v>202</v>
      </c>
      <c r="AB619" t="n">
        <v>2</v>
      </c>
      <c r="AC619" t="n">
        <v>2</v>
      </c>
      <c r="AD619" t="n">
        <v>12</v>
      </c>
      <c r="AE619" t="n">
        <v>12</v>
      </c>
      <c r="AF619" t="n">
        <v>5</v>
      </c>
      <c r="AG619" t="n">
        <v>5</v>
      </c>
      <c r="AH619" t="n">
        <v>2</v>
      </c>
      <c r="AI619" t="n">
        <v>2</v>
      </c>
      <c r="AJ619" t="n">
        <v>7</v>
      </c>
      <c r="AK619" t="n">
        <v>7</v>
      </c>
      <c r="AL619" t="n">
        <v>1</v>
      </c>
      <c r="AM619" t="n">
        <v>1</v>
      </c>
      <c r="AN619" t="n">
        <v>0</v>
      </c>
      <c r="AO619" t="n">
        <v>0</v>
      </c>
      <c r="AP619" t="inlineStr">
        <is>
          <t>No</t>
        </is>
      </c>
      <c r="AQ619" t="inlineStr">
        <is>
          <t>Yes</t>
        </is>
      </c>
      <c r="AR619">
        <f>HYPERLINK("http://catalog.hathitrust.org/Record/009925670","HathiTrust Record")</f>
        <v/>
      </c>
      <c r="AS619">
        <f>HYPERLINK("https://creighton-primo.hosted.exlibrisgroup.com/primo-explore/search?tab=default_tab&amp;search_scope=EVERYTHING&amp;vid=01CRU&amp;lang=en_US&amp;offset=0&amp;query=any,contains,991003479819702656","Catalog Record")</f>
        <v/>
      </c>
      <c r="AT619">
        <f>HYPERLINK("http://www.worldcat.org/oclc/45172904","WorldCat Record")</f>
        <v/>
      </c>
      <c r="AU619" t="inlineStr">
        <is>
          <t>905893870:eng</t>
        </is>
      </c>
      <c r="AV619" t="inlineStr">
        <is>
          <t>45172904</t>
        </is>
      </c>
      <c r="AW619" t="inlineStr">
        <is>
          <t>991003479819702656</t>
        </is>
      </c>
      <c r="AX619" t="inlineStr">
        <is>
          <t>991003479819702656</t>
        </is>
      </c>
      <c r="AY619" t="inlineStr">
        <is>
          <t>2258924970002656</t>
        </is>
      </c>
      <c r="AZ619" t="inlineStr">
        <is>
          <t>BOOK</t>
        </is>
      </c>
      <c r="BB619" t="inlineStr">
        <is>
          <t>9780882959603</t>
        </is>
      </c>
      <c r="BC619" t="inlineStr">
        <is>
          <t>32285004316849</t>
        </is>
      </c>
      <c r="BD619" t="inlineStr">
        <is>
          <t>893598619</t>
        </is>
      </c>
    </row>
    <row r="620">
      <c r="A620" t="inlineStr">
        <is>
          <t>No</t>
        </is>
      </c>
      <c r="B620" t="inlineStr">
        <is>
          <t>HN90.R3 S86 1999</t>
        </is>
      </c>
      <c r="C620" t="inlineStr">
        <is>
          <t>0                      HN 0090000R  3                  S  86          1999</t>
        </is>
      </c>
      <c r="D620" t="inlineStr">
        <is>
          <t>Send in the Waco killers : essays on the freedom movement, 1993-1998 / by Vin Suprynowicz.</t>
        </is>
      </c>
      <c r="F620" t="inlineStr">
        <is>
          <t>No</t>
        </is>
      </c>
      <c r="G620" t="inlineStr">
        <is>
          <t>1</t>
        </is>
      </c>
      <c r="H620" t="inlineStr">
        <is>
          <t>No</t>
        </is>
      </c>
      <c r="I620" t="inlineStr">
        <is>
          <t>No</t>
        </is>
      </c>
      <c r="J620" t="inlineStr">
        <is>
          <t>0</t>
        </is>
      </c>
      <c r="K620" t="inlineStr">
        <is>
          <t>Suprynowicz, Vin.</t>
        </is>
      </c>
      <c r="L620" t="inlineStr">
        <is>
          <t>Las Vegas, Nev. : Mountain Media, c1999.</t>
        </is>
      </c>
      <c r="M620" t="inlineStr">
        <is>
          <t>1999</t>
        </is>
      </c>
      <c r="O620" t="inlineStr">
        <is>
          <t>eng</t>
        </is>
      </c>
      <c r="P620" t="inlineStr">
        <is>
          <t>nvu</t>
        </is>
      </c>
      <c r="R620" t="inlineStr">
        <is>
          <t xml:space="preserve">HN </t>
        </is>
      </c>
      <c r="S620" t="n">
        <v>2</v>
      </c>
      <c r="T620" t="n">
        <v>2</v>
      </c>
      <c r="U620" t="inlineStr">
        <is>
          <t>2007-11-08</t>
        </is>
      </c>
      <c r="V620" t="inlineStr">
        <is>
          <t>2007-11-08</t>
        </is>
      </c>
      <c r="W620" t="inlineStr">
        <is>
          <t>2007-05-22</t>
        </is>
      </c>
      <c r="X620" t="inlineStr">
        <is>
          <t>2007-05-22</t>
        </is>
      </c>
      <c r="Y620" t="n">
        <v>66</v>
      </c>
      <c r="Z620" t="n">
        <v>58</v>
      </c>
      <c r="AA620" t="n">
        <v>59</v>
      </c>
      <c r="AB620" t="n">
        <v>2</v>
      </c>
      <c r="AC620" t="n">
        <v>2</v>
      </c>
      <c r="AD620" t="n">
        <v>2</v>
      </c>
      <c r="AE620" t="n">
        <v>2</v>
      </c>
      <c r="AF620" t="n">
        <v>0</v>
      </c>
      <c r="AG620" t="n">
        <v>0</v>
      </c>
      <c r="AH620" t="n">
        <v>1</v>
      </c>
      <c r="AI620" t="n">
        <v>1</v>
      </c>
      <c r="AJ620" t="n">
        <v>0</v>
      </c>
      <c r="AK620" t="n">
        <v>0</v>
      </c>
      <c r="AL620" t="n">
        <v>0</v>
      </c>
      <c r="AM620" t="n">
        <v>0</v>
      </c>
      <c r="AN620" t="n">
        <v>1</v>
      </c>
      <c r="AO620" t="n">
        <v>1</v>
      </c>
      <c r="AP620" t="inlineStr">
        <is>
          <t>No</t>
        </is>
      </c>
      <c r="AQ620" t="inlineStr">
        <is>
          <t>Yes</t>
        </is>
      </c>
      <c r="AR620">
        <f>HYPERLINK("http://catalog.hathitrust.org/Record/004038480","HathiTrust Record")</f>
        <v/>
      </c>
      <c r="AS620">
        <f>HYPERLINK("https://creighton-primo.hosted.exlibrisgroup.com/primo-explore/search?tab=default_tab&amp;search_scope=EVERYTHING&amp;vid=01CRU&amp;lang=en_US&amp;offset=0&amp;query=any,contains,991005080849702656","Catalog Record")</f>
        <v/>
      </c>
      <c r="AT620">
        <f>HYPERLINK("http://www.worldcat.org/oclc/41337231","WorldCat Record")</f>
        <v/>
      </c>
      <c r="AU620" t="inlineStr">
        <is>
          <t>892177069:eng</t>
        </is>
      </c>
      <c r="AV620" t="inlineStr">
        <is>
          <t>41337231</t>
        </is>
      </c>
      <c r="AW620" t="inlineStr">
        <is>
          <t>991005080849702656</t>
        </is>
      </c>
      <c r="AX620" t="inlineStr">
        <is>
          <t>991005080849702656</t>
        </is>
      </c>
      <c r="AY620" t="inlineStr">
        <is>
          <t>2268599450002656</t>
        </is>
      </c>
      <c r="AZ620" t="inlineStr">
        <is>
          <t>BOOK</t>
        </is>
      </c>
      <c r="BB620" t="inlineStr">
        <is>
          <t>9780967025902</t>
        </is>
      </c>
      <c r="BC620" t="inlineStr">
        <is>
          <t>32285005313423</t>
        </is>
      </c>
      <c r="BD620" t="inlineStr">
        <is>
          <t>893236239</t>
        </is>
      </c>
    </row>
    <row r="621">
      <c r="A621" t="inlineStr">
        <is>
          <t>No</t>
        </is>
      </c>
      <c r="B621" t="inlineStr">
        <is>
          <t>HN90.R3 T48</t>
        </is>
      </c>
      <c r="C621" t="inlineStr">
        <is>
          <t>0                      HN 0090000R  3                  T  48</t>
        </is>
      </c>
      <c r="D621" t="inlineStr">
        <is>
          <t>They should have served that cup of coffee / edited by Dick Cluster.</t>
        </is>
      </c>
      <c r="F621" t="inlineStr">
        <is>
          <t>No</t>
        </is>
      </c>
      <c r="G621" t="inlineStr">
        <is>
          <t>1</t>
        </is>
      </c>
      <c r="H621" t="inlineStr">
        <is>
          <t>No</t>
        </is>
      </c>
      <c r="I621" t="inlineStr">
        <is>
          <t>No</t>
        </is>
      </c>
      <c r="J621" t="inlineStr">
        <is>
          <t>0</t>
        </is>
      </c>
      <c r="L621" t="inlineStr">
        <is>
          <t>Boston : South End Press, 1979.</t>
        </is>
      </c>
      <c r="M621" t="inlineStr">
        <is>
          <t>1979</t>
        </is>
      </c>
      <c r="O621" t="inlineStr">
        <is>
          <t>eng</t>
        </is>
      </c>
      <c r="P621" t="inlineStr">
        <is>
          <t>mau</t>
        </is>
      </c>
      <c r="R621" t="inlineStr">
        <is>
          <t xml:space="preserve">HN </t>
        </is>
      </c>
      <c r="S621" t="n">
        <v>1</v>
      </c>
      <c r="T621" t="n">
        <v>1</v>
      </c>
      <c r="U621" t="inlineStr">
        <is>
          <t>1999-02-27</t>
        </is>
      </c>
      <c r="V621" t="inlineStr">
        <is>
          <t>1999-02-27</t>
        </is>
      </c>
      <c r="W621" t="inlineStr">
        <is>
          <t>1992-10-05</t>
        </is>
      </c>
      <c r="X621" t="inlineStr">
        <is>
          <t>1992-10-05</t>
        </is>
      </c>
      <c r="Y621" t="n">
        <v>504</v>
      </c>
      <c r="Z621" t="n">
        <v>467</v>
      </c>
      <c r="AA621" t="n">
        <v>482</v>
      </c>
      <c r="AB621" t="n">
        <v>3</v>
      </c>
      <c r="AC621" t="n">
        <v>3</v>
      </c>
      <c r="AD621" t="n">
        <v>22</v>
      </c>
      <c r="AE621" t="n">
        <v>23</v>
      </c>
      <c r="AF621" t="n">
        <v>8</v>
      </c>
      <c r="AG621" t="n">
        <v>9</v>
      </c>
      <c r="AH621" t="n">
        <v>6</v>
      </c>
      <c r="AI621" t="n">
        <v>6</v>
      </c>
      <c r="AJ621" t="n">
        <v>13</v>
      </c>
      <c r="AK621" t="n">
        <v>13</v>
      </c>
      <c r="AL621" t="n">
        <v>2</v>
      </c>
      <c r="AM621" t="n">
        <v>2</v>
      </c>
      <c r="AN621" t="n">
        <v>0</v>
      </c>
      <c r="AO621" t="n">
        <v>0</v>
      </c>
      <c r="AP621" t="inlineStr">
        <is>
          <t>No</t>
        </is>
      </c>
      <c r="AQ621" t="inlineStr">
        <is>
          <t>Yes</t>
        </is>
      </c>
      <c r="AR621">
        <f>HYPERLINK("http://catalog.hathitrust.org/Record/000707995","HathiTrust Record")</f>
        <v/>
      </c>
      <c r="AS621">
        <f>HYPERLINK("https://creighton-primo.hosted.exlibrisgroup.com/primo-explore/search?tab=default_tab&amp;search_scope=EVERYTHING&amp;vid=01CRU&amp;lang=en_US&amp;offset=0&amp;query=any,contains,991004788079702656","Catalog Record")</f>
        <v/>
      </c>
      <c r="AT621">
        <f>HYPERLINK("http://www.worldcat.org/oclc/5158245","WorldCat Record")</f>
        <v/>
      </c>
      <c r="AU621" t="inlineStr">
        <is>
          <t>552732:eng</t>
        </is>
      </c>
      <c r="AV621" t="inlineStr">
        <is>
          <t>5158245</t>
        </is>
      </c>
      <c r="AW621" t="inlineStr">
        <is>
          <t>991004788079702656</t>
        </is>
      </c>
      <c r="AX621" t="inlineStr">
        <is>
          <t>991004788079702656</t>
        </is>
      </c>
      <c r="AY621" t="inlineStr">
        <is>
          <t>2272079460002656</t>
        </is>
      </c>
      <c r="AZ621" t="inlineStr">
        <is>
          <t>BOOK</t>
        </is>
      </c>
      <c r="BB621" t="inlineStr">
        <is>
          <t>9780896080836</t>
        </is>
      </c>
      <c r="BC621" t="inlineStr">
        <is>
          <t>32285001356228</t>
        </is>
      </c>
      <c r="BD621" t="inlineStr">
        <is>
          <t>893344261</t>
        </is>
      </c>
    </row>
    <row r="622">
      <c r="A622" t="inlineStr">
        <is>
          <t>No</t>
        </is>
      </c>
      <c r="B622" t="inlineStr">
        <is>
          <t>HN90.R3 V56</t>
        </is>
      </c>
      <c r="C622" t="inlineStr">
        <is>
          <t>0                      HN 0090000R  3                  V  56</t>
        </is>
      </c>
      <c r="D622" t="inlineStr">
        <is>
          <t>Fire in the streets : America in the 1960s / Milton Viorst.</t>
        </is>
      </c>
      <c r="F622" t="inlineStr">
        <is>
          <t>No</t>
        </is>
      </c>
      <c r="G622" t="inlineStr">
        <is>
          <t>1</t>
        </is>
      </c>
      <c r="H622" t="inlineStr">
        <is>
          <t>No</t>
        </is>
      </c>
      <c r="I622" t="inlineStr">
        <is>
          <t>No</t>
        </is>
      </c>
      <c r="J622" t="inlineStr">
        <is>
          <t>0</t>
        </is>
      </c>
      <c r="K622" t="inlineStr">
        <is>
          <t>Viorst, Milton.</t>
        </is>
      </c>
      <c r="L622" t="inlineStr">
        <is>
          <t>New York : Simon and Schuster, c1979.</t>
        </is>
      </c>
      <c r="M622" t="inlineStr">
        <is>
          <t>1979</t>
        </is>
      </c>
      <c r="O622" t="inlineStr">
        <is>
          <t>eng</t>
        </is>
      </c>
      <c r="P622" t="inlineStr">
        <is>
          <t>nyu</t>
        </is>
      </c>
      <c r="R622" t="inlineStr">
        <is>
          <t xml:space="preserve">HN </t>
        </is>
      </c>
      <c r="S622" t="n">
        <v>3</v>
      </c>
      <c r="T622" t="n">
        <v>3</v>
      </c>
      <c r="U622" t="inlineStr">
        <is>
          <t>2005-04-26</t>
        </is>
      </c>
      <c r="V622" t="inlineStr">
        <is>
          <t>2005-04-26</t>
        </is>
      </c>
      <c r="W622" t="inlineStr">
        <is>
          <t>1992-10-05</t>
        </is>
      </c>
      <c r="X622" t="inlineStr">
        <is>
          <t>1992-10-05</t>
        </is>
      </c>
      <c r="Y622" t="n">
        <v>1333</v>
      </c>
      <c r="Z622" t="n">
        <v>1261</v>
      </c>
      <c r="AA622" t="n">
        <v>1444</v>
      </c>
      <c r="AB622" t="n">
        <v>6</v>
      </c>
      <c r="AC622" t="n">
        <v>6</v>
      </c>
      <c r="AD622" t="n">
        <v>36</v>
      </c>
      <c r="AE622" t="n">
        <v>38</v>
      </c>
      <c r="AF622" t="n">
        <v>13</v>
      </c>
      <c r="AG622" t="n">
        <v>14</v>
      </c>
      <c r="AH622" t="n">
        <v>8</v>
      </c>
      <c r="AI622" t="n">
        <v>9</v>
      </c>
      <c r="AJ622" t="n">
        <v>16</v>
      </c>
      <c r="AK622" t="n">
        <v>18</v>
      </c>
      <c r="AL622" t="n">
        <v>3</v>
      </c>
      <c r="AM622" t="n">
        <v>3</v>
      </c>
      <c r="AN622" t="n">
        <v>4</v>
      </c>
      <c r="AO622" t="n">
        <v>4</v>
      </c>
      <c r="AP622" t="inlineStr">
        <is>
          <t>No</t>
        </is>
      </c>
      <c r="AQ622" t="inlineStr">
        <is>
          <t>No</t>
        </is>
      </c>
      <c r="AS622">
        <f>HYPERLINK("https://creighton-primo.hosted.exlibrisgroup.com/primo-explore/search?tab=default_tab&amp;search_scope=EVERYTHING&amp;vid=01CRU&amp;lang=en_US&amp;offset=0&amp;query=any,contains,991004798309702656","Catalog Record")</f>
        <v/>
      </c>
      <c r="AT622">
        <f>HYPERLINK("http://www.worldcat.org/oclc/5196759","WorldCat Record")</f>
        <v/>
      </c>
      <c r="AU622" t="inlineStr">
        <is>
          <t>1008435397:eng</t>
        </is>
      </c>
      <c r="AV622" t="inlineStr">
        <is>
          <t>5196759</t>
        </is>
      </c>
      <c r="AW622" t="inlineStr">
        <is>
          <t>991004798309702656</t>
        </is>
      </c>
      <c r="AX622" t="inlineStr">
        <is>
          <t>991004798309702656</t>
        </is>
      </c>
      <c r="AY622" t="inlineStr">
        <is>
          <t>2258600610002656</t>
        </is>
      </c>
      <c r="AZ622" t="inlineStr">
        <is>
          <t>BOOK</t>
        </is>
      </c>
      <c r="BB622" t="inlineStr">
        <is>
          <t>9780671243234</t>
        </is>
      </c>
      <c r="BC622" t="inlineStr">
        <is>
          <t>32285001356236</t>
        </is>
      </c>
      <c r="BD622" t="inlineStr">
        <is>
          <t>893594115</t>
        </is>
      </c>
    </row>
    <row r="623">
      <c r="A623" t="inlineStr">
        <is>
          <t>No</t>
        </is>
      </c>
      <c r="B623" t="inlineStr">
        <is>
          <t>HN90.S6 B45 1987</t>
        </is>
      </c>
      <c r="C623" t="inlineStr">
        <is>
          <t>0                      HN 0090000S  6                  B  45          1987</t>
        </is>
      </c>
      <c r="D623" t="inlineStr">
        <is>
          <t>American society : the welfare state &amp; beyond / Joseph Bensman &amp; Arthur J. Vidich.</t>
        </is>
      </c>
      <c r="F623" t="inlineStr">
        <is>
          <t>No</t>
        </is>
      </c>
      <c r="G623" t="inlineStr">
        <is>
          <t>1</t>
        </is>
      </c>
      <c r="H623" t="inlineStr">
        <is>
          <t>No</t>
        </is>
      </c>
      <c r="I623" t="inlineStr">
        <is>
          <t>No</t>
        </is>
      </c>
      <c r="J623" t="inlineStr">
        <is>
          <t>0</t>
        </is>
      </c>
      <c r="K623" t="inlineStr">
        <is>
          <t>Bensman, Joseph.</t>
        </is>
      </c>
      <c r="L623" t="inlineStr">
        <is>
          <t>South Hadley, Mass. : Bergin &amp; Garvey Publishers, 1987.</t>
        </is>
      </c>
      <c r="M623" t="inlineStr">
        <is>
          <t>1986</t>
        </is>
      </c>
      <c r="N623" t="inlineStr">
        <is>
          <t>Rev.</t>
        </is>
      </c>
      <c r="O623" t="inlineStr">
        <is>
          <t>eng</t>
        </is>
      </c>
      <c r="P623" t="inlineStr">
        <is>
          <t>mau</t>
        </is>
      </c>
      <c r="R623" t="inlineStr">
        <is>
          <t xml:space="preserve">HN </t>
        </is>
      </c>
      <c r="S623" t="n">
        <v>2</v>
      </c>
      <c r="T623" t="n">
        <v>2</v>
      </c>
      <c r="U623" t="inlineStr">
        <is>
          <t>1995-10-30</t>
        </is>
      </c>
      <c r="V623" t="inlineStr">
        <is>
          <t>1995-10-30</t>
        </is>
      </c>
      <c r="W623" t="inlineStr">
        <is>
          <t>1992-06-05</t>
        </is>
      </c>
      <c r="X623" t="inlineStr">
        <is>
          <t>1992-06-05</t>
        </is>
      </c>
      <c r="Y623" t="n">
        <v>242</v>
      </c>
      <c r="Z623" t="n">
        <v>210</v>
      </c>
      <c r="AA623" t="n">
        <v>215</v>
      </c>
      <c r="AB623" t="n">
        <v>2</v>
      </c>
      <c r="AC623" t="n">
        <v>2</v>
      </c>
      <c r="AD623" t="n">
        <v>12</v>
      </c>
      <c r="AE623" t="n">
        <v>12</v>
      </c>
      <c r="AF623" t="n">
        <v>3</v>
      </c>
      <c r="AG623" t="n">
        <v>3</v>
      </c>
      <c r="AH623" t="n">
        <v>5</v>
      </c>
      <c r="AI623" t="n">
        <v>5</v>
      </c>
      <c r="AJ623" t="n">
        <v>5</v>
      </c>
      <c r="AK623" t="n">
        <v>5</v>
      </c>
      <c r="AL623" t="n">
        <v>1</v>
      </c>
      <c r="AM623" t="n">
        <v>1</v>
      </c>
      <c r="AN623" t="n">
        <v>0</v>
      </c>
      <c r="AO623" t="n">
        <v>0</v>
      </c>
      <c r="AP623" t="inlineStr">
        <is>
          <t>No</t>
        </is>
      </c>
      <c r="AQ623" t="inlineStr">
        <is>
          <t>Yes</t>
        </is>
      </c>
      <c r="AR623">
        <f>HYPERLINK("http://catalog.hathitrust.org/Record/000806076","HathiTrust Record")</f>
        <v/>
      </c>
      <c r="AS623">
        <f>HYPERLINK("https://creighton-primo.hosted.exlibrisgroup.com/primo-explore/search?tab=default_tab&amp;search_scope=EVERYTHING&amp;vid=01CRU&amp;lang=en_US&amp;offset=0&amp;query=any,contains,991000877109702656","Catalog Record")</f>
        <v/>
      </c>
      <c r="AT623">
        <f>HYPERLINK("http://www.worldcat.org/oclc/13820818","WorldCat Record")</f>
        <v/>
      </c>
      <c r="AU623" t="inlineStr">
        <is>
          <t>7262419:eng</t>
        </is>
      </c>
      <c r="AV623" t="inlineStr">
        <is>
          <t>13820818</t>
        </is>
      </c>
      <c r="AW623" t="inlineStr">
        <is>
          <t>991000877109702656</t>
        </is>
      </c>
      <c r="AX623" t="inlineStr">
        <is>
          <t>991000877109702656</t>
        </is>
      </c>
      <c r="AY623" t="inlineStr">
        <is>
          <t>2268248290002656</t>
        </is>
      </c>
      <c r="AZ623" t="inlineStr">
        <is>
          <t>BOOK</t>
        </is>
      </c>
      <c r="BB623" t="inlineStr">
        <is>
          <t>9780897891097</t>
        </is>
      </c>
      <c r="BC623" t="inlineStr">
        <is>
          <t>32285001130680</t>
        </is>
      </c>
      <c r="BD623" t="inlineStr">
        <is>
          <t>893249768</t>
        </is>
      </c>
    </row>
    <row r="624">
      <c r="A624" t="inlineStr">
        <is>
          <t>No</t>
        </is>
      </c>
      <c r="B624" t="inlineStr">
        <is>
          <t>HN90.S6 B76</t>
        </is>
      </c>
      <c r="C624" t="inlineStr">
        <is>
          <t>0                      HN 0090000S  6                  B  76</t>
        </is>
      </c>
      <c r="D624" t="inlineStr">
        <is>
          <t>Showing off in America : from conspicuous consumption to parody display / by John Brooks.</t>
        </is>
      </c>
      <c r="F624" t="inlineStr">
        <is>
          <t>No</t>
        </is>
      </c>
      <c r="G624" t="inlineStr">
        <is>
          <t>1</t>
        </is>
      </c>
      <c r="H624" t="inlineStr">
        <is>
          <t>No</t>
        </is>
      </c>
      <c r="I624" t="inlineStr">
        <is>
          <t>No</t>
        </is>
      </c>
      <c r="J624" t="inlineStr">
        <is>
          <t>0</t>
        </is>
      </c>
      <c r="K624" t="inlineStr">
        <is>
          <t>Brooks, John, 1920-1993.</t>
        </is>
      </c>
      <c r="L624" t="inlineStr">
        <is>
          <t>Boston : Little, Brown, c1981.</t>
        </is>
      </c>
      <c r="M624" t="inlineStr">
        <is>
          <t>1981</t>
        </is>
      </c>
      <c r="N624" t="inlineStr">
        <is>
          <t>1st ed.</t>
        </is>
      </c>
      <c r="O624" t="inlineStr">
        <is>
          <t>eng</t>
        </is>
      </c>
      <c r="P624" t="inlineStr">
        <is>
          <t>mau</t>
        </is>
      </c>
      <c r="R624" t="inlineStr">
        <is>
          <t xml:space="preserve">HN </t>
        </is>
      </c>
      <c r="S624" t="n">
        <v>8</v>
      </c>
      <c r="T624" t="n">
        <v>8</v>
      </c>
      <c r="U624" t="inlineStr">
        <is>
          <t>2003-11-25</t>
        </is>
      </c>
      <c r="V624" t="inlineStr">
        <is>
          <t>2003-11-25</t>
        </is>
      </c>
      <c r="W624" t="inlineStr">
        <is>
          <t>1990-04-03</t>
        </is>
      </c>
      <c r="X624" t="inlineStr">
        <is>
          <t>1990-04-03</t>
        </is>
      </c>
      <c r="Y624" t="n">
        <v>712</v>
      </c>
      <c r="Z624" t="n">
        <v>655</v>
      </c>
      <c r="AA624" t="n">
        <v>662</v>
      </c>
      <c r="AB624" t="n">
        <v>4</v>
      </c>
      <c r="AC624" t="n">
        <v>4</v>
      </c>
      <c r="AD624" t="n">
        <v>20</v>
      </c>
      <c r="AE624" t="n">
        <v>20</v>
      </c>
      <c r="AF624" t="n">
        <v>10</v>
      </c>
      <c r="AG624" t="n">
        <v>10</v>
      </c>
      <c r="AH624" t="n">
        <v>2</v>
      </c>
      <c r="AI624" t="n">
        <v>2</v>
      </c>
      <c r="AJ624" t="n">
        <v>12</v>
      </c>
      <c r="AK624" t="n">
        <v>12</v>
      </c>
      <c r="AL624" t="n">
        <v>3</v>
      </c>
      <c r="AM624" t="n">
        <v>3</v>
      </c>
      <c r="AN624" t="n">
        <v>0</v>
      </c>
      <c r="AO624" t="n">
        <v>0</v>
      </c>
      <c r="AP624" t="inlineStr">
        <is>
          <t>No</t>
        </is>
      </c>
      <c r="AQ624" t="inlineStr">
        <is>
          <t>No</t>
        </is>
      </c>
      <c r="AS624">
        <f>HYPERLINK("https://creighton-primo.hosted.exlibrisgroup.com/primo-explore/search?tab=default_tab&amp;search_scope=EVERYTHING&amp;vid=01CRU&amp;lang=en_US&amp;offset=0&amp;query=any,contains,991005097449702656","Catalog Record")</f>
        <v/>
      </c>
      <c r="AT624">
        <f>HYPERLINK("http://www.worldcat.org/oclc/7276186","WorldCat Record")</f>
        <v/>
      </c>
      <c r="AU624" t="inlineStr">
        <is>
          <t>503087322:eng</t>
        </is>
      </c>
      <c r="AV624" t="inlineStr">
        <is>
          <t>7276186</t>
        </is>
      </c>
      <c r="AW624" t="inlineStr">
        <is>
          <t>991005097449702656</t>
        </is>
      </c>
      <c r="AX624" t="inlineStr">
        <is>
          <t>991005097449702656</t>
        </is>
      </c>
      <c r="AY624" t="inlineStr">
        <is>
          <t>2259946220002656</t>
        </is>
      </c>
      <c r="AZ624" t="inlineStr">
        <is>
          <t>BOOK</t>
        </is>
      </c>
      <c r="BB624" t="inlineStr">
        <is>
          <t>9780316109673</t>
        </is>
      </c>
      <c r="BC624" t="inlineStr">
        <is>
          <t>32285000108208</t>
        </is>
      </c>
      <c r="BD624" t="inlineStr">
        <is>
          <t>893722756</t>
        </is>
      </c>
    </row>
    <row r="625">
      <c r="A625" t="inlineStr">
        <is>
          <t>No</t>
        </is>
      </c>
      <c r="B625" t="inlineStr">
        <is>
          <t>HN90.S6 C563 2004</t>
        </is>
      </c>
      <c r="C625" t="inlineStr">
        <is>
          <t>0                      HN 0090000S  6                  C  563         2004</t>
        </is>
      </c>
      <c r="D625" t="inlineStr">
        <is>
          <t>Class and news / edited by Don Heider.</t>
        </is>
      </c>
      <c r="F625" t="inlineStr">
        <is>
          <t>No</t>
        </is>
      </c>
      <c r="G625" t="inlineStr">
        <is>
          <t>1</t>
        </is>
      </c>
      <c r="H625" t="inlineStr">
        <is>
          <t>No</t>
        </is>
      </c>
      <c r="I625" t="inlineStr">
        <is>
          <t>No</t>
        </is>
      </c>
      <c r="J625" t="inlineStr">
        <is>
          <t>0</t>
        </is>
      </c>
      <c r="L625" t="inlineStr">
        <is>
          <t>New York : Rowman &amp; Littlefield, c2004.</t>
        </is>
      </c>
      <c r="M625" t="inlineStr">
        <is>
          <t>2004</t>
        </is>
      </c>
      <c r="O625" t="inlineStr">
        <is>
          <t>eng</t>
        </is>
      </c>
      <c r="P625" t="inlineStr">
        <is>
          <t>nyu</t>
        </is>
      </c>
      <c r="R625" t="inlineStr">
        <is>
          <t xml:space="preserve">HN </t>
        </is>
      </c>
      <c r="S625" t="n">
        <v>1</v>
      </c>
      <c r="T625" t="n">
        <v>1</v>
      </c>
      <c r="U625" t="inlineStr">
        <is>
          <t>2005-03-29</t>
        </is>
      </c>
      <c r="V625" t="inlineStr">
        <is>
          <t>2005-03-29</t>
        </is>
      </c>
      <c r="W625" t="inlineStr">
        <is>
          <t>2005-03-29</t>
        </is>
      </c>
      <c r="X625" t="inlineStr">
        <is>
          <t>2005-03-29</t>
        </is>
      </c>
      <c r="Y625" t="n">
        <v>603</v>
      </c>
      <c r="Z625" t="n">
        <v>523</v>
      </c>
      <c r="AA625" t="n">
        <v>528</v>
      </c>
      <c r="AB625" t="n">
        <v>6</v>
      </c>
      <c r="AC625" t="n">
        <v>6</v>
      </c>
      <c r="AD625" t="n">
        <v>32</v>
      </c>
      <c r="AE625" t="n">
        <v>32</v>
      </c>
      <c r="AF625" t="n">
        <v>14</v>
      </c>
      <c r="AG625" t="n">
        <v>14</v>
      </c>
      <c r="AH625" t="n">
        <v>8</v>
      </c>
      <c r="AI625" t="n">
        <v>8</v>
      </c>
      <c r="AJ625" t="n">
        <v>13</v>
      </c>
      <c r="AK625" t="n">
        <v>13</v>
      </c>
      <c r="AL625" t="n">
        <v>5</v>
      </c>
      <c r="AM625" t="n">
        <v>5</v>
      </c>
      <c r="AN625" t="n">
        <v>0</v>
      </c>
      <c r="AO625" t="n">
        <v>0</v>
      </c>
      <c r="AP625" t="inlineStr">
        <is>
          <t>No</t>
        </is>
      </c>
      <c r="AQ625" t="inlineStr">
        <is>
          <t>Yes</t>
        </is>
      </c>
      <c r="AR625">
        <f>HYPERLINK("http://catalog.hathitrust.org/Record/004722973","HathiTrust Record")</f>
        <v/>
      </c>
      <c r="AS625">
        <f>HYPERLINK("https://creighton-primo.hosted.exlibrisgroup.com/primo-explore/search?tab=default_tab&amp;search_scope=EVERYTHING&amp;vid=01CRU&amp;lang=en_US&amp;offset=0&amp;query=any,contains,991004463959702656","Catalog Record")</f>
        <v/>
      </c>
      <c r="AT625">
        <f>HYPERLINK("http://www.worldcat.org/oclc/54024021","WorldCat Record")</f>
        <v/>
      </c>
      <c r="AU625" t="inlineStr">
        <is>
          <t>1071065:eng</t>
        </is>
      </c>
      <c r="AV625" t="inlineStr">
        <is>
          <t>54024021</t>
        </is>
      </c>
      <c r="AW625" t="inlineStr">
        <is>
          <t>991004463959702656</t>
        </is>
      </c>
      <c r="AX625" t="inlineStr">
        <is>
          <t>991004463959702656</t>
        </is>
      </c>
      <c r="AY625" t="inlineStr">
        <is>
          <t>2269032630002656</t>
        </is>
      </c>
      <c r="AZ625" t="inlineStr">
        <is>
          <t>BOOK</t>
        </is>
      </c>
      <c r="BB625" t="inlineStr">
        <is>
          <t>9780742527126</t>
        </is>
      </c>
      <c r="BC625" t="inlineStr">
        <is>
          <t>32285005044887</t>
        </is>
      </c>
      <c r="BD625" t="inlineStr">
        <is>
          <t>893430088</t>
        </is>
      </c>
    </row>
    <row r="626">
      <c r="A626" t="inlineStr">
        <is>
          <t>No</t>
        </is>
      </c>
      <c r="B626" t="inlineStr">
        <is>
          <t>HN90.S6 C565 2005</t>
        </is>
      </c>
      <c r="C626" t="inlineStr">
        <is>
          <t>0                      HN 0090000S  6                  C  565         2005</t>
        </is>
      </c>
      <c r="D626" t="inlineStr">
        <is>
          <t>Class matters / correspondents of the New York times ; introduction by Bill Keller.</t>
        </is>
      </c>
      <c r="F626" t="inlineStr">
        <is>
          <t>No</t>
        </is>
      </c>
      <c r="G626" t="inlineStr">
        <is>
          <t>1</t>
        </is>
      </c>
      <c r="H626" t="inlineStr">
        <is>
          <t>No</t>
        </is>
      </c>
      <c r="I626" t="inlineStr">
        <is>
          <t>No</t>
        </is>
      </c>
      <c r="J626" t="inlineStr">
        <is>
          <t>0</t>
        </is>
      </c>
      <c r="L626" t="inlineStr">
        <is>
          <t>New York : Times Books, c2005.</t>
        </is>
      </c>
      <c r="M626" t="inlineStr">
        <is>
          <t>2005</t>
        </is>
      </c>
      <c r="N626" t="inlineStr">
        <is>
          <t>1st ed.</t>
        </is>
      </c>
      <c r="O626" t="inlineStr">
        <is>
          <t>eng</t>
        </is>
      </c>
      <c r="P626" t="inlineStr">
        <is>
          <t>nyu</t>
        </is>
      </c>
      <c r="R626" t="inlineStr">
        <is>
          <t xml:space="preserve">HN </t>
        </is>
      </c>
      <c r="S626" t="n">
        <v>4</v>
      </c>
      <c r="T626" t="n">
        <v>4</v>
      </c>
      <c r="U626" t="inlineStr">
        <is>
          <t>2010-11-30</t>
        </is>
      </c>
      <c r="V626" t="inlineStr">
        <is>
          <t>2010-11-30</t>
        </is>
      </c>
      <c r="W626" t="inlineStr">
        <is>
          <t>2005-10-18</t>
        </is>
      </c>
      <c r="X626" t="inlineStr">
        <is>
          <t>2005-10-18</t>
        </is>
      </c>
      <c r="Y626" t="n">
        <v>1245</v>
      </c>
      <c r="Z626" t="n">
        <v>1194</v>
      </c>
      <c r="AA626" t="n">
        <v>1202</v>
      </c>
      <c r="AB626" t="n">
        <v>7</v>
      </c>
      <c r="AC626" t="n">
        <v>7</v>
      </c>
      <c r="AD626" t="n">
        <v>41</v>
      </c>
      <c r="AE626" t="n">
        <v>41</v>
      </c>
      <c r="AF626" t="n">
        <v>18</v>
      </c>
      <c r="AG626" t="n">
        <v>18</v>
      </c>
      <c r="AH626" t="n">
        <v>8</v>
      </c>
      <c r="AI626" t="n">
        <v>8</v>
      </c>
      <c r="AJ626" t="n">
        <v>20</v>
      </c>
      <c r="AK626" t="n">
        <v>20</v>
      </c>
      <c r="AL626" t="n">
        <v>6</v>
      </c>
      <c r="AM626" t="n">
        <v>6</v>
      </c>
      <c r="AN626" t="n">
        <v>1</v>
      </c>
      <c r="AO626" t="n">
        <v>1</v>
      </c>
      <c r="AP626" t="inlineStr">
        <is>
          <t>No</t>
        </is>
      </c>
      <c r="AQ626" t="inlineStr">
        <is>
          <t>No</t>
        </is>
      </c>
      <c r="AS626">
        <f>HYPERLINK("https://creighton-primo.hosted.exlibrisgroup.com/primo-explore/search?tab=default_tab&amp;search_scope=EVERYTHING&amp;vid=01CRU&amp;lang=en_US&amp;offset=0&amp;query=any,contains,991004662509702656","Catalog Record")</f>
        <v/>
      </c>
      <c r="AT626">
        <f>HYPERLINK("http://www.worldcat.org/oclc/60835615","WorldCat Record")</f>
        <v/>
      </c>
      <c r="AU626" t="inlineStr">
        <is>
          <t>354979932:eng</t>
        </is>
      </c>
      <c r="AV626" t="inlineStr">
        <is>
          <t>60835615</t>
        </is>
      </c>
      <c r="AW626" t="inlineStr">
        <is>
          <t>991004662509702656</t>
        </is>
      </c>
      <c r="AX626" t="inlineStr">
        <is>
          <t>991004662509702656</t>
        </is>
      </c>
      <c r="AY626" t="inlineStr">
        <is>
          <t>2265616300002656</t>
        </is>
      </c>
      <c r="AZ626" t="inlineStr">
        <is>
          <t>BOOK</t>
        </is>
      </c>
      <c r="BB626" t="inlineStr">
        <is>
          <t>9780805080551</t>
        </is>
      </c>
      <c r="BC626" t="inlineStr">
        <is>
          <t>32285005089973</t>
        </is>
      </c>
      <c r="BD626" t="inlineStr">
        <is>
          <t>893319497</t>
        </is>
      </c>
    </row>
    <row r="627">
      <c r="A627" t="inlineStr">
        <is>
          <t>No</t>
        </is>
      </c>
      <c r="B627" t="inlineStr">
        <is>
          <t>HN90.S6 C64</t>
        </is>
      </c>
      <c r="C627" t="inlineStr">
        <is>
          <t>0                      HN 0090000S  6                  C  64</t>
        </is>
      </c>
      <c r="D627" t="inlineStr">
        <is>
          <t>Social standing in America : new dimensions of class / Richard P. Coleman and Lee Rainwater with Kent A. McClelland.</t>
        </is>
      </c>
      <c r="F627" t="inlineStr">
        <is>
          <t>No</t>
        </is>
      </c>
      <c r="G627" t="inlineStr">
        <is>
          <t>1</t>
        </is>
      </c>
      <c r="H627" t="inlineStr">
        <is>
          <t>No</t>
        </is>
      </c>
      <c r="I627" t="inlineStr">
        <is>
          <t>No</t>
        </is>
      </c>
      <c r="J627" t="inlineStr">
        <is>
          <t>0</t>
        </is>
      </c>
      <c r="K627" t="inlineStr">
        <is>
          <t>Coleman, Richard Patrick.</t>
        </is>
      </c>
      <c r="L627" t="inlineStr">
        <is>
          <t>New York : Basic Books, c1978.</t>
        </is>
      </c>
      <c r="M627" t="inlineStr">
        <is>
          <t>1978</t>
        </is>
      </c>
      <c r="O627" t="inlineStr">
        <is>
          <t>eng</t>
        </is>
      </c>
      <c r="P627" t="inlineStr">
        <is>
          <t>nyu</t>
        </is>
      </c>
      <c r="R627" t="inlineStr">
        <is>
          <t xml:space="preserve">HN </t>
        </is>
      </c>
      <c r="S627" t="n">
        <v>7</v>
      </c>
      <c r="T627" t="n">
        <v>7</v>
      </c>
      <c r="U627" t="inlineStr">
        <is>
          <t>2003-11-25</t>
        </is>
      </c>
      <c r="V627" t="inlineStr">
        <is>
          <t>2003-11-25</t>
        </is>
      </c>
      <c r="W627" t="inlineStr">
        <is>
          <t>1992-10-05</t>
        </is>
      </c>
      <c r="X627" t="inlineStr">
        <is>
          <t>1992-10-05</t>
        </is>
      </c>
      <c r="Y627" t="n">
        <v>923</v>
      </c>
      <c r="Z627" t="n">
        <v>826</v>
      </c>
      <c r="AA627" t="n">
        <v>836</v>
      </c>
      <c r="AB627" t="n">
        <v>7</v>
      </c>
      <c r="AC627" t="n">
        <v>7</v>
      </c>
      <c r="AD627" t="n">
        <v>32</v>
      </c>
      <c r="AE627" t="n">
        <v>32</v>
      </c>
      <c r="AF627" t="n">
        <v>12</v>
      </c>
      <c r="AG627" t="n">
        <v>12</v>
      </c>
      <c r="AH627" t="n">
        <v>8</v>
      </c>
      <c r="AI627" t="n">
        <v>8</v>
      </c>
      <c r="AJ627" t="n">
        <v>17</v>
      </c>
      <c r="AK627" t="n">
        <v>17</v>
      </c>
      <c r="AL627" t="n">
        <v>5</v>
      </c>
      <c r="AM627" t="n">
        <v>5</v>
      </c>
      <c r="AN627" t="n">
        <v>0</v>
      </c>
      <c r="AO627" t="n">
        <v>0</v>
      </c>
      <c r="AP627" t="inlineStr">
        <is>
          <t>No</t>
        </is>
      </c>
      <c r="AQ627" t="inlineStr">
        <is>
          <t>Yes</t>
        </is>
      </c>
      <c r="AR627">
        <f>HYPERLINK("http://catalog.hathitrust.org/Record/000176972","HathiTrust Record")</f>
        <v/>
      </c>
      <c r="AS627">
        <f>HYPERLINK("https://creighton-primo.hosted.exlibrisgroup.com/primo-explore/search?tab=default_tab&amp;search_scope=EVERYTHING&amp;vid=01CRU&amp;lang=en_US&amp;offset=0&amp;query=any,contains,991004568719702656","Catalog Record")</f>
        <v/>
      </c>
      <c r="AT627">
        <f>HYPERLINK("http://www.worldcat.org/oclc/4006032","WorldCat Record")</f>
        <v/>
      </c>
      <c r="AU627" t="inlineStr">
        <is>
          <t>198597623:eng</t>
        </is>
      </c>
      <c r="AV627" t="inlineStr">
        <is>
          <t>4006032</t>
        </is>
      </c>
      <c r="AW627" t="inlineStr">
        <is>
          <t>991004568719702656</t>
        </is>
      </c>
      <c r="AX627" t="inlineStr">
        <is>
          <t>991004568719702656</t>
        </is>
      </c>
      <c r="AY627" t="inlineStr">
        <is>
          <t>2266354970002656</t>
        </is>
      </c>
      <c r="AZ627" t="inlineStr">
        <is>
          <t>BOOK</t>
        </is>
      </c>
      <c r="BB627" t="inlineStr">
        <is>
          <t>9780465079285</t>
        </is>
      </c>
      <c r="BC627" t="inlineStr">
        <is>
          <t>32285001356251</t>
        </is>
      </c>
      <c r="BD627" t="inlineStr">
        <is>
          <t>893719092</t>
        </is>
      </c>
    </row>
    <row r="628">
      <c r="A628" t="inlineStr">
        <is>
          <t>No</t>
        </is>
      </c>
      <c r="B628" t="inlineStr">
        <is>
          <t>HN90.S6 D38 1995</t>
        </is>
      </c>
      <c r="C628" t="inlineStr">
        <is>
          <t>0                      HN 0090000S  6                  D  38          1995</t>
        </is>
      </c>
      <c r="D628" t="inlineStr">
        <is>
          <t>The new social contract : America's journey from welfare state to police state / Joseph Dillon Davey.</t>
        </is>
      </c>
      <c r="F628" t="inlineStr">
        <is>
          <t>No</t>
        </is>
      </c>
      <c r="G628" t="inlineStr">
        <is>
          <t>1</t>
        </is>
      </c>
      <c r="H628" t="inlineStr">
        <is>
          <t>No</t>
        </is>
      </c>
      <c r="I628" t="inlineStr">
        <is>
          <t>No</t>
        </is>
      </c>
      <c r="J628" t="inlineStr">
        <is>
          <t>0</t>
        </is>
      </c>
      <c r="K628" t="inlineStr">
        <is>
          <t>Davey, Joseph Dillon.</t>
        </is>
      </c>
      <c r="L628" t="inlineStr">
        <is>
          <t>Westport, Conn. : Praeger, 1995.</t>
        </is>
      </c>
      <c r="M628" t="inlineStr">
        <is>
          <t>1995</t>
        </is>
      </c>
      <c r="O628" t="inlineStr">
        <is>
          <t>eng</t>
        </is>
      </c>
      <c r="P628" t="inlineStr">
        <is>
          <t>ctu</t>
        </is>
      </c>
      <c r="R628" t="inlineStr">
        <is>
          <t xml:space="preserve">HN </t>
        </is>
      </c>
      <c r="S628" t="n">
        <v>3</v>
      </c>
      <c r="T628" t="n">
        <v>3</v>
      </c>
      <c r="U628" t="inlineStr">
        <is>
          <t>2008-03-25</t>
        </is>
      </c>
      <c r="V628" t="inlineStr">
        <is>
          <t>2008-03-25</t>
        </is>
      </c>
      <c r="W628" t="inlineStr">
        <is>
          <t>1996-01-17</t>
        </is>
      </c>
      <c r="X628" t="inlineStr">
        <is>
          <t>1996-01-17</t>
        </is>
      </c>
      <c r="Y628" t="n">
        <v>398</v>
      </c>
      <c r="Z628" t="n">
        <v>335</v>
      </c>
      <c r="AA628" t="n">
        <v>690</v>
      </c>
      <c r="AB628" t="n">
        <v>5</v>
      </c>
      <c r="AC628" t="n">
        <v>7</v>
      </c>
      <c r="AD628" t="n">
        <v>19</v>
      </c>
      <c r="AE628" t="n">
        <v>26</v>
      </c>
      <c r="AF628" t="n">
        <v>7</v>
      </c>
      <c r="AG628" t="n">
        <v>11</v>
      </c>
      <c r="AH628" t="n">
        <v>3</v>
      </c>
      <c r="AI628" t="n">
        <v>4</v>
      </c>
      <c r="AJ628" t="n">
        <v>9</v>
      </c>
      <c r="AK628" t="n">
        <v>11</v>
      </c>
      <c r="AL628" t="n">
        <v>4</v>
      </c>
      <c r="AM628" t="n">
        <v>6</v>
      </c>
      <c r="AN628" t="n">
        <v>1</v>
      </c>
      <c r="AO628" t="n">
        <v>1</v>
      </c>
      <c r="AP628" t="inlineStr">
        <is>
          <t>No</t>
        </is>
      </c>
      <c r="AQ628" t="inlineStr">
        <is>
          <t>No</t>
        </is>
      </c>
      <c r="AS628">
        <f>HYPERLINK("https://creighton-primo.hosted.exlibrisgroup.com/primo-explore/search?tab=default_tab&amp;search_scope=EVERYTHING&amp;vid=01CRU&amp;lang=en_US&amp;offset=0&amp;query=any,contains,991002452159702656","Catalog Record")</f>
        <v/>
      </c>
      <c r="AT628">
        <f>HYPERLINK("http://www.worldcat.org/oclc/31971114","WorldCat Record")</f>
        <v/>
      </c>
      <c r="AU628" t="inlineStr">
        <is>
          <t>797263190:eng</t>
        </is>
      </c>
      <c r="AV628" t="inlineStr">
        <is>
          <t>31971114</t>
        </is>
      </c>
      <c r="AW628" t="inlineStr">
        <is>
          <t>991002452159702656</t>
        </is>
      </c>
      <c r="AX628" t="inlineStr">
        <is>
          <t>991002452159702656</t>
        </is>
      </c>
      <c r="AY628" t="inlineStr">
        <is>
          <t>2267578160002656</t>
        </is>
      </c>
      <c r="AZ628" t="inlineStr">
        <is>
          <t>BOOK</t>
        </is>
      </c>
      <c r="BB628" t="inlineStr">
        <is>
          <t>9780275951238</t>
        </is>
      </c>
      <c r="BC628" t="inlineStr">
        <is>
          <t>32285002117884</t>
        </is>
      </c>
      <c r="BD628" t="inlineStr">
        <is>
          <t>893804626</t>
        </is>
      </c>
    </row>
    <row r="629">
      <c r="A629" t="inlineStr">
        <is>
          <t>No</t>
        </is>
      </c>
      <c r="B629" t="inlineStr">
        <is>
          <t>HN90.S6 D64 2006</t>
        </is>
      </c>
      <c r="C629" t="inlineStr">
        <is>
          <t>0                      HN 0090000S  6                  D  64          2006</t>
        </is>
      </c>
      <c r="D629" t="inlineStr">
        <is>
          <t>Does equality exist in America? / Stuart A. Kallen, book editor.</t>
        </is>
      </c>
      <c r="F629" t="inlineStr">
        <is>
          <t>No</t>
        </is>
      </c>
      <c r="G629" t="inlineStr">
        <is>
          <t>1</t>
        </is>
      </c>
      <c r="H629" t="inlineStr">
        <is>
          <t>No</t>
        </is>
      </c>
      <c r="I629" t="inlineStr">
        <is>
          <t>No</t>
        </is>
      </c>
      <c r="J629" t="inlineStr">
        <is>
          <t>0</t>
        </is>
      </c>
      <c r="L629" t="inlineStr">
        <is>
          <t>Farmington Hills, MI : Greenhaven Press/Thomson Gale, c2006.</t>
        </is>
      </c>
      <c r="M629" t="inlineStr">
        <is>
          <t>2006</t>
        </is>
      </c>
      <c r="O629" t="inlineStr">
        <is>
          <t>eng</t>
        </is>
      </c>
      <c r="P629" t="inlineStr">
        <is>
          <t>miu</t>
        </is>
      </c>
      <c r="Q629" t="inlineStr">
        <is>
          <t>At issue</t>
        </is>
      </c>
      <c r="R629" t="inlineStr">
        <is>
          <t xml:space="preserve">HN </t>
        </is>
      </c>
      <c r="S629" t="n">
        <v>3</v>
      </c>
      <c r="T629" t="n">
        <v>3</v>
      </c>
      <c r="U629" t="inlineStr">
        <is>
          <t>2008-11-21</t>
        </is>
      </c>
      <c r="V629" t="inlineStr">
        <is>
          <t>2008-11-21</t>
        </is>
      </c>
      <c r="W629" t="inlineStr">
        <is>
          <t>2008-02-05</t>
        </is>
      </c>
      <c r="X629" t="inlineStr">
        <is>
          <t>2008-02-05</t>
        </is>
      </c>
      <c r="Y629" t="n">
        <v>297</v>
      </c>
      <c r="Z629" t="n">
        <v>294</v>
      </c>
      <c r="AA629" t="n">
        <v>554</v>
      </c>
      <c r="AB629" t="n">
        <v>5</v>
      </c>
      <c r="AC629" t="n">
        <v>7</v>
      </c>
      <c r="AD629" t="n">
        <v>6</v>
      </c>
      <c r="AE629" t="n">
        <v>16</v>
      </c>
      <c r="AF629" t="n">
        <v>1</v>
      </c>
      <c r="AG629" t="n">
        <v>6</v>
      </c>
      <c r="AH629" t="n">
        <v>1</v>
      </c>
      <c r="AI629" t="n">
        <v>3</v>
      </c>
      <c r="AJ629" t="n">
        <v>1</v>
      </c>
      <c r="AK629" t="n">
        <v>3</v>
      </c>
      <c r="AL629" t="n">
        <v>4</v>
      </c>
      <c r="AM629" t="n">
        <v>6</v>
      </c>
      <c r="AN629" t="n">
        <v>0</v>
      </c>
      <c r="AO629" t="n">
        <v>0</v>
      </c>
      <c r="AP629" t="inlineStr">
        <is>
          <t>No</t>
        </is>
      </c>
      <c r="AQ629" t="inlineStr">
        <is>
          <t>No</t>
        </is>
      </c>
      <c r="AS629">
        <f>HYPERLINK("https://creighton-primo.hosted.exlibrisgroup.com/primo-explore/search?tab=default_tab&amp;search_scope=EVERYTHING&amp;vid=01CRU&amp;lang=en_US&amp;offset=0&amp;query=any,contains,991005174069702656","Catalog Record")</f>
        <v/>
      </c>
      <c r="AT629">
        <f>HYPERLINK("http://www.worldcat.org/oclc/65065154","WorldCat Record")</f>
        <v/>
      </c>
      <c r="AU629" t="inlineStr">
        <is>
          <t>48934698:eng</t>
        </is>
      </c>
      <c r="AV629" t="inlineStr">
        <is>
          <t>65065154</t>
        </is>
      </c>
      <c r="AW629" t="inlineStr">
        <is>
          <t>991005174069702656</t>
        </is>
      </c>
      <c r="AX629" t="inlineStr">
        <is>
          <t>991005174069702656</t>
        </is>
      </c>
      <c r="AY629" t="inlineStr">
        <is>
          <t>2270728340002656</t>
        </is>
      </c>
      <c r="AZ629" t="inlineStr">
        <is>
          <t>BOOK</t>
        </is>
      </c>
      <c r="BB629" t="inlineStr">
        <is>
          <t>9780737734331</t>
        </is>
      </c>
      <c r="BC629" t="inlineStr">
        <is>
          <t>32285005392559</t>
        </is>
      </c>
      <c r="BD629" t="inlineStr">
        <is>
          <t>893606955</t>
        </is>
      </c>
    </row>
    <row r="630">
      <c r="A630" t="inlineStr">
        <is>
          <t>No</t>
        </is>
      </c>
      <c r="B630" t="inlineStr">
        <is>
          <t>HN90.S6 K56 2000</t>
        </is>
      </c>
      <c r="C630" t="inlineStr">
        <is>
          <t>0                      HN 0090000S  6                  K  56          2000</t>
        </is>
      </c>
      <c r="D630" t="inlineStr">
        <is>
          <t>The classless society / Paul W. Kingston.</t>
        </is>
      </c>
      <c r="F630" t="inlineStr">
        <is>
          <t>No</t>
        </is>
      </c>
      <c r="G630" t="inlineStr">
        <is>
          <t>1</t>
        </is>
      </c>
      <c r="H630" t="inlineStr">
        <is>
          <t>No</t>
        </is>
      </c>
      <c r="I630" t="inlineStr">
        <is>
          <t>No</t>
        </is>
      </c>
      <c r="J630" t="inlineStr">
        <is>
          <t>0</t>
        </is>
      </c>
      <c r="K630" t="inlineStr">
        <is>
          <t>Kingston, Paul W., 1951-</t>
        </is>
      </c>
      <c r="L630" t="inlineStr">
        <is>
          <t>Stanford, Calif. : Stanford University Press, 2000.</t>
        </is>
      </c>
      <c r="M630" t="inlineStr">
        <is>
          <t>2000</t>
        </is>
      </c>
      <c r="O630" t="inlineStr">
        <is>
          <t>eng</t>
        </is>
      </c>
      <c r="P630" t="inlineStr">
        <is>
          <t>cau</t>
        </is>
      </c>
      <c r="Q630" t="inlineStr">
        <is>
          <t>Studies in social inequality</t>
        </is>
      </c>
      <c r="R630" t="inlineStr">
        <is>
          <t xml:space="preserve">HN </t>
        </is>
      </c>
      <c r="S630" t="n">
        <v>2</v>
      </c>
      <c r="T630" t="n">
        <v>2</v>
      </c>
      <c r="U630" t="inlineStr">
        <is>
          <t>2010-11-30</t>
        </is>
      </c>
      <c r="V630" t="inlineStr">
        <is>
          <t>2010-11-30</t>
        </is>
      </c>
      <c r="W630" t="inlineStr">
        <is>
          <t>2001-10-30</t>
        </is>
      </c>
      <c r="X630" t="inlineStr">
        <is>
          <t>2001-10-30</t>
        </is>
      </c>
      <c r="Y630" t="n">
        <v>482</v>
      </c>
      <c r="Z630" t="n">
        <v>400</v>
      </c>
      <c r="AA630" t="n">
        <v>401</v>
      </c>
      <c r="AB630" t="n">
        <v>3</v>
      </c>
      <c r="AC630" t="n">
        <v>3</v>
      </c>
      <c r="AD630" t="n">
        <v>24</v>
      </c>
      <c r="AE630" t="n">
        <v>24</v>
      </c>
      <c r="AF630" t="n">
        <v>8</v>
      </c>
      <c r="AG630" t="n">
        <v>8</v>
      </c>
      <c r="AH630" t="n">
        <v>6</v>
      </c>
      <c r="AI630" t="n">
        <v>6</v>
      </c>
      <c r="AJ630" t="n">
        <v>13</v>
      </c>
      <c r="AK630" t="n">
        <v>13</v>
      </c>
      <c r="AL630" t="n">
        <v>2</v>
      </c>
      <c r="AM630" t="n">
        <v>2</v>
      </c>
      <c r="AN630" t="n">
        <v>0</v>
      </c>
      <c r="AO630" t="n">
        <v>0</v>
      </c>
      <c r="AP630" t="inlineStr">
        <is>
          <t>No</t>
        </is>
      </c>
      <c r="AQ630" t="inlineStr">
        <is>
          <t>No</t>
        </is>
      </c>
      <c r="AS630">
        <f>HYPERLINK("https://creighton-primo.hosted.exlibrisgroup.com/primo-explore/search?tab=default_tab&amp;search_scope=EVERYTHING&amp;vid=01CRU&amp;lang=en_US&amp;offset=0&amp;query=any,contains,991003645269702656","Catalog Record")</f>
        <v/>
      </c>
      <c r="AT630">
        <f>HYPERLINK("http://www.worldcat.org/oclc/45220865","WorldCat Record")</f>
        <v/>
      </c>
      <c r="AU630" t="inlineStr">
        <is>
          <t>20572819:eng</t>
        </is>
      </c>
      <c r="AV630" t="inlineStr">
        <is>
          <t>45220865</t>
        </is>
      </c>
      <c r="AW630" t="inlineStr">
        <is>
          <t>991003645269702656</t>
        </is>
      </c>
      <c r="AX630" t="inlineStr">
        <is>
          <t>991003645269702656</t>
        </is>
      </c>
      <c r="AY630" t="inlineStr">
        <is>
          <t>2268290280002656</t>
        </is>
      </c>
      <c r="AZ630" t="inlineStr">
        <is>
          <t>BOOK</t>
        </is>
      </c>
      <c r="BB630" t="inlineStr">
        <is>
          <t>9780804738040</t>
        </is>
      </c>
      <c r="BC630" t="inlineStr">
        <is>
          <t>32285004416433</t>
        </is>
      </c>
      <c r="BD630" t="inlineStr">
        <is>
          <t>893627685</t>
        </is>
      </c>
    </row>
    <row r="631">
      <c r="A631" t="inlineStr">
        <is>
          <t>No</t>
        </is>
      </c>
      <c r="B631" t="inlineStr">
        <is>
          <t>HN90.S6 M49 2006</t>
        </is>
      </c>
      <c r="C631" t="inlineStr">
        <is>
          <t>0                      HN 0090000S  6                  M  49          2006</t>
        </is>
      </c>
      <c r="D631" t="inlineStr">
        <is>
          <t>The trouble with diversity : how we learned to love identity and ignore inequality / Walter Benn Michaels.</t>
        </is>
      </c>
      <c r="F631" t="inlineStr">
        <is>
          <t>No</t>
        </is>
      </c>
      <c r="G631" t="inlineStr">
        <is>
          <t>1</t>
        </is>
      </c>
      <c r="H631" t="inlineStr">
        <is>
          <t>No</t>
        </is>
      </c>
      <c r="I631" t="inlineStr">
        <is>
          <t>No</t>
        </is>
      </c>
      <c r="J631" t="inlineStr">
        <is>
          <t>0</t>
        </is>
      </c>
      <c r="K631" t="inlineStr">
        <is>
          <t>Michaels, Walter Benn.</t>
        </is>
      </c>
      <c r="L631" t="inlineStr">
        <is>
          <t>New York : Metropolitan Books, 2006.</t>
        </is>
      </c>
      <c r="M631" t="inlineStr">
        <is>
          <t>2006</t>
        </is>
      </c>
      <c r="N631" t="inlineStr">
        <is>
          <t>1st ed.</t>
        </is>
      </c>
      <c r="O631" t="inlineStr">
        <is>
          <t>eng</t>
        </is>
      </c>
      <c r="P631" t="inlineStr">
        <is>
          <t>nyu</t>
        </is>
      </c>
      <c r="R631" t="inlineStr">
        <is>
          <t xml:space="preserve">HN </t>
        </is>
      </c>
      <c r="S631" t="n">
        <v>3</v>
      </c>
      <c r="T631" t="n">
        <v>3</v>
      </c>
      <c r="U631" t="inlineStr">
        <is>
          <t>2010-08-05</t>
        </is>
      </c>
      <c r="V631" t="inlineStr">
        <is>
          <t>2010-08-05</t>
        </is>
      </c>
      <c r="W631" t="inlineStr">
        <is>
          <t>2006-12-14</t>
        </is>
      </c>
      <c r="X631" t="inlineStr">
        <is>
          <t>2006-12-14</t>
        </is>
      </c>
      <c r="Y631" t="n">
        <v>1144</v>
      </c>
      <c r="Z631" t="n">
        <v>1023</v>
      </c>
      <c r="AA631" t="n">
        <v>1055</v>
      </c>
      <c r="AB631" t="n">
        <v>9</v>
      </c>
      <c r="AC631" t="n">
        <v>9</v>
      </c>
      <c r="AD631" t="n">
        <v>39</v>
      </c>
      <c r="AE631" t="n">
        <v>41</v>
      </c>
      <c r="AF631" t="n">
        <v>13</v>
      </c>
      <c r="AG631" t="n">
        <v>14</v>
      </c>
      <c r="AH631" t="n">
        <v>7</v>
      </c>
      <c r="AI631" t="n">
        <v>7</v>
      </c>
      <c r="AJ631" t="n">
        <v>17</v>
      </c>
      <c r="AK631" t="n">
        <v>18</v>
      </c>
      <c r="AL631" t="n">
        <v>8</v>
      </c>
      <c r="AM631" t="n">
        <v>8</v>
      </c>
      <c r="AN631" t="n">
        <v>2</v>
      </c>
      <c r="AO631" t="n">
        <v>3</v>
      </c>
      <c r="AP631" t="inlineStr">
        <is>
          <t>No</t>
        </is>
      </c>
      <c r="AQ631" t="inlineStr">
        <is>
          <t>No</t>
        </is>
      </c>
      <c r="AS631">
        <f>HYPERLINK("https://creighton-primo.hosted.exlibrisgroup.com/primo-explore/search?tab=default_tab&amp;search_scope=EVERYTHING&amp;vid=01CRU&amp;lang=en_US&amp;offset=0&amp;query=any,contains,991004985669702656","Catalog Record")</f>
        <v/>
      </c>
      <c r="AT631">
        <f>HYPERLINK("http://www.worldcat.org/oclc/69734621","WorldCat Record")</f>
        <v/>
      </c>
      <c r="AU631" t="inlineStr">
        <is>
          <t>195986876:eng</t>
        </is>
      </c>
      <c r="AV631" t="inlineStr">
        <is>
          <t>69734621</t>
        </is>
      </c>
      <c r="AW631" t="inlineStr">
        <is>
          <t>991004985669702656</t>
        </is>
      </c>
      <c r="AX631" t="inlineStr">
        <is>
          <t>991004985669702656</t>
        </is>
      </c>
      <c r="AY631" t="inlineStr">
        <is>
          <t>2256758200002656</t>
        </is>
      </c>
      <c r="AZ631" t="inlineStr">
        <is>
          <t>BOOK</t>
        </is>
      </c>
      <c r="BB631" t="inlineStr">
        <is>
          <t>9780805078411</t>
        </is>
      </c>
      <c r="BC631" t="inlineStr">
        <is>
          <t>32285005266803</t>
        </is>
      </c>
      <c r="BD631" t="inlineStr">
        <is>
          <t>893901960</t>
        </is>
      </c>
    </row>
    <row r="632">
      <c r="A632" t="inlineStr">
        <is>
          <t>No</t>
        </is>
      </c>
      <c r="B632" t="inlineStr">
        <is>
          <t>HN90.S6 P34 1994</t>
        </is>
      </c>
      <c r="C632" t="inlineStr">
        <is>
          <t>0                      HN 0090000S  6                  P  34          1994</t>
        </is>
      </c>
      <c r="D632" t="inlineStr">
        <is>
          <t>Land of idols : political mythology in America / Michael Parenti.</t>
        </is>
      </c>
      <c r="F632" t="inlineStr">
        <is>
          <t>No</t>
        </is>
      </c>
      <c r="G632" t="inlineStr">
        <is>
          <t>1</t>
        </is>
      </c>
      <c r="H632" t="inlineStr">
        <is>
          <t>No</t>
        </is>
      </c>
      <c r="I632" t="inlineStr">
        <is>
          <t>No</t>
        </is>
      </c>
      <c r="J632" t="inlineStr">
        <is>
          <t>0</t>
        </is>
      </c>
      <c r="K632" t="inlineStr">
        <is>
          <t>Parenti, Michael, 1933-</t>
        </is>
      </c>
      <c r="L632" t="inlineStr">
        <is>
          <t>New York : St. Martin's Press, c1994.</t>
        </is>
      </c>
      <c r="M632" t="inlineStr">
        <is>
          <t>1994</t>
        </is>
      </c>
      <c r="O632" t="inlineStr">
        <is>
          <t>eng</t>
        </is>
      </c>
      <c r="P632" t="inlineStr">
        <is>
          <t>nyu</t>
        </is>
      </c>
      <c r="R632" t="inlineStr">
        <is>
          <t xml:space="preserve">HN </t>
        </is>
      </c>
      <c r="S632" t="n">
        <v>5</v>
      </c>
      <c r="T632" t="n">
        <v>5</v>
      </c>
      <c r="U632" t="inlineStr">
        <is>
          <t>2008-07-07</t>
        </is>
      </c>
      <c r="V632" t="inlineStr">
        <is>
          <t>2008-07-07</t>
        </is>
      </c>
      <c r="W632" t="inlineStr">
        <is>
          <t>1994-02-17</t>
        </is>
      </c>
      <c r="X632" t="inlineStr">
        <is>
          <t>1994-02-17</t>
        </is>
      </c>
      <c r="Y632" t="n">
        <v>481</v>
      </c>
      <c r="Z632" t="n">
        <v>439</v>
      </c>
      <c r="AA632" t="n">
        <v>448</v>
      </c>
      <c r="AB632" t="n">
        <v>4</v>
      </c>
      <c r="AC632" t="n">
        <v>4</v>
      </c>
      <c r="AD632" t="n">
        <v>26</v>
      </c>
      <c r="AE632" t="n">
        <v>26</v>
      </c>
      <c r="AF632" t="n">
        <v>11</v>
      </c>
      <c r="AG632" t="n">
        <v>11</v>
      </c>
      <c r="AH632" t="n">
        <v>8</v>
      </c>
      <c r="AI632" t="n">
        <v>8</v>
      </c>
      <c r="AJ632" t="n">
        <v>11</v>
      </c>
      <c r="AK632" t="n">
        <v>11</v>
      </c>
      <c r="AL632" t="n">
        <v>3</v>
      </c>
      <c r="AM632" t="n">
        <v>3</v>
      </c>
      <c r="AN632" t="n">
        <v>0</v>
      </c>
      <c r="AO632" t="n">
        <v>0</v>
      </c>
      <c r="AP632" t="inlineStr">
        <is>
          <t>No</t>
        </is>
      </c>
      <c r="AQ632" t="inlineStr">
        <is>
          <t>No</t>
        </is>
      </c>
      <c r="AS632">
        <f>HYPERLINK("https://creighton-primo.hosted.exlibrisgroup.com/primo-explore/search?tab=default_tab&amp;search_scope=EVERYTHING&amp;vid=01CRU&amp;lang=en_US&amp;offset=0&amp;query=any,contains,991002223409702656","Catalog Record")</f>
        <v/>
      </c>
      <c r="AT632">
        <f>HYPERLINK("http://www.worldcat.org/oclc/28634379","WorldCat Record")</f>
        <v/>
      </c>
      <c r="AU632" t="inlineStr">
        <is>
          <t>199186433:eng</t>
        </is>
      </c>
      <c r="AV632" t="inlineStr">
        <is>
          <t>28634379</t>
        </is>
      </c>
      <c r="AW632" t="inlineStr">
        <is>
          <t>991002223409702656</t>
        </is>
      </c>
      <c r="AX632" t="inlineStr">
        <is>
          <t>991002223409702656</t>
        </is>
      </c>
      <c r="AY632" t="inlineStr">
        <is>
          <t>2257281730002656</t>
        </is>
      </c>
      <c r="AZ632" t="inlineStr">
        <is>
          <t>BOOK</t>
        </is>
      </c>
      <c r="BB632" t="inlineStr">
        <is>
          <t>9780312094973</t>
        </is>
      </c>
      <c r="BC632" t="inlineStr">
        <is>
          <t>32285001860898</t>
        </is>
      </c>
      <c r="BD632" t="inlineStr">
        <is>
          <t>893703830</t>
        </is>
      </c>
    </row>
    <row r="633">
      <c r="A633" t="inlineStr">
        <is>
          <t>No</t>
        </is>
      </c>
      <c r="B633" t="inlineStr">
        <is>
          <t>HN90.S6 P47 1999</t>
        </is>
      </c>
      <c r="C633" t="inlineStr">
        <is>
          <t>0                      HN 0090000S  6                  P  47          1999</t>
        </is>
      </c>
      <c r="D633" t="inlineStr">
        <is>
          <t>The new class society / Robert Perrucci and Earl Wysong.</t>
        </is>
      </c>
      <c r="F633" t="inlineStr">
        <is>
          <t>No</t>
        </is>
      </c>
      <c r="G633" t="inlineStr">
        <is>
          <t>1</t>
        </is>
      </c>
      <c r="H633" t="inlineStr">
        <is>
          <t>No</t>
        </is>
      </c>
      <c r="I633" t="inlineStr">
        <is>
          <t>No</t>
        </is>
      </c>
      <c r="J633" t="inlineStr">
        <is>
          <t>0</t>
        </is>
      </c>
      <c r="K633" t="inlineStr">
        <is>
          <t>Perrucci, Robert.</t>
        </is>
      </c>
      <c r="L633" t="inlineStr">
        <is>
          <t>Lanham : Rowman &amp; Littlefield, c1999.</t>
        </is>
      </c>
      <c r="M633" t="inlineStr">
        <is>
          <t>1999</t>
        </is>
      </c>
      <c r="O633" t="inlineStr">
        <is>
          <t>eng</t>
        </is>
      </c>
      <c r="P633" t="inlineStr">
        <is>
          <t>mdu</t>
        </is>
      </c>
      <c r="R633" t="inlineStr">
        <is>
          <t xml:space="preserve">HN </t>
        </is>
      </c>
      <c r="S633" t="n">
        <v>3</v>
      </c>
      <c r="T633" t="n">
        <v>3</v>
      </c>
      <c r="U633" t="inlineStr">
        <is>
          <t>2001-12-12</t>
        </is>
      </c>
      <c r="V633" t="inlineStr">
        <is>
          <t>2001-12-12</t>
        </is>
      </c>
      <c r="W633" t="inlineStr">
        <is>
          <t>1999-12-02</t>
        </is>
      </c>
      <c r="X633" t="inlineStr">
        <is>
          <t>1999-12-02</t>
        </is>
      </c>
      <c r="Y633" t="n">
        <v>592</v>
      </c>
      <c r="Z633" t="n">
        <v>517</v>
      </c>
      <c r="AA633" t="n">
        <v>517</v>
      </c>
      <c r="AB633" t="n">
        <v>4</v>
      </c>
      <c r="AC633" t="n">
        <v>4</v>
      </c>
      <c r="AD633" t="n">
        <v>27</v>
      </c>
      <c r="AE633" t="n">
        <v>27</v>
      </c>
      <c r="AF633" t="n">
        <v>11</v>
      </c>
      <c r="AG633" t="n">
        <v>11</v>
      </c>
      <c r="AH633" t="n">
        <v>7</v>
      </c>
      <c r="AI633" t="n">
        <v>7</v>
      </c>
      <c r="AJ633" t="n">
        <v>14</v>
      </c>
      <c r="AK633" t="n">
        <v>14</v>
      </c>
      <c r="AL633" t="n">
        <v>3</v>
      </c>
      <c r="AM633" t="n">
        <v>3</v>
      </c>
      <c r="AN633" t="n">
        <v>0</v>
      </c>
      <c r="AO633" t="n">
        <v>0</v>
      </c>
      <c r="AP633" t="inlineStr">
        <is>
          <t>No</t>
        </is>
      </c>
      <c r="AQ633" t="inlineStr">
        <is>
          <t>No</t>
        </is>
      </c>
      <c r="AS633">
        <f>HYPERLINK("https://creighton-primo.hosted.exlibrisgroup.com/primo-explore/search?tab=default_tab&amp;search_scope=EVERYTHING&amp;vid=01CRU&amp;lang=en_US&amp;offset=0&amp;query=any,contains,991003004649702656","Catalog Record")</f>
        <v/>
      </c>
      <c r="AT633">
        <f>HYPERLINK("http://www.worldcat.org/oclc/40713789","WorldCat Record")</f>
        <v/>
      </c>
      <c r="AU633" t="inlineStr">
        <is>
          <t>942698:eng</t>
        </is>
      </c>
      <c r="AV633" t="inlineStr">
        <is>
          <t>40713789</t>
        </is>
      </c>
      <c r="AW633" t="inlineStr">
        <is>
          <t>991003004649702656</t>
        </is>
      </c>
      <c r="AX633" t="inlineStr">
        <is>
          <t>991003004649702656</t>
        </is>
      </c>
      <c r="AY633" t="inlineStr">
        <is>
          <t>2272176620002656</t>
        </is>
      </c>
      <c r="AZ633" t="inlineStr">
        <is>
          <t>BOOK</t>
        </is>
      </c>
      <c r="BB633" t="inlineStr">
        <is>
          <t>9780847691722</t>
        </is>
      </c>
      <c r="BC633" t="inlineStr">
        <is>
          <t>32285003627642</t>
        </is>
      </c>
      <c r="BD633" t="inlineStr">
        <is>
          <t>893887028</t>
        </is>
      </c>
    </row>
    <row r="634">
      <c r="A634" t="inlineStr">
        <is>
          <t>No</t>
        </is>
      </c>
      <c r="B634" t="inlineStr">
        <is>
          <t>HN90.S6 R33 1994</t>
        </is>
      </c>
      <c r="C634" t="inlineStr">
        <is>
          <t>0                      HN 0090000S  6                  R  33          1994</t>
        </is>
      </c>
      <c r="D634" t="inlineStr">
        <is>
          <t>Race and gender in the American economy : views from across the spectrum / edited by Susan F. Feiner.</t>
        </is>
      </c>
      <c r="F634" t="inlineStr">
        <is>
          <t>No</t>
        </is>
      </c>
      <c r="G634" t="inlineStr">
        <is>
          <t>1</t>
        </is>
      </c>
      <c r="H634" t="inlineStr">
        <is>
          <t>No</t>
        </is>
      </c>
      <c r="I634" t="inlineStr">
        <is>
          <t>No</t>
        </is>
      </c>
      <c r="J634" t="inlineStr">
        <is>
          <t>0</t>
        </is>
      </c>
      <c r="L634" t="inlineStr">
        <is>
          <t>Englewood Cliffs, N.J. : Prentice Hall, c1994.</t>
        </is>
      </c>
      <c r="M634" t="inlineStr">
        <is>
          <t>1994</t>
        </is>
      </c>
      <c r="O634" t="inlineStr">
        <is>
          <t>eng</t>
        </is>
      </c>
      <c r="P634" t="inlineStr">
        <is>
          <t>nju</t>
        </is>
      </c>
      <c r="R634" t="inlineStr">
        <is>
          <t xml:space="preserve">HN </t>
        </is>
      </c>
      <c r="S634" t="n">
        <v>2</v>
      </c>
      <c r="T634" t="n">
        <v>2</v>
      </c>
      <c r="U634" t="inlineStr">
        <is>
          <t>2008-10-07</t>
        </is>
      </c>
      <c r="V634" t="inlineStr">
        <is>
          <t>2008-10-07</t>
        </is>
      </c>
      <c r="W634" t="inlineStr">
        <is>
          <t>1998-06-23</t>
        </is>
      </c>
      <c r="X634" t="inlineStr">
        <is>
          <t>1998-06-23</t>
        </is>
      </c>
      <c r="Y634" t="n">
        <v>256</v>
      </c>
      <c r="Z634" t="n">
        <v>225</v>
      </c>
      <c r="AA634" t="n">
        <v>229</v>
      </c>
      <c r="AB634" t="n">
        <v>1</v>
      </c>
      <c r="AC634" t="n">
        <v>1</v>
      </c>
      <c r="AD634" t="n">
        <v>10</v>
      </c>
      <c r="AE634" t="n">
        <v>10</v>
      </c>
      <c r="AF634" t="n">
        <v>3</v>
      </c>
      <c r="AG634" t="n">
        <v>3</v>
      </c>
      <c r="AH634" t="n">
        <v>3</v>
      </c>
      <c r="AI634" t="n">
        <v>3</v>
      </c>
      <c r="AJ634" t="n">
        <v>7</v>
      </c>
      <c r="AK634" t="n">
        <v>7</v>
      </c>
      <c r="AL634" t="n">
        <v>0</v>
      </c>
      <c r="AM634" t="n">
        <v>0</v>
      </c>
      <c r="AN634" t="n">
        <v>0</v>
      </c>
      <c r="AO634" t="n">
        <v>0</v>
      </c>
      <c r="AP634" t="inlineStr">
        <is>
          <t>No</t>
        </is>
      </c>
      <c r="AQ634" t="inlineStr">
        <is>
          <t>No</t>
        </is>
      </c>
      <c r="AS634">
        <f>HYPERLINK("https://creighton-primo.hosted.exlibrisgroup.com/primo-explore/search?tab=default_tab&amp;search_scope=EVERYTHING&amp;vid=01CRU&amp;lang=en_US&amp;offset=0&amp;query=any,contains,991002264429702656","Catalog Record")</f>
        <v/>
      </c>
      <c r="AT634">
        <f>HYPERLINK("http://www.worldcat.org/oclc/29361186","WorldCat Record")</f>
        <v/>
      </c>
      <c r="AU634" t="inlineStr">
        <is>
          <t>836955473:eng</t>
        </is>
      </c>
      <c r="AV634" t="inlineStr">
        <is>
          <t>29361186</t>
        </is>
      </c>
      <c r="AW634" t="inlineStr">
        <is>
          <t>991002264429702656</t>
        </is>
      </c>
      <c r="AX634" t="inlineStr">
        <is>
          <t>991002264429702656</t>
        </is>
      </c>
      <c r="AY634" t="inlineStr">
        <is>
          <t>2256605090002656</t>
        </is>
      </c>
      <c r="AZ634" t="inlineStr">
        <is>
          <t>BOOK</t>
        </is>
      </c>
      <c r="BB634" t="inlineStr">
        <is>
          <t>9780136700920</t>
        </is>
      </c>
      <c r="BC634" t="inlineStr">
        <is>
          <t>32285003422994</t>
        </is>
      </c>
      <c r="BD634" t="inlineStr">
        <is>
          <t>893779610</t>
        </is>
      </c>
    </row>
    <row r="635">
      <c r="A635" t="inlineStr">
        <is>
          <t>No</t>
        </is>
      </c>
      <c r="B635" t="inlineStr">
        <is>
          <t>HN90.S6 R67 2000</t>
        </is>
      </c>
      <c r="C635" t="inlineStr">
        <is>
          <t>0                      HN 0090000S  6                  R  67          2000</t>
        </is>
      </c>
      <c r="D635" t="inlineStr">
        <is>
          <t>Coalitions across the class divide : lessons from the labor, peace, and environmental movements / Fred Rose.</t>
        </is>
      </c>
      <c r="F635" t="inlineStr">
        <is>
          <t>No</t>
        </is>
      </c>
      <c r="G635" t="inlineStr">
        <is>
          <t>1</t>
        </is>
      </c>
      <c r="H635" t="inlineStr">
        <is>
          <t>No</t>
        </is>
      </c>
      <c r="I635" t="inlineStr">
        <is>
          <t>No</t>
        </is>
      </c>
      <c r="J635" t="inlineStr">
        <is>
          <t>0</t>
        </is>
      </c>
      <c r="K635" t="inlineStr">
        <is>
          <t>Rose, Fred, 1960-</t>
        </is>
      </c>
      <c r="L635" t="inlineStr">
        <is>
          <t>Ithaca, NY : Cornell University Press, c2000.</t>
        </is>
      </c>
      <c r="M635" t="inlineStr">
        <is>
          <t>2000</t>
        </is>
      </c>
      <c r="O635" t="inlineStr">
        <is>
          <t>eng</t>
        </is>
      </c>
      <c r="P635" t="inlineStr">
        <is>
          <t>nyu</t>
        </is>
      </c>
      <c r="R635" t="inlineStr">
        <is>
          <t xml:space="preserve">HN </t>
        </is>
      </c>
      <c r="S635" t="n">
        <v>1</v>
      </c>
      <c r="T635" t="n">
        <v>1</v>
      </c>
      <c r="U635" t="inlineStr">
        <is>
          <t>2001-03-18</t>
        </is>
      </c>
      <c r="V635" t="inlineStr">
        <is>
          <t>2001-03-18</t>
        </is>
      </c>
      <c r="W635" t="inlineStr">
        <is>
          <t>2000-10-18</t>
        </is>
      </c>
      <c r="X635" t="inlineStr">
        <is>
          <t>2000-10-18</t>
        </is>
      </c>
      <c r="Y635" t="n">
        <v>522</v>
      </c>
      <c r="Z635" t="n">
        <v>448</v>
      </c>
      <c r="AA635" t="n">
        <v>466</v>
      </c>
      <c r="AB635" t="n">
        <v>2</v>
      </c>
      <c r="AC635" t="n">
        <v>2</v>
      </c>
      <c r="AD635" t="n">
        <v>24</v>
      </c>
      <c r="AE635" t="n">
        <v>24</v>
      </c>
      <c r="AF635" t="n">
        <v>7</v>
      </c>
      <c r="AG635" t="n">
        <v>7</v>
      </c>
      <c r="AH635" t="n">
        <v>6</v>
      </c>
      <c r="AI635" t="n">
        <v>6</v>
      </c>
      <c r="AJ635" t="n">
        <v>15</v>
      </c>
      <c r="AK635" t="n">
        <v>15</v>
      </c>
      <c r="AL635" t="n">
        <v>1</v>
      </c>
      <c r="AM635" t="n">
        <v>1</v>
      </c>
      <c r="AN635" t="n">
        <v>1</v>
      </c>
      <c r="AO635" t="n">
        <v>1</v>
      </c>
      <c r="AP635" t="inlineStr">
        <is>
          <t>No</t>
        </is>
      </c>
      <c r="AQ635" t="inlineStr">
        <is>
          <t>Yes</t>
        </is>
      </c>
      <c r="AR635">
        <f>HYPERLINK("http://catalog.hathitrust.org/Record/004066599","HathiTrust Record")</f>
        <v/>
      </c>
      <c r="AS635">
        <f>HYPERLINK("https://creighton-primo.hosted.exlibrisgroup.com/primo-explore/search?tab=default_tab&amp;search_scope=EVERYTHING&amp;vid=01CRU&amp;lang=en_US&amp;offset=0&amp;query=any,contains,991003283299702656","Catalog Record")</f>
        <v/>
      </c>
      <c r="AT635">
        <f>HYPERLINK("http://www.worldcat.org/oclc/41967254","WorldCat Record")</f>
        <v/>
      </c>
      <c r="AU635" t="inlineStr">
        <is>
          <t>311805728:eng</t>
        </is>
      </c>
      <c r="AV635" t="inlineStr">
        <is>
          <t>41967254</t>
        </is>
      </c>
      <c r="AW635" t="inlineStr">
        <is>
          <t>991003283299702656</t>
        </is>
      </c>
      <c r="AX635" t="inlineStr">
        <is>
          <t>991003283299702656</t>
        </is>
      </c>
      <c r="AY635" t="inlineStr">
        <is>
          <t>2269339770002656</t>
        </is>
      </c>
      <c r="AZ635" t="inlineStr">
        <is>
          <t>BOOK</t>
        </is>
      </c>
      <c r="BB635" t="inlineStr">
        <is>
          <t>9780801436055</t>
        </is>
      </c>
      <c r="BC635" t="inlineStr">
        <is>
          <t>32285003768958</t>
        </is>
      </c>
      <c r="BD635" t="inlineStr">
        <is>
          <t>893416224</t>
        </is>
      </c>
    </row>
    <row r="636">
      <c r="A636" t="inlineStr">
        <is>
          <t>No</t>
        </is>
      </c>
      <c r="B636" t="inlineStr">
        <is>
          <t>HN90.S6 R68</t>
        </is>
      </c>
      <c r="C636" t="inlineStr">
        <is>
          <t>0                      HN 0090000S  6                  R  68</t>
        </is>
      </c>
      <c r="D636" t="inlineStr">
        <is>
          <t>The American class system : an introduction to social stratification / Daniel W. Rossides. --</t>
        </is>
      </c>
      <c r="F636" t="inlineStr">
        <is>
          <t>No</t>
        </is>
      </c>
      <c r="G636" t="inlineStr">
        <is>
          <t>1</t>
        </is>
      </c>
      <c r="H636" t="inlineStr">
        <is>
          <t>No</t>
        </is>
      </c>
      <c r="I636" t="inlineStr">
        <is>
          <t>No</t>
        </is>
      </c>
      <c r="J636" t="inlineStr">
        <is>
          <t>0</t>
        </is>
      </c>
      <c r="K636" t="inlineStr">
        <is>
          <t>Rossides, Daniel W., 1925-</t>
        </is>
      </c>
      <c r="L636" t="inlineStr">
        <is>
          <t>Boston : Houghton Mifflin, c1976.</t>
        </is>
      </c>
      <c r="M636" t="inlineStr">
        <is>
          <t>1976</t>
        </is>
      </c>
      <c r="O636" t="inlineStr">
        <is>
          <t>eng</t>
        </is>
      </c>
      <c r="P636" t="inlineStr">
        <is>
          <t>mau</t>
        </is>
      </c>
      <c r="R636" t="inlineStr">
        <is>
          <t xml:space="preserve">HN </t>
        </is>
      </c>
      <c r="S636" t="n">
        <v>4</v>
      </c>
      <c r="T636" t="n">
        <v>4</v>
      </c>
      <c r="U636" t="inlineStr">
        <is>
          <t>2010-11-30</t>
        </is>
      </c>
      <c r="V636" t="inlineStr">
        <is>
          <t>2010-11-30</t>
        </is>
      </c>
      <c r="W636" t="inlineStr">
        <is>
          <t>1992-10-05</t>
        </is>
      </c>
      <c r="X636" t="inlineStr">
        <is>
          <t>1992-10-05</t>
        </is>
      </c>
      <c r="Y636" t="n">
        <v>325</v>
      </c>
      <c r="Z636" t="n">
        <v>251</v>
      </c>
      <c r="AA636" t="n">
        <v>356</v>
      </c>
      <c r="AB636" t="n">
        <v>3</v>
      </c>
      <c r="AC636" t="n">
        <v>4</v>
      </c>
      <c r="AD636" t="n">
        <v>7</v>
      </c>
      <c r="AE636" t="n">
        <v>17</v>
      </c>
      <c r="AF636" t="n">
        <v>2</v>
      </c>
      <c r="AG636" t="n">
        <v>6</v>
      </c>
      <c r="AH636" t="n">
        <v>3</v>
      </c>
      <c r="AI636" t="n">
        <v>7</v>
      </c>
      <c r="AJ636" t="n">
        <v>3</v>
      </c>
      <c r="AK636" t="n">
        <v>7</v>
      </c>
      <c r="AL636" t="n">
        <v>1</v>
      </c>
      <c r="AM636" t="n">
        <v>2</v>
      </c>
      <c r="AN636" t="n">
        <v>0</v>
      </c>
      <c r="AO636" t="n">
        <v>0</v>
      </c>
      <c r="AP636" t="inlineStr">
        <is>
          <t>No</t>
        </is>
      </c>
      <c r="AQ636" t="inlineStr">
        <is>
          <t>No</t>
        </is>
      </c>
      <c r="AS636">
        <f>HYPERLINK("https://creighton-primo.hosted.exlibrisgroup.com/primo-explore/search?tab=default_tab&amp;search_scope=EVERYTHING&amp;vid=01CRU&amp;lang=en_US&amp;offset=0&amp;query=any,contains,991004025569702656","Catalog Record")</f>
        <v/>
      </c>
      <c r="AT636">
        <f>HYPERLINK("http://www.worldcat.org/oclc/2136479","WorldCat Record")</f>
        <v/>
      </c>
      <c r="AU636" t="inlineStr">
        <is>
          <t>4211223:eng</t>
        </is>
      </c>
      <c r="AV636" t="inlineStr">
        <is>
          <t>2136479</t>
        </is>
      </c>
      <c r="AW636" t="inlineStr">
        <is>
          <t>991004025569702656</t>
        </is>
      </c>
      <c r="AX636" t="inlineStr">
        <is>
          <t>991004025569702656</t>
        </is>
      </c>
      <c r="AY636" t="inlineStr">
        <is>
          <t>2271429760002656</t>
        </is>
      </c>
      <c r="AZ636" t="inlineStr">
        <is>
          <t>BOOK</t>
        </is>
      </c>
      <c r="BB636" t="inlineStr">
        <is>
          <t>9780395206249</t>
        </is>
      </c>
      <c r="BC636" t="inlineStr">
        <is>
          <t>32285001356301</t>
        </is>
      </c>
      <c r="BD636" t="inlineStr">
        <is>
          <t>893718372</t>
        </is>
      </c>
    </row>
    <row r="637">
      <c r="A637" t="inlineStr">
        <is>
          <t>No</t>
        </is>
      </c>
      <c r="B637" t="inlineStr">
        <is>
          <t>HN90.V5 C48 2004</t>
        </is>
      </c>
      <c r="C637" t="inlineStr">
        <is>
          <t>0                      HN 0090000V  5                  C  48          2004</t>
        </is>
      </c>
      <c r="D637" t="inlineStr">
        <is>
          <t>Inequality &amp; violence in the United States : casualties of capitalism / Barbara H. Chasin.</t>
        </is>
      </c>
      <c r="F637" t="inlineStr">
        <is>
          <t>No</t>
        </is>
      </c>
      <c r="G637" t="inlineStr">
        <is>
          <t>1</t>
        </is>
      </c>
      <c r="H637" t="inlineStr">
        <is>
          <t>No</t>
        </is>
      </c>
      <c r="I637" t="inlineStr">
        <is>
          <t>No</t>
        </is>
      </c>
      <c r="J637" t="inlineStr">
        <is>
          <t>0</t>
        </is>
      </c>
      <c r="K637" t="inlineStr">
        <is>
          <t>Chasin, Barbara H.</t>
        </is>
      </c>
      <c r="L637" t="inlineStr">
        <is>
          <t>Amherst, N.Y. : Humanity Books, 2004.</t>
        </is>
      </c>
      <c r="M637" t="inlineStr">
        <is>
          <t>2004</t>
        </is>
      </c>
      <c r="N637" t="inlineStr">
        <is>
          <t>2nd ed.</t>
        </is>
      </c>
      <c r="O637" t="inlineStr">
        <is>
          <t>eng</t>
        </is>
      </c>
      <c r="P637" t="inlineStr">
        <is>
          <t>nyu</t>
        </is>
      </c>
      <c r="R637" t="inlineStr">
        <is>
          <t xml:space="preserve">HN </t>
        </is>
      </c>
      <c r="S637" t="n">
        <v>3</v>
      </c>
      <c r="T637" t="n">
        <v>3</v>
      </c>
      <c r="U637" t="inlineStr">
        <is>
          <t>2004-09-05</t>
        </is>
      </c>
      <c r="V637" t="inlineStr">
        <is>
          <t>2004-09-05</t>
        </is>
      </c>
      <c r="W637" t="inlineStr">
        <is>
          <t>2004-06-29</t>
        </is>
      </c>
      <c r="X637" t="inlineStr">
        <is>
          <t>2004-06-29</t>
        </is>
      </c>
      <c r="Y637" t="n">
        <v>172</v>
      </c>
      <c r="Z637" t="n">
        <v>143</v>
      </c>
      <c r="AA637" t="n">
        <v>452</v>
      </c>
      <c r="AB637" t="n">
        <v>2</v>
      </c>
      <c r="AC637" t="n">
        <v>4</v>
      </c>
      <c r="AD637" t="n">
        <v>4</v>
      </c>
      <c r="AE637" t="n">
        <v>24</v>
      </c>
      <c r="AF637" t="n">
        <v>2</v>
      </c>
      <c r="AG637" t="n">
        <v>6</v>
      </c>
      <c r="AH637" t="n">
        <v>1</v>
      </c>
      <c r="AI637" t="n">
        <v>7</v>
      </c>
      <c r="AJ637" t="n">
        <v>1</v>
      </c>
      <c r="AK637" t="n">
        <v>15</v>
      </c>
      <c r="AL637" t="n">
        <v>1</v>
      </c>
      <c r="AM637" t="n">
        <v>3</v>
      </c>
      <c r="AN637" t="n">
        <v>0</v>
      </c>
      <c r="AO637" t="n">
        <v>0</v>
      </c>
      <c r="AP637" t="inlineStr">
        <is>
          <t>No</t>
        </is>
      </c>
      <c r="AQ637" t="inlineStr">
        <is>
          <t>No</t>
        </is>
      </c>
      <c r="AS637">
        <f>HYPERLINK("https://creighton-primo.hosted.exlibrisgroup.com/primo-explore/search?tab=default_tab&amp;search_scope=EVERYTHING&amp;vid=01CRU&amp;lang=en_US&amp;offset=0&amp;query=any,contains,991004303509702656","Catalog Record")</f>
        <v/>
      </c>
      <c r="AT637">
        <f>HYPERLINK("http://www.worldcat.org/oclc/54611381","WorldCat Record")</f>
        <v/>
      </c>
      <c r="AU637" t="inlineStr">
        <is>
          <t>686466:eng</t>
        </is>
      </c>
      <c r="AV637" t="inlineStr">
        <is>
          <t>54611381</t>
        </is>
      </c>
      <c r="AW637" t="inlineStr">
        <is>
          <t>991004303509702656</t>
        </is>
      </c>
      <c r="AX637" t="inlineStr">
        <is>
          <t>991004303509702656</t>
        </is>
      </c>
      <c r="AY637" t="inlineStr">
        <is>
          <t>2269488470002656</t>
        </is>
      </c>
      <c r="AZ637" t="inlineStr">
        <is>
          <t>BOOK</t>
        </is>
      </c>
      <c r="BB637" t="inlineStr">
        <is>
          <t>9781591021605</t>
        </is>
      </c>
      <c r="BC637" t="inlineStr">
        <is>
          <t>32285004921655</t>
        </is>
      </c>
      <c r="BD637" t="inlineStr">
        <is>
          <t>893894829</t>
        </is>
      </c>
    </row>
    <row r="638">
      <c r="A638" t="inlineStr">
        <is>
          <t>No</t>
        </is>
      </c>
      <c r="B638" t="inlineStr">
        <is>
          <t>HN90.V5 C56 1998</t>
        </is>
      </c>
      <c r="C638" t="inlineStr">
        <is>
          <t>0                      HN 0090000V  5                  C  56          1998</t>
        </is>
      </c>
      <c r="D638" t="inlineStr">
        <is>
          <t>The lineaments of wrath : race, violent crime, and American culture / James W. Clarke.</t>
        </is>
      </c>
      <c r="F638" t="inlineStr">
        <is>
          <t>No</t>
        </is>
      </c>
      <c r="G638" t="inlineStr">
        <is>
          <t>1</t>
        </is>
      </c>
      <c r="H638" t="inlineStr">
        <is>
          <t>No</t>
        </is>
      </c>
      <c r="I638" t="inlineStr">
        <is>
          <t>No</t>
        </is>
      </c>
      <c r="J638" t="inlineStr">
        <is>
          <t>0</t>
        </is>
      </c>
      <c r="K638" t="inlineStr">
        <is>
          <t>Clarke, James W., 1937-</t>
        </is>
      </c>
      <c r="L638" t="inlineStr">
        <is>
          <t>New Brunswick, N.J., U.S.A. : Transaction Publishers, c1998.</t>
        </is>
      </c>
      <c r="M638" t="inlineStr">
        <is>
          <t>1998</t>
        </is>
      </c>
      <c r="O638" t="inlineStr">
        <is>
          <t>eng</t>
        </is>
      </c>
      <c r="P638" t="inlineStr">
        <is>
          <t>nju</t>
        </is>
      </c>
      <c r="R638" t="inlineStr">
        <is>
          <t xml:space="preserve">HN </t>
        </is>
      </c>
      <c r="S638" t="n">
        <v>2</v>
      </c>
      <c r="T638" t="n">
        <v>2</v>
      </c>
      <c r="U638" t="inlineStr">
        <is>
          <t>2002-02-21</t>
        </is>
      </c>
      <c r="V638" t="inlineStr">
        <is>
          <t>2002-02-21</t>
        </is>
      </c>
      <c r="W638" t="inlineStr">
        <is>
          <t>2002-01-10</t>
        </is>
      </c>
      <c r="X638" t="inlineStr">
        <is>
          <t>2002-01-10</t>
        </is>
      </c>
      <c r="Y638" t="n">
        <v>592</v>
      </c>
      <c r="Z638" t="n">
        <v>542</v>
      </c>
      <c r="AA638" t="n">
        <v>594</v>
      </c>
      <c r="AB638" t="n">
        <v>3</v>
      </c>
      <c r="AC638" t="n">
        <v>3</v>
      </c>
      <c r="AD638" t="n">
        <v>27</v>
      </c>
      <c r="AE638" t="n">
        <v>29</v>
      </c>
      <c r="AF638" t="n">
        <v>9</v>
      </c>
      <c r="AG638" t="n">
        <v>9</v>
      </c>
      <c r="AH638" t="n">
        <v>5</v>
      </c>
      <c r="AI638" t="n">
        <v>5</v>
      </c>
      <c r="AJ638" t="n">
        <v>15</v>
      </c>
      <c r="AK638" t="n">
        <v>16</v>
      </c>
      <c r="AL638" t="n">
        <v>2</v>
      </c>
      <c r="AM638" t="n">
        <v>2</v>
      </c>
      <c r="AN638" t="n">
        <v>4</v>
      </c>
      <c r="AO638" t="n">
        <v>5</v>
      </c>
      <c r="AP638" t="inlineStr">
        <is>
          <t>No</t>
        </is>
      </c>
      <c r="AQ638" t="inlineStr">
        <is>
          <t>No</t>
        </is>
      </c>
      <c r="AS638">
        <f>HYPERLINK("https://creighton-primo.hosted.exlibrisgroup.com/primo-explore/search?tab=default_tab&amp;search_scope=EVERYTHING&amp;vid=01CRU&amp;lang=en_US&amp;offset=0&amp;query=any,contains,991003697369702656","Catalog Record")</f>
        <v/>
      </c>
      <c r="AT638">
        <f>HYPERLINK("http://www.worldcat.org/oclc/38120640","WorldCat Record")</f>
        <v/>
      </c>
      <c r="AU638" t="inlineStr">
        <is>
          <t>670224:eng</t>
        </is>
      </c>
      <c r="AV638" t="inlineStr">
        <is>
          <t>38120640</t>
        </is>
      </c>
      <c r="AW638" t="inlineStr">
        <is>
          <t>991003697369702656</t>
        </is>
      </c>
      <c r="AX638" t="inlineStr">
        <is>
          <t>991003697369702656</t>
        </is>
      </c>
      <c r="AY638" t="inlineStr">
        <is>
          <t>2265349620002656</t>
        </is>
      </c>
      <c r="AZ638" t="inlineStr">
        <is>
          <t>BOOK</t>
        </is>
      </c>
      <c r="BB638" t="inlineStr">
        <is>
          <t>9781560003588</t>
        </is>
      </c>
      <c r="BC638" t="inlineStr">
        <is>
          <t>32285004447776</t>
        </is>
      </c>
      <c r="BD638" t="inlineStr">
        <is>
          <t>893228338</t>
        </is>
      </c>
    </row>
    <row r="639">
      <c r="A639" t="inlineStr">
        <is>
          <t>No</t>
        </is>
      </c>
      <c r="B639" t="inlineStr">
        <is>
          <t>HN90.V5 J87</t>
        </is>
      </c>
      <c r="C639" t="inlineStr">
        <is>
          <t>0                      HN 0090000V  5                  J  87</t>
        </is>
      </c>
      <c r="D639" t="inlineStr">
        <is>
          <t>Justifying violence : attitudes of American men / [by] Monica D. Blumenthal [and others]</t>
        </is>
      </c>
      <c r="F639" t="inlineStr">
        <is>
          <t>No</t>
        </is>
      </c>
      <c r="G639" t="inlineStr">
        <is>
          <t>1</t>
        </is>
      </c>
      <c r="H639" t="inlineStr">
        <is>
          <t>No</t>
        </is>
      </c>
      <c r="I639" t="inlineStr">
        <is>
          <t>No</t>
        </is>
      </c>
      <c r="J639" t="inlineStr">
        <is>
          <t>0</t>
        </is>
      </c>
      <c r="L639" t="inlineStr">
        <is>
          <t>Ann Arbor : Institute for Social Research, the University of Michigan, [1972]</t>
        </is>
      </c>
      <c r="M639" t="inlineStr">
        <is>
          <t>1972</t>
        </is>
      </c>
      <c r="O639" t="inlineStr">
        <is>
          <t>eng</t>
        </is>
      </c>
      <c r="P639" t="inlineStr">
        <is>
          <t>miu</t>
        </is>
      </c>
      <c r="R639" t="inlineStr">
        <is>
          <t xml:space="preserve">HN </t>
        </is>
      </c>
      <c r="S639" t="n">
        <v>9</v>
      </c>
      <c r="T639" t="n">
        <v>9</v>
      </c>
      <c r="U639" t="inlineStr">
        <is>
          <t>2002-03-12</t>
        </is>
      </c>
      <c r="V639" t="inlineStr">
        <is>
          <t>2002-03-12</t>
        </is>
      </c>
      <c r="W639" t="inlineStr">
        <is>
          <t>1992-05-01</t>
        </is>
      </c>
      <c r="X639" t="inlineStr">
        <is>
          <t>1992-05-01</t>
        </is>
      </c>
      <c r="Y639" t="n">
        <v>959</v>
      </c>
      <c r="Z639" t="n">
        <v>868</v>
      </c>
      <c r="AA639" t="n">
        <v>902</v>
      </c>
      <c r="AB639" t="n">
        <v>11</v>
      </c>
      <c r="AC639" t="n">
        <v>11</v>
      </c>
      <c r="AD639" t="n">
        <v>40</v>
      </c>
      <c r="AE639" t="n">
        <v>41</v>
      </c>
      <c r="AF639" t="n">
        <v>13</v>
      </c>
      <c r="AG639" t="n">
        <v>14</v>
      </c>
      <c r="AH639" t="n">
        <v>8</v>
      </c>
      <c r="AI639" t="n">
        <v>8</v>
      </c>
      <c r="AJ639" t="n">
        <v>18</v>
      </c>
      <c r="AK639" t="n">
        <v>19</v>
      </c>
      <c r="AL639" t="n">
        <v>7</v>
      </c>
      <c r="AM639" t="n">
        <v>7</v>
      </c>
      <c r="AN639" t="n">
        <v>3</v>
      </c>
      <c r="AO639" t="n">
        <v>3</v>
      </c>
      <c r="AP639" t="inlineStr">
        <is>
          <t>Yes</t>
        </is>
      </c>
      <c r="AQ639" t="inlineStr">
        <is>
          <t>Yes</t>
        </is>
      </c>
      <c r="AR639">
        <f>HYPERLINK("http://catalog.hathitrust.org/Record/001109702","HathiTrust Record")</f>
        <v/>
      </c>
      <c r="AS639">
        <f>HYPERLINK("https://creighton-primo.hosted.exlibrisgroup.com/primo-explore/search?tab=default_tab&amp;search_scope=EVERYTHING&amp;vid=01CRU&amp;lang=en_US&amp;offset=0&amp;query=any,contains,991005254619702656","Catalog Record")</f>
        <v/>
      </c>
      <c r="AT639">
        <f>HYPERLINK("http://www.worldcat.org/oclc/309244","WorldCat Record")</f>
        <v/>
      </c>
      <c r="AU639" t="inlineStr">
        <is>
          <t>539607:eng</t>
        </is>
      </c>
      <c r="AV639" t="inlineStr">
        <is>
          <t>309244</t>
        </is>
      </c>
      <c r="AW639" t="inlineStr">
        <is>
          <t>991005254619702656</t>
        </is>
      </c>
      <c r="AX639" t="inlineStr">
        <is>
          <t>991005254619702656</t>
        </is>
      </c>
      <c r="AY639" t="inlineStr">
        <is>
          <t>2264757930002656</t>
        </is>
      </c>
      <c r="AZ639" t="inlineStr">
        <is>
          <t>BOOK</t>
        </is>
      </c>
      <c r="BB639" t="inlineStr">
        <is>
          <t>9780879441142</t>
        </is>
      </c>
      <c r="BC639" t="inlineStr">
        <is>
          <t>32285001090801</t>
        </is>
      </c>
      <c r="BD639" t="inlineStr">
        <is>
          <t>893607083</t>
        </is>
      </c>
    </row>
    <row r="640">
      <c r="A640" t="inlineStr">
        <is>
          <t>No</t>
        </is>
      </c>
      <c r="B640" t="inlineStr">
        <is>
          <t>HN90.V5 K56 1991</t>
        </is>
      </c>
      <c r="C640" t="inlineStr">
        <is>
          <t>0                      HN 0090000V  5                  K  56          1991</t>
        </is>
      </c>
      <c r="D640" t="inlineStr">
        <is>
          <t>Point blank : guns and violence in America / Gary Kleck.</t>
        </is>
      </c>
      <c r="F640" t="inlineStr">
        <is>
          <t>No</t>
        </is>
      </c>
      <c r="G640" t="inlineStr">
        <is>
          <t>1</t>
        </is>
      </c>
      <c r="H640" t="inlineStr">
        <is>
          <t>No</t>
        </is>
      </c>
      <c r="I640" t="inlineStr">
        <is>
          <t>No</t>
        </is>
      </c>
      <c r="J640" t="inlineStr">
        <is>
          <t>0</t>
        </is>
      </c>
      <c r="K640" t="inlineStr">
        <is>
          <t>Kleck, Gary, 1951-</t>
        </is>
      </c>
      <c r="L640" t="inlineStr">
        <is>
          <t>New York : A. de Gruyter, c1991.</t>
        </is>
      </c>
      <c r="M640" t="inlineStr">
        <is>
          <t>1991</t>
        </is>
      </c>
      <c r="O640" t="inlineStr">
        <is>
          <t>eng</t>
        </is>
      </c>
      <c r="P640" t="inlineStr">
        <is>
          <t>nyu</t>
        </is>
      </c>
      <c r="Q640" t="inlineStr">
        <is>
          <t>Social institutions and social change</t>
        </is>
      </c>
      <c r="R640" t="inlineStr">
        <is>
          <t xml:space="preserve">HN </t>
        </is>
      </c>
      <c r="S640" t="n">
        <v>22</v>
      </c>
      <c r="T640" t="n">
        <v>22</v>
      </c>
      <c r="U640" t="inlineStr">
        <is>
          <t>2007-12-20</t>
        </is>
      </c>
      <c r="V640" t="inlineStr">
        <is>
          <t>2007-12-20</t>
        </is>
      </c>
      <c r="W640" t="inlineStr">
        <is>
          <t>1992-12-08</t>
        </is>
      </c>
      <c r="X640" t="inlineStr">
        <is>
          <t>1992-12-08</t>
        </is>
      </c>
      <c r="Y640" t="n">
        <v>860</v>
      </c>
      <c r="Z640" t="n">
        <v>771</v>
      </c>
      <c r="AA640" t="n">
        <v>855</v>
      </c>
      <c r="AB640" t="n">
        <v>4</v>
      </c>
      <c r="AC640" t="n">
        <v>4</v>
      </c>
      <c r="AD640" t="n">
        <v>33</v>
      </c>
      <c r="AE640" t="n">
        <v>35</v>
      </c>
      <c r="AF640" t="n">
        <v>14</v>
      </c>
      <c r="AG640" t="n">
        <v>14</v>
      </c>
      <c r="AH640" t="n">
        <v>7</v>
      </c>
      <c r="AI640" t="n">
        <v>9</v>
      </c>
      <c r="AJ640" t="n">
        <v>17</v>
      </c>
      <c r="AK640" t="n">
        <v>18</v>
      </c>
      <c r="AL640" t="n">
        <v>3</v>
      </c>
      <c r="AM640" t="n">
        <v>3</v>
      </c>
      <c r="AN640" t="n">
        <v>2</v>
      </c>
      <c r="AO640" t="n">
        <v>2</v>
      </c>
      <c r="AP640" t="inlineStr">
        <is>
          <t>No</t>
        </is>
      </c>
      <c r="AQ640" t="inlineStr">
        <is>
          <t>No</t>
        </is>
      </c>
      <c r="AS640">
        <f>HYPERLINK("https://creighton-primo.hosted.exlibrisgroup.com/primo-explore/search?tab=default_tab&amp;search_scope=EVERYTHING&amp;vid=01CRU&amp;lang=en_US&amp;offset=0&amp;query=any,contains,991001873209702656","Catalog Record")</f>
        <v/>
      </c>
      <c r="AT640">
        <f>HYPERLINK("http://www.worldcat.org/oclc/23650894","WorldCat Record")</f>
        <v/>
      </c>
      <c r="AU640" t="inlineStr">
        <is>
          <t>19135097:eng</t>
        </is>
      </c>
      <c r="AV640" t="inlineStr">
        <is>
          <t>23650894</t>
        </is>
      </c>
      <c r="AW640" t="inlineStr">
        <is>
          <t>991001873209702656</t>
        </is>
      </c>
      <c r="AX640" t="inlineStr">
        <is>
          <t>991001873209702656</t>
        </is>
      </c>
      <c r="AY640" t="inlineStr">
        <is>
          <t>2271344570002656</t>
        </is>
      </c>
      <c r="AZ640" t="inlineStr">
        <is>
          <t>BOOK</t>
        </is>
      </c>
      <c r="BB640" t="inlineStr">
        <is>
          <t>9780202304199</t>
        </is>
      </c>
      <c r="BC640" t="inlineStr">
        <is>
          <t>32285001402154</t>
        </is>
      </c>
      <c r="BD640" t="inlineStr">
        <is>
          <t>893715784</t>
        </is>
      </c>
    </row>
    <row r="641">
      <c r="A641" t="inlineStr">
        <is>
          <t>No</t>
        </is>
      </c>
      <c r="B641" t="inlineStr">
        <is>
          <t>HN90.V5 L48 1999</t>
        </is>
      </c>
      <c r="C641" t="inlineStr">
        <is>
          <t>0                      HN 0090000V  5                  L  48          1999</t>
        </is>
      </c>
      <c r="D641" t="inlineStr">
        <is>
          <t>Lethal violence : a sourcebook on fatal domestic, acquaintance, and stranger violence / edited by Harold V. Hall.</t>
        </is>
      </c>
      <c r="F641" t="inlineStr">
        <is>
          <t>No</t>
        </is>
      </c>
      <c r="G641" t="inlineStr">
        <is>
          <t>1</t>
        </is>
      </c>
      <c r="H641" t="inlineStr">
        <is>
          <t>No</t>
        </is>
      </c>
      <c r="I641" t="inlineStr">
        <is>
          <t>No</t>
        </is>
      </c>
      <c r="J641" t="inlineStr">
        <is>
          <t>0</t>
        </is>
      </c>
      <c r="L641" t="inlineStr">
        <is>
          <t>Boca Raton, Fla. : CRC Press, c1999.</t>
        </is>
      </c>
      <c r="M641" t="inlineStr">
        <is>
          <t>1999</t>
        </is>
      </c>
      <c r="O641" t="inlineStr">
        <is>
          <t>eng</t>
        </is>
      </c>
      <c r="P641" t="inlineStr">
        <is>
          <t>flu</t>
        </is>
      </c>
      <c r="R641" t="inlineStr">
        <is>
          <t xml:space="preserve">HN </t>
        </is>
      </c>
      <c r="S641" t="n">
        <v>2</v>
      </c>
      <c r="T641" t="n">
        <v>2</v>
      </c>
      <c r="U641" t="inlineStr">
        <is>
          <t>2007-03-29</t>
        </is>
      </c>
      <c r="V641" t="inlineStr">
        <is>
          <t>2007-03-29</t>
        </is>
      </c>
      <c r="W641" t="inlineStr">
        <is>
          <t>2000-03-16</t>
        </is>
      </c>
      <c r="X641" t="inlineStr">
        <is>
          <t>2000-03-16</t>
        </is>
      </c>
      <c r="Y641" t="n">
        <v>227</v>
      </c>
      <c r="Z641" t="n">
        <v>190</v>
      </c>
      <c r="AA641" t="n">
        <v>196</v>
      </c>
      <c r="AB641" t="n">
        <v>3</v>
      </c>
      <c r="AC641" t="n">
        <v>3</v>
      </c>
      <c r="AD641" t="n">
        <v>10</v>
      </c>
      <c r="AE641" t="n">
        <v>10</v>
      </c>
      <c r="AF641" t="n">
        <v>5</v>
      </c>
      <c r="AG641" t="n">
        <v>5</v>
      </c>
      <c r="AH641" t="n">
        <v>1</v>
      </c>
      <c r="AI641" t="n">
        <v>1</v>
      </c>
      <c r="AJ641" t="n">
        <v>6</v>
      </c>
      <c r="AK641" t="n">
        <v>6</v>
      </c>
      <c r="AL641" t="n">
        <v>2</v>
      </c>
      <c r="AM641" t="n">
        <v>2</v>
      </c>
      <c r="AN641" t="n">
        <v>0</v>
      </c>
      <c r="AO641" t="n">
        <v>0</v>
      </c>
      <c r="AP641" t="inlineStr">
        <is>
          <t>No</t>
        </is>
      </c>
      <c r="AQ641" t="inlineStr">
        <is>
          <t>No</t>
        </is>
      </c>
      <c r="AS641">
        <f>HYPERLINK("https://creighton-primo.hosted.exlibrisgroup.com/primo-explore/search?tab=default_tab&amp;search_scope=EVERYTHING&amp;vid=01CRU&amp;lang=en_US&amp;offset=0&amp;query=any,contains,991002961909702656","Catalog Record")</f>
        <v/>
      </c>
      <c r="AT641">
        <f>HYPERLINK("http://www.worldcat.org/oclc/39625122","WorldCat Record")</f>
        <v/>
      </c>
      <c r="AU641" t="inlineStr">
        <is>
          <t>42034292:eng</t>
        </is>
      </c>
      <c r="AV641" t="inlineStr">
        <is>
          <t>39625122</t>
        </is>
      </c>
      <c r="AW641" t="inlineStr">
        <is>
          <t>991002961909702656</t>
        </is>
      </c>
      <c r="AX641" t="inlineStr">
        <is>
          <t>991002961909702656</t>
        </is>
      </c>
      <c r="AY641" t="inlineStr">
        <is>
          <t>2261904680002656</t>
        </is>
      </c>
      <c r="AZ641" t="inlineStr">
        <is>
          <t>BOOK</t>
        </is>
      </c>
      <c r="BB641" t="inlineStr">
        <is>
          <t>9780849370038</t>
        </is>
      </c>
      <c r="BC641" t="inlineStr">
        <is>
          <t>32285003670246</t>
        </is>
      </c>
      <c r="BD641" t="inlineStr">
        <is>
          <t>893698503</t>
        </is>
      </c>
    </row>
    <row r="642">
      <c r="A642" t="inlineStr">
        <is>
          <t>No</t>
        </is>
      </c>
      <c r="B642" t="inlineStr">
        <is>
          <t>HN90.V5 L55 1995</t>
        </is>
      </c>
      <c r="C642" t="inlineStr">
        <is>
          <t>0                      HN 0090000V  5                  L  55          1995</t>
        </is>
      </c>
      <c r="D642" t="inlineStr">
        <is>
          <t>Stress, culture, &amp; aggression / Arnold S. Linsky, Ronet Bachman, Murray A. Straus.</t>
        </is>
      </c>
      <c r="F642" t="inlineStr">
        <is>
          <t>No</t>
        </is>
      </c>
      <c r="G642" t="inlineStr">
        <is>
          <t>1</t>
        </is>
      </c>
      <c r="H642" t="inlineStr">
        <is>
          <t>No</t>
        </is>
      </c>
      <c r="I642" t="inlineStr">
        <is>
          <t>No</t>
        </is>
      </c>
      <c r="J642" t="inlineStr">
        <is>
          <t>0</t>
        </is>
      </c>
      <c r="K642" t="inlineStr">
        <is>
          <t>Linsky, Arnold S. (Arnold Stanley)</t>
        </is>
      </c>
      <c r="L642" t="inlineStr">
        <is>
          <t>New Haven : Yale University Press, c1995.</t>
        </is>
      </c>
      <c r="M642" t="inlineStr">
        <is>
          <t>1995</t>
        </is>
      </c>
      <c r="O642" t="inlineStr">
        <is>
          <t>eng</t>
        </is>
      </c>
      <c r="P642" t="inlineStr">
        <is>
          <t>ctu</t>
        </is>
      </c>
      <c r="R642" t="inlineStr">
        <is>
          <t xml:space="preserve">HN </t>
        </is>
      </c>
      <c r="S642" t="n">
        <v>7</v>
      </c>
      <c r="T642" t="n">
        <v>7</v>
      </c>
      <c r="U642" t="inlineStr">
        <is>
          <t>2004-12-05</t>
        </is>
      </c>
      <c r="V642" t="inlineStr">
        <is>
          <t>2004-12-05</t>
        </is>
      </c>
      <c r="W642" t="inlineStr">
        <is>
          <t>1995-12-11</t>
        </is>
      </c>
      <c r="X642" t="inlineStr">
        <is>
          <t>1995-12-11</t>
        </is>
      </c>
      <c r="Y642" t="n">
        <v>576</v>
      </c>
      <c r="Z642" t="n">
        <v>491</v>
      </c>
      <c r="AA642" t="n">
        <v>492</v>
      </c>
      <c r="AB642" t="n">
        <v>4</v>
      </c>
      <c r="AC642" t="n">
        <v>4</v>
      </c>
      <c r="AD642" t="n">
        <v>27</v>
      </c>
      <c r="AE642" t="n">
        <v>27</v>
      </c>
      <c r="AF642" t="n">
        <v>10</v>
      </c>
      <c r="AG642" t="n">
        <v>10</v>
      </c>
      <c r="AH642" t="n">
        <v>8</v>
      </c>
      <c r="AI642" t="n">
        <v>8</v>
      </c>
      <c r="AJ642" t="n">
        <v>15</v>
      </c>
      <c r="AK642" t="n">
        <v>15</v>
      </c>
      <c r="AL642" t="n">
        <v>3</v>
      </c>
      <c r="AM642" t="n">
        <v>3</v>
      </c>
      <c r="AN642" t="n">
        <v>0</v>
      </c>
      <c r="AO642" t="n">
        <v>0</v>
      </c>
      <c r="AP642" t="inlineStr">
        <is>
          <t>No</t>
        </is>
      </c>
      <c r="AQ642" t="inlineStr">
        <is>
          <t>No</t>
        </is>
      </c>
      <c r="AS642">
        <f>HYPERLINK("https://creighton-primo.hosted.exlibrisgroup.com/primo-explore/search?tab=default_tab&amp;search_scope=EVERYTHING&amp;vid=01CRU&amp;lang=en_US&amp;offset=0&amp;query=any,contains,991002440699702656","Catalog Record")</f>
        <v/>
      </c>
      <c r="AT642">
        <f>HYPERLINK("http://www.worldcat.org/oclc/31815192","WorldCat Record")</f>
        <v/>
      </c>
      <c r="AU642" t="inlineStr">
        <is>
          <t>33867771:eng</t>
        </is>
      </c>
      <c r="AV642" t="inlineStr">
        <is>
          <t>31815192</t>
        </is>
      </c>
      <c r="AW642" t="inlineStr">
        <is>
          <t>991002440699702656</t>
        </is>
      </c>
      <c r="AX642" t="inlineStr">
        <is>
          <t>991002440699702656</t>
        </is>
      </c>
      <c r="AY642" t="inlineStr">
        <is>
          <t>2264012910002656</t>
        </is>
      </c>
      <c r="AZ642" t="inlineStr">
        <is>
          <t>BOOK</t>
        </is>
      </c>
      <c r="BB642" t="inlineStr">
        <is>
          <t>9780300057065</t>
        </is>
      </c>
      <c r="BC642" t="inlineStr">
        <is>
          <t>32285002110533</t>
        </is>
      </c>
      <c r="BD642" t="inlineStr">
        <is>
          <t>893898756</t>
        </is>
      </c>
    </row>
    <row r="643">
      <c r="A643" t="inlineStr">
        <is>
          <t>No</t>
        </is>
      </c>
      <c r="B643" t="inlineStr">
        <is>
          <t>HN90.V5 M53 1970</t>
        </is>
      </c>
      <c r="C643" t="inlineStr">
        <is>
          <t>0                      HN 0090000V  5                  M  53          1970</t>
        </is>
      </c>
      <c r="D643" t="inlineStr">
        <is>
          <t>Violence : the crisis of American confidence / edited by Hugh Davis Graham. Associate editors: Stephen Paul Mahinka and Dean William Rudoy.</t>
        </is>
      </c>
      <c r="F643" t="inlineStr">
        <is>
          <t>No</t>
        </is>
      </c>
      <c r="G643" t="inlineStr">
        <is>
          <t>1</t>
        </is>
      </c>
      <c r="H643" t="inlineStr">
        <is>
          <t>No</t>
        </is>
      </c>
      <c r="I643" t="inlineStr">
        <is>
          <t>No</t>
        </is>
      </c>
      <c r="J643" t="inlineStr">
        <is>
          <t>0</t>
        </is>
      </c>
      <c r="K643" t="inlineStr">
        <is>
          <t>Milton S. Eisenhower Symposium.</t>
        </is>
      </c>
      <c r="L643" t="inlineStr">
        <is>
          <t>Baltimore : Johns Hopkins Press, [c1971]</t>
        </is>
      </c>
      <c r="M643" t="inlineStr">
        <is>
          <t>1971</t>
        </is>
      </c>
      <c r="O643" t="inlineStr">
        <is>
          <t>eng</t>
        </is>
      </c>
      <c r="P643" t="inlineStr">
        <is>
          <t>mdu</t>
        </is>
      </c>
      <c r="R643" t="inlineStr">
        <is>
          <t xml:space="preserve">HN </t>
        </is>
      </c>
      <c r="S643" t="n">
        <v>7</v>
      </c>
      <c r="T643" t="n">
        <v>7</v>
      </c>
      <c r="U643" t="inlineStr">
        <is>
          <t>2002-03-12</t>
        </is>
      </c>
      <c r="V643" t="inlineStr">
        <is>
          <t>2002-03-12</t>
        </is>
      </c>
      <c r="W643" t="inlineStr">
        <is>
          <t>1992-11-02</t>
        </is>
      </c>
      <c r="X643" t="inlineStr">
        <is>
          <t>1992-11-02</t>
        </is>
      </c>
      <c r="Y643" t="n">
        <v>807</v>
      </c>
      <c r="Z643" t="n">
        <v>730</v>
      </c>
      <c r="AA643" t="n">
        <v>738</v>
      </c>
      <c r="AB643" t="n">
        <v>5</v>
      </c>
      <c r="AC643" t="n">
        <v>5</v>
      </c>
      <c r="AD643" t="n">
        <v>30</v>
      </c>
      <c r="AE643" t="n">
        <v>30</v>
      </c>
      <c r="AF643" t="n">
        <v>10</v>
      </c>
      <c r="AG643" t="n">
        <v>10</v>
      </c>
      <c r="AH643" t="n">
        <v>6</v>
      </c>
      <c r="AI643" t="n">
        <v>6</v>
      </c>
      <c r="AJ643" t="n">
        <v>14</v>
      </c>
      <c r="AK643" t="n">
        <v>14</v>
      </c>
      <c r="AL643" t="n">
        <v>3</v>
      </c>
      <c r="AM643" t="n">
        <v>3</v>
      </c>
      <c r="AN643" t="n">
        <v>2</v>
      </c>
      <c r="AO643" t="n">
        <v>2</v>
      </c>
      <c r="AP643" t="inlineStr">
        <is>
          <t>No</t>
        </is>
      </c>
      <c r="AQ643" t="inlineStr">
        <is>
          <t>Yes</t>
        </is>
      </c>
      <c r="AR643">
        <f>HYPERLINK("http://catalog.hathitrust.org/Record/000975150","HathiTrust Record")</f>
        <v/>
      </c>
      <c r="AS643">
        <f>HYPERLINK("https://creighton-primo.hosted.exlibrisgroup.com/primo-explore/search?tab=default_tab&amp;search_scope=EVERYTHING&amp;vid=01CRU&amp;lang=en_US&amp;offset=0&amp;query=any,contains,991002193649702656","Catalog Record")</f>
        <v/>
      </c>
      <c r="AT643">
        <f>HYPERLINK("http://www.worldcat.org/oclc/282109","WorldCat Record")</f>
        <v/>
      </c>
      <c r="AU643" t="inlineStr">
        <is>
          <t>889205271:eng</t>
        </is>
      </c>
      <c r="AV643" t="inlineStr">
        <is>
          <t>282109</t>
        </is>
      </c>
      <c r="AW643" t="inlineStr">
        <is>
          <t>991002193649702656</t>
        </is>
      </c>
      <c r="AX643" t="inlineStr">
        <is>
          <t>991002193649702656</t>
        </is>
      </c>
      <c r="AY643" t="inlineStr">
        <is>
          <t>2266275120002656</t>
        </is>
      </c>
      <c r="AZ643" t="inlineStr">
        <is>
          <t>BOOK</t>
        </is>
      </c>
      <c r="BB643" t="inlineStr">
        <is>
          <t>9780801812996</t>
        </is>
      </c>
      <c r="BC643" t="inlineStr">
        <is>
          <t>32285001380186</t>
        </is>
      </c>
      <c r="BD643" t="inlineStr">
        <is>
          <t>893691309</t>
        </is>
      </c>
    </row>
    <row r="644">
      <c r="A644" t="inlineStr">
        <is>
          <t>No</t>
        </is>
      </c>
      <c r="B644" t="inlineStr">
        <is>
          <t>HN90.V5 R33 1991</t>
        </is>
      </c>
      <c r="C644" t="inlineStr">
        <is>
          <t>0                      HN 0090000V  5                  R  33          1991</t>
        </is>
      </c>
      <c r="D644" t="inlineStr">
        <is>
          <t>Racial &amp; religious violence in America : a chronology / by Michael Newton and Judy Ann Newton.</t>
        </is>
      </c>
      <c r="F644" t="inlineStr">
        <is>
          <t>No</t>
        </is>
      </c>
      <c r="G644" t="inlineStr">
        <is>
          <t>1</t>
        </is>
      </c>
      <c r="H644" t="inlineStr">
        <is>
          <t>No</t>
        </is>
      </c>
      <c r="I644" t="inlineStr">
        <is>
          <t>No</t>
        </is>
      </c>
      <c r="J644" t="inlineStr">
        <is>
          <t>0</t>
        </is>
      </c>
      <c r="K644" t="inlineStr">
        <is>
          <t>Newton, Michael, 1951-</t>
        </is>
      </c>
      <c r="L644" t="inlineStr">
        <is>
          <t>New York : Garland, 1991.</t>
        </is>
      </c>
      <c r="M644" t="inlineStr">
        <is>
          <t>1991</t>
        </is>
      </c>
      <c r="O644" t="inlineStr">
        <is>
          <t>eng</t>
        </is>
      </c>
      <c r="P644" t="inlineStr">
        <is>
          <t>nyu</t>
        </is>
      </c>
      <c r="Q644" t="inlineStr">
        <is>
          <t>Garland reference library of the social sciences ; vol. 501</t>
        </is>
      </c>
      <c r="R644" t="inlineStr">
        <is>
          <t xml:space="preserve">HN </t>
        </is>
      </c>
      <c r="S644" t="n">
        <v>9</v>
      </c>
      <c r="T644" t="n">
        <v>9</v>
      </c>
      <c r="U644" t="inlineStr">
        <is>
          <t>2002-06-25</t>
        </is>
      </c>
      <c r="V644" t="inlineStr">
        <is>
          <t>2002-06-25</t>
        </is>
      </c>
      <c r="W644" t="inlineStr">
        <is>
          <t>1992-11-20</t>
        </is>
      </c>
      <c r="X644" t="inlineStr">
        <is>
          <t>1992-11-20</t>
        </is>
      </c>
      <c r="Y644" t="n">
        <v>660</v>
      </c>
      <c r="Z644" t="n">
        <v>589</v>
      </c>
      <c r="AA644" t="n">
        <v>594</v>
      </c>
      <c r="AB644" t="n">
        <v>5</v>
      </c>
      <c r="AC644" t="n">
        <v>5</v>
      </c>
      <c r="AD644" t="n">
        <v>24</v>
      </c>
      <c r="AE644" t="n">
        <v>24</v>
      </c>
      <c r="AF644" t="n">
        <v>8</v>
      </c>
      <c r="AG644" t="n">
        <v>8</v>
      </c>
      <c r="AH644" t="n">
        <v>6</v>
      </c>
      <c r="AI644" t="n">
        <v>6</v>
      </c>
      <c r="AJ644" t="n">
        <v>10</v>
      </c>
      <c r="AK644" t="n">
        <v>10</v>
      </c>
      <c r="AL644" t="n">
        <v>3</v>
      </c>
      <c r="AM644" t="n">
        <v>3</v>
      </c>
      <c r="AN644" t="n">
        <v>2</v>
      </c>
      <c r="AO644" t="n">
        <v>2</v>
      </c>
      <c r="AP644" t="inlineStr">
        <is>
          <t>No</t>
        </is>
      </c>
      <c r="AQ644" t="inlineStr">
        <is>
          <t>No</t>
        </is>
      </c>
      <c r="AS644">
        <f>HYPERLINK("https://creighton-primo.hosted.exlibrisgroup.com/primo-explore/search?tab=default_tab&amp;search_scope=EVERYTHING&amp;vid=01CRU&amp;lang=en_US&amp;offset=0&amp;query=any,contains,991001807079702656","Catalog Record")</f>
        <v/>
      </c>
      <c r="AT644">
        <f>HYPERLINK("http://www.worldcat.org/oclc/22709579","WorldCat Record")</f>
        <v/>
      </c>
      <c r="AU644" t="inlineStr">
        <is>
          <t>364768369:eng</t>
        </is>
      </c>
      <c r="AV644" t="inlineStr">
        <is>
          <t>22709579</t>
        </is>
      </c>
      <c r="AW644" t="inlineStr">
        <is>
          <t>991001807079702656</t>
        </is>
      </c>
      <c r="AX644" t="inlineStr">
        <is>
          <t>991001807079702656</t>
        </is>
      </c>
      <c r="AY644" t="inlineStr">
        <is>
          <t>2270425780002656</t>
        </is>
      </c>
      <c r="AZ644" t="inlineStr">
        <is>
          <t>BOOK</t>
        </is>
      </c>
      <c r="BB644" t="inlineStr">
        <is>
          <t>9780824048488</t>
        </is>
      </c>
      <c r="BC644" t="inlineStr">
        <is>
          <t>32285001364081</t>
        </is>
      </c>
      <c r="BD644" t="inlineStr">
        <is>
          <t>893621642</t>
        </is>
      </c>
    </row>
    <row r="645">
      <c r="A645" t="inlineStr">
        <is>
          <t>No</t>
        </is>
      </c>
      <c r="B645" t="inlineStr">
        <is>
          <t>HN90.V5 S48 2001</t>
        </is>
      </c>
      <c r="C645" t="inlineStr">
        <is>
          <t>0                      HN 0090000V  5                  S  48          2001</t>
        </is>
      </c>
      <c r="D645" t="inlineStr">
        <is>
          <t>The uncivil war : the rise of hate, violence, and terrorism in America / Stephen Singular.</t>
        </is>
      </c>
      <c r="F645" t="inlineStr">
        <is>
          <t>No</t>
        </is>
      </c>
      <c r="G645" t="inlineStr">
        <is>
          <t>1</t>
        </is>
      </c>
      <c r="H645" t="inlineStr">
        <is>
          <t>No</t>
        </is>
      </c>
      <c r="I645" t="inlineStr">
        <is>
          <t>No</t>
        </is>
      </c>
      <c r="J645" t="inlineStr">
        <is>
          <t>0</t>
        </is>
      </c>
      <c r="K645" t="inlineStr">
        <is>
          <t>Singular, Stephen.</t>
        </is>
      </c>
      <c r="L645" t="inlineStr">
        <is>
          <t>Beverly Hills, CA : New Millennium Press, c2001.</t>
        </is>
      </c>
      <c r="M645" t="inlineStr">
        <is>
          <t>2001</t>
        </is>
      </c>
      <c r="O645" t="inlineStr">
        <is>
          <t>eng</t>
        </is>
      </c>
      <c r="P645" t="inlineStr">
        <is>
          <t>cau</t>
        </is>
      </c>
      <c r="R645" t="inlineStr">
        <is>
          <t xml:space="preserve">HN </t>
        </is>
      </c>
      <c r="S645" t="n">
        <v>2</v>
      </c>
      <c r="T645" t="n">
        <v>2</v>
      </c>
      <c r="U645" t="inlineStr">
        <is>
          <t>2002-04-03</t>
        </is>
      </c>
      <c r="V645" t="inlineStr">
        <is>
          <t>2002-04-03</t>
        </is>
      </c>
      <c r="W645" t="inlineStr">
        <is>
          <t>2001-10-31</t>
        </is>
      </c>
      <c r="X645" t="inlineStr">
        <is>
          <t>2001-10-31</t>
        </is>
      </c>
      <c r="Y645" t="n">
        <v>193</v>
      </c>
      <c r="Z645" t="n">
        <v>180</v>
      </c>
      <c r="AA645" t="n">
        <v>185</v>
      </c>
      <c r="AB645" t="n">
        <v>1</v>
      </c>
      <c r="AC645" t="n">
        <v>1</v>
      </c>
      <c r="AD645" t="n">
        <v>6</v>
      </c>
      <c r="AE645" t="n">
        <v>6</v>
      </c>
      <c r="AF645" t="n">
        <v>2</v>
      </c>
      <c r="AG645" t="n">
        <v>2</v>
      </c>
      <c r="AH645" t="n">
        <v>2</v>
      </c>
      <c r="AI645" t="n">
        <v>2</v>
      </c>
      <c r="AJ645" t="n">
        <v>2</v>
      </c>
      <c r="AK645" t="n">
        <v>2</v>
      </c>
      <c r="AL645" t="n">
        <v>0</v>
      </c>
      <c r="AM645" t="n">
        <v>0</v>
      </c>
      <c r="AN645" t="n">
        <v>1</v>
      </c>
      <c r="AO645" t="n">
        <v>1</v>
      </c>
      <c r="AP645" t="inlineStr">
        <is>
          <t>No</t>
        </is>
      </c>
      <c r="AQ645" t="inlineStr">
        <is>
          <t>No</t>
        </is>
      </c>
      <c r="AS645">
        <f>HYPERLINK("https://creighton-primo.hosted.exlibrisgroup.com/primo-explore/search?tab=default_tab&amp;search_scope=EVERYTHING&amp;vid=01CRU&amp;lang=en_US&amp;offset=0&amp;query=any,contains,991003639769702656","Catalog Record")</f>
        <v/>
      </c>
      <c r="AT645">
        <f>HYPERLINK("http://www.worldcat.org/oclc/44131841","WorldCat Record")</f>
        <v/>
      </c>
      <c r="AU645" t="inlineStr">
        <is>
          <t>33595858:eng</t>
        </is>
      </c>
      <c r="AV645" t="inlineStr">
        <is>
          <t>44131841</t>
        </is>
      </c>
      <c r="AW645" t="inlineStr">
        <is>
          <t>991003639769702656</t>
        </is>
      </c>
      <c r="AX645" t="inlineStr">
        <is>
          <t>991003639769702656</t>
        </is>
      </c>
      <c r="AY645" t="inlineStr">
        <is>
          <t>2270694470002656</t>
        </is>
      </c>
      <c r="AZ645" t="inlineStr">
        <is>
          <t>BOOK</t>
        </is>
      </c>
      <c r="BB645" t="inlineStr">
        <is>
          <t>9781893224193</t>
        </is>
      </c>
      <c r="BC645" t="inlineStr">
        <is>
          <t>32285004417092</t>
        </is>
      </c>
      <c r="BD645" t="inlineStr">
        <is>
          <t>893598790</t>
        </is>
      </c>
    </row>
    <row r="646">
      <c r="A646" t="inlineStr">
        <is>
          <t>No</t>
        </is>
      </c>
      <c r="B646" t="inlineStr">
        <is>
          <t>HN90.V5 T38</t>
        </is>
      </c>
      <c r="C646" t="inlineStr">
        <is>
          <t>0                      HN 0090000V  5                  T  38</t>
        </is>
      </c>
      <c r="D646" t="inlineStr">
        <is>
          <t>Violence: an element of American life / edited by Karl K. Taylor [and] Fred W. Soady, Jr.</t>
        </is>
      </c>
      <c r="F646" t="inlineStr">
        <is>
          <t>No</t>
        </is>
      </c>
      <c r="G646" t="inlineStr">
        <is>
          <t>1</t>
        </is>
      </c>
      <c r="H646" t="inlineStr">
        <is>
          <t>No</t>
        </is>
      </c>
      <c r="I646" t="inlineStr">
        <is>
          <t>No</t>
        </is>
      </c>
      <c r="J646" t="inlineStr">
        <is>
          <t>0</t>
        </is>
      </c>
      <c r="K646" t="inlineStr">
        <is>
          <t>Taylor, Karl K., compiler.</t>
        </is>
      </c>
      <c r="L646" t="inlineStr">
        <is>
          <t>Boston, Holbrook Press [1972]</t>
        </is>
      </c>
      <c r="M646" t="inlineStr">
        <is>
          <t>1972</t>
        </is>
      </c>
      <c r="O646" t="inlineStr">
        <is>
          <t>eng</t>
        </is>
      </c>
      <c r="P646" t="inlineStr">
        <is>
          <t>mau</t>
        </is>
      </c>
      <c r="R646" t="inlineStr">
        <is>
          <t xml:space="preserve">HN </t>
        </is>
      </c>
      <c r="S646" t="n">
        <v>9</v>
      </c>
      <c r="T646" t="n">
        <v>9</v>
      </c>
      <c r="U646" t="inlineStr">
        <is>
          <t>2002-03-12</t>
        </is>
      </c>
      <c r="V646" t="inlineStr">
        <is>
          <t>2002-03-12</t>
        </is>
      </c>
      <c r="W646" t="inlineStr">
        <is>
          <t>1995-06-30</t>
        </is>
      </c>
      <c r="X646" t="inlineStr">
        <is>
          <t>1995-06-30</t>
        </is>
      </c>
      <c r="Y646" t="n">
        <v>242</v>
      </c>
      <c r="Z646" t="n">
        <v>223</v>
      </c>
      <c r="AA646" t="n">
        <v>225</v>
      </c>
      <c r="AB646" t="n">
        <v>4</v>
      </c>
      <c r="AC646" t="n">
        <v>4</v>
      </c>
      <c r="AD646" t="n">
        <v>10</v>
      </c>
      <c r="AE646" t="n">
        <v>10</v>
      </c>
      <c r="AF646" t="n">
        <v>0</v>
      </c>
      <c r="AG646" t="n">
        <v>0</v>
      </c>
      <c r="AH646" t="n">
        <v>2</v>
      </c>
      <c r="AI646" t="n">
        <v>2</v>
      </c>
      <c r="AJ646" t="n">
        <v>3</v>
      </c>
      <c r="AK646" t="n">
        <v>3</v>
      </c>
      <c r="AL646" t="n">
        <v>3</v>
      </c>
      <c r="AM646" t="n">
        <v>3</v>
      </c>
      <c r="AN646" t="n">
        <v>3</v>
      </c>
      <c r="AO646" t="n">
        <v>3</v>
      </c>
      <c r="AP646" t="inlineStr">
        <is>
          <t>No</t>
        </is>
      </c>
      <c r="AQ646" t="inlineStr">
        <is>
          <t>Yes</t>
        </is>
      </c>
      <c r="AR646">
        <f>HYPERLINK("http://catalog.hathitrust.org/Record/000975154","HathiTrust Record")</f>
        <v/>
      </c>
      <c r="AS646">
        <f>HYPERLINK("https://creighton-primo.hosted.exlibrisgroup.com/primo-explore/search?tab=default_tab&amp;search_scope=EVERYTHING&amp;vid=01CRU&amp;lang=en_US&amp;offset=0&amp;query=any,contains,991002249149702656","Catalog Record")</f>
        <v/>
      </c>
      <c r="AT646">
        <f>HYPERLINK("http://www.worldcat.org/oclc/298438","WorldCat Record")</f>
        <v/>
      </c>
      <c r="AU646" t="inlineStr">
        <is>
          <t>1504619:eng</t>
        </is>
      </c>
      <c r="AV646" t="inlineStr">
        <is>
          <t>298438</t>
        </is>
      </c>
      <c r="AW646" t="inlineStr">
        <is>
          <t>991002249149702656</t>
        </is>
      </c>
      <c r="AX646" t="inlineStr">
        <is>
          <t>991002249149702656</t>
        </is>
      </c>
      <c r="AY646" t="inlineStr">
        <is>
          <t>2264874440002656</t>
        </is>
      </c>
      <c r="AZ646" t="inlineStr">
        <is>
          <t>BOOK</t>
        </is>
      </c>
      <c r="BC646" t="inlineStr">
        <is>
          <t>32285002021979</t>
        </is>
      </c>
      <c r="BD646" t="inlineStr">
        <is>
          <t>893226618</t>
        </is>
      </c>
    </row>
    <row r="647">
      <c r="A647" t="inlineStr">
        <is>
          <t>No</t>
        </is>
      </c>
      <c r="B647" t="inlineStr">
        <is>
          <t>HN90.V5 T66</t>
        </is>
      </c>
      <c r="C647" t="inlineStr">
        <is>
          <t>0                      HN 0090000V  5                  T  66</t>
        </is>
      </c>
      <c r="D647" t="inlineStr">
        <is>
          <t>Unchallenged violence : an American ordeal / Robert Brent Toplin.</t>
        </is>
      </c>
      <c r="F647" t="inlineStr">
        <is>
          <t>No</t>
        </is>
      </c>
      <c r="G647" t="inlineStr">
        <is>
          <t>1</t>
        </is>
      </c>
      <c r="H647" t="inlineStr">
        <is>
          <t>No</t>
        </is>
      </c>
      <c r="I647" t="inlineStr">
        <is>
          <t>No</t>
        </is>
      </c>
      <c r="J647" t="inlineStr">
        <is>
          <t>0</t>
        </is>
      </c>
      <c r="K647" t="inlineStr">
        <is>
          <t>Toplin, Robert Brent, 1940-</t>
        </is>
      </c>
      <c r="L647" t="inlineStr">
        <is>
          <t>Westport, Conn. : Greenwood Press, 1975.</t>
        </is>
      </c>
      <c r="M647" t="inlineStr">
        <is>
          <t>1975</t>
        </is>
      </c>
      <c r="O647" t="inlineStr">
        <is>
          <t>eng</t>
        </is>
      </c>
      <c r="P647" t="inlineStr">
        <is>
          <t>ctu</t>
        </is>
      </c>
      <c r="R647" t="inlineStr">
        <is>
          <t xml:space="preserve">HN </t>
        </is>
      </c>
      <c r="S647" t="n">
        <v>3</v>
      </c>
      <c r="T647" t="n">
        <v>3</v>
      </c>
      <c r="U647" t="inlineStr">
        <is>
          <t>1995-06-07</t>
        </is>
      </c>
      <c r="V647" t="inlineStr">
        <is>
          <t>1995-06-07</t>
        </is>
      </c>
      <c r="W647" t="inlineStr">
        <is>
          <t>1992-05-01</t>
        </is>
      </c>
      <c r="X647" t="inlineStr">
        <is>
          <t>1992-05-01</t>
        </is>
      </c>
      <c r="Y647" t="n">
        <v>658</v>
      </c>
      <c r="Z647" t="n">
        <v>571</v>
      </c>
      <c r="AA647" t="n">
        <v>573</v>
      </c>
      <c r="AB647" t="n">
        <v>4</v>
      </c>
      <c r="AC647" t="n">
        <v>4</v>
      </c>
      <c r="AD647" t="n">
        <v>21</v>
      </c>
      <c r="AE647" t="n">
        <v>21</v>
      </c>
      <c r="AF647" t="n">
        <v>4</v>
      </c>
      <c r="AG647" t="n">
        <v>4</v>
      </c>
      <c r="AH647" t="n">
        <v>4</v>
      </c>
      <c r="AI647" t="n">
        <v>4</v>
      </c>
      <c r="AJ647" t="n">
        <v>14</v>
      </c>
      <c r="AK647" t="n">
        <v>14</v>
      </c>
      <c r="AL647" t="n">
        <v>3</v>
      </c>
      <c r="AM647" t="n">
        <v>3</v>
      </c>
      <c r="AN647" t="n">
        <v>1</v>
      </c>
      <c r="AO647" t="n">
        <v>1</v>
      </c>
      <c r="AP647" t="inlineStr">
        <is>
          <t>No</t>
        </is>
      </c>
      <c r="AQ647" t="inlineStr">
        <is>
          <t>Yes</t>
        </is>
      </c>
      <c r="AR647">
        <f>HYPERLINK("http://catalog.hathitrust.org/Record/000028950","HathiTrust Record")</f>
        <v/>
      </c>
      <c r="AS647">
        <f>HYPERLINK("https://creighton-primo.hosted.exlibrisgroup.com/primo-explore/search?tab=default_tab&amp;search_scope=EVERYTHING&amp;vid=01CRU&amp;lang=en_US&amp;offset=0&amp;query=any,contains,991003662309702656","Catalog Record")</f>
        <v/>
      </c>
      <c r="AT647">
        <f>HYPERLINK("http://www.worldcat.org/oclc/1273342","WorldCat Record")</f>
        <v/>
      </c>
      <c r="AU647" t="inlineStr">
        <is>
          <t>501138:eng</t>
        </is>
      </c>
      <c r="AV647" t="inlineStr">
        <is>
          <t>1273342</t>
        </is>
      </c>
      <c r="AW647" t="inlineStr">
        <is>
          <t>991003662309702656</t>
        </is>
      </c>
      <c r="AX647" t="inlineStr">
        <is>
          <t>991003662309702656</t>
        </is>
      </c>
      <c r="AY647" t="inlineStr">
        <is>
          <t>2267755840002656</t>
        </is>
      </c>
      <c r="AZ647" t="inlineStr">
        <is>
          <t>BOOK</t>
        </is>
      </c>
      <c r="BB647" t="inlineStr">
        <is>
          <t>9780837177489</t>
        </is>
      </c>
      <c r="BC647" t="inlineStr">
        <is>
          <t>32285001090538</t>
        </is>
      </c>
      <c r="BD647" t="inlineStr">
        <is>
          <t>893318234</t>
        </is>
      </c>
    </row>
    <row r="648">
      <c r="A648" t="inlineStr">
        <is>
          <t>No</t>
        </is>
      </c>
      <c r="B648" t="inlineStr">
        <is>
          <t>HN90.V5 U53 1993</t>
        </is>
      </c>
      <c r="C648" t="inlineStr">
        <is>
          <t>0                      HN 0090000V  5                  U  53          1993</t>
        </is>
      </c>
      <c r="D648" t="inlineStr">
        <is>
          <t>Understanding and preventing violence / Albert J. Reiss, Jr., and Jeffrey A. Roth, editors.</t>
        </is>
      </c>
      <c r="F648" t="inlineStr">
        <is>
          <t>No</t>
        </is>
      </c>
      <c r="G648" t="inlineStr">
        <is>
          <t>1</t>
        </is>
      </c>
      <c r="H648" t="inlineStr">
        <is>
          <t>Yes</t>
        </is>
      </c>
      <c r="I648" t="inlineStr">
        <is>
          <t>No</t>
        </is>
      </c>
      <c r="J648" t="inlineStr">
        <is>
          <t>0</t>
        </is>
      </c>
      <c r="L648" t="inlineStr">
        <is>
          <t>Washington, D.C. : National Academy Press, 1993.</t>
        </is>
      </c>
      <c r="M648" t="inlineStr">
        <is>
          <t>1993</t>
        </is>
      </c>
      <c r="O648" t="inlineStr">
        <is>
          <t>eng</t>
        </is>
      </c>
      <c r="P648" t="inlineStr">
        <is>
          <t>dcu</t>
        </is>
      </c>
      <c r="R648" t="inlineStr">
        <is>
          <t xml:space="preserve">HN </t>
        </is>
      </c>
      <c r="S648" t="n">
        <v>4</v>
      </c>
      <c r="T648" t="n">
        <v>12</v>
      </c>
      <c r="U648" t="inlineStr">
        <is>
          <t>2003-02-06</t>
        </is>
      </c>
      <c r="V648" t="inlineStr">
        <is>
          <t>2003-02-06</t>
        </is>
      </c>
      <c r="W648" t="inlineStr">
        <is>
          <t>1994-02-11</t>
        </is>
      </c>
      <c r="X648" t="inlineStr">
        <is>
          <t>1994-02-11</t>
        </is>
      </c>
      <c r="Y648" t="n">
        <v>1058</v>
      </c>
      <c r="Z648" t="n">
        <v>966</v>
      </c>
      <c r="AA648" t="n">
        <v>1888</v>
      </c>
      <c r="AB648" t="n">
        <v>10</v>
      </c>
      <c r="AC648" t="n">
        <v>17</v>
      </c>
      <c r="AD648" t="n">
        <v>47</v>
      </c>
      <c r="AE648" t="n">
        <v>65</v>
      </c>
      <c r="AF648" t="n">
        <v>15</v>
      </c>
      <c r="AG648" t="n">
        <v>23</v>
      </c>
      <c r="AH648" t="n">
        <v>6</v>
      </c>
      <c r="AI648" t="n">
        <v>11</v>
      </c>
      <c r="AJ648" t="n">
        <v>19</v>
      </c>
      <c r="AK648" t="n">
        <v>21</v>
      </c>
      <c r="AL648" t="n">
        <v>8</v>
      </c>
      <c r="AM648" t="n">
        <v>14</v>
      </c>
      <c r="AN648" t="n">
        <v>7</v>
      </c>
      <c r="AO648" t="n">
        <v>7</v>
      </c>
      <c r="AP648" t="inlineStr">
        <is>
          <t>No</t>
        </is>
      </c>
      <c r="AQ648" t="inlineStr">
        <is>
          <t>Yes</t>
        </is>
      </c>
      <c r="AR648">
        <f>HYPERLINK("http://catalog.hathitrust.org/Record/002606286","HathiTrust Record")</f>
        <v/>
      </c>
      <c r="AS648">
        <f>HYPERLINK("https://creighton-primo.hosted.exlibrisgroup.com/primo-explore/search?tab=default_tab&amp;search_scope=EVERYTHING&amp;vid=01CRU&amp;lang=en_US&amp;offset=0&amp;query=any,contains,991001802419702656","Catalog Record")</f>
        <v/>
      </c>
      <c r="AT648">
        <f>HYPERLINK("http://www.worldcat.org/oclc/26632408","WorldCat Record")</f>
        <v/>
      </c>
      <c r="AU648" t="inlineStr">
        <is>
          <t>5217167848:eng</t>
        </is>
      </c>
      <c r="AV648" t="inlineStr">
        <is>
          <t>26632408</t>
        </is>
      </c>
      <c r="AW648" t="inlineStr">
        <is>
          <t>991001802419702656</t>
        </is>
      </c>
      <c r="AX648" t="inlineStr">
        <is>
          <t>991001802419702656</t>
        </is>
      </c>
      <c r="AY648" t="inlineStr">
        <is>
          <t>2255244330002656</t>
        </is>
      </c>
      <c r="AZ648" t="inlineStr">
        <is>
          <t>BOOK</t>
        </is>
      </c>
      <c r="BB648" t="inlineStr">
        <is>
          <t>9780309045940</t>
        </is>
      </c>
      <c r="BC648" t="inlineStr">
        <is>
          <t>32285001841278</t>
        </is>
      </c>
      <c r="BD648" t="inlineStr">
        <is>
          <t>893509934</t>
        </is>
      </c>
    </row>
    <row r="649">
      <c r="A649" t="inlineStr">
        <is>
          <t>No</t>
        </is>
      </c>
      <c r="B649" t="inlineStr">
        <is>
          <t>HN90.V5 V534</t>
        </is>
      </c>
      <c r="C649" t="inlineStr">
        <is>
          <t>0                      HN 0090000V  5                  V  534</t>
        </is>
      </c>
      <c r="D649" t="inlineStr">
        <is>
          <t>Violence and responsibility : the individual, the family, and society / [edited by] Robert L. Sadoff.</t>
        </is>
      </c>
      <c r="F649" t="inlineStr">
        <is>
          <t>No</t>
        </is>
      </c>
      <c r="G649" t="inlineStr">
        <is>
          <t>1</t>
        </is>
      </c>
      <c r="H649" t="inlineStr">
        <is>
          <t>No</t>
        </is>
      </c>
      <c r="I649" t="inlineStr">
        <is>
          <t>No</t>
        </is>
      </c>
      <c r="J649" t="inlineStr">
        <is>
          <t>0</t>
        </is>
      </c>
      <c r="L649" t="inlineStr">
        <is>
          <t>New York : SP Medical &amp; Scientific Books : distributed by Halsted Press, c1978.</t>
        </is>
      </c>
      <c r="M649" t="inlineStr">
        <is>
          <t>1978</t>
        </is>
      </c>
      <c r="O649" t="inlineStr">
        <is>
          <t>eng</t>
        </is>
      </c>
      <c r="P649" t="inlineStr">
        <is>
          <t>nyu</t>
        </is>
      </c>
      <c r="R649" t="inlineStr">
        <is>
          <t xml:space="preserve">HN </t>
        </is>
      </c>
      <c r="S649" t="n">
        <v>4</v>
      </c>
      <c r="T649" t="n">
        <v>4</v>
      </c>
      <c r="U649" t="inlineStr">
        <is>
          <t>2002-03-12</t>
        </is>
      </c>
      <c r="V649" t="inlineStr">
        <is>
          <t>2002-03-12</t>
        </is>
      </c>
      <c r="W649" t="inlineStr">
        <is>
          <t>1992-10-05</t>
        </is>
      </c>
      <c r="X649" t="inlineStr">
        <is>
          <t>1992-10-05</t>
        </is>
      </c>
      <c r="Y649" t="n">
        <v>416</v>
      </c>
      <c r="Z649" t="n">
        <v>333</v>
      </c>
      <c r="AA649" t="n">
        <v>341</v>
      </c>
      <c r="AB649" t="n">
        <v>5</v>
      </c>
      <c r="AC649" t="n">
        <v>5</v>
      </c>
      <c r="AD649" t="n">
        <v>13</v>
      </c>
      <c r="AE649" t="n">
        <v>13</v>
      </c>
      <c r="AF649" t="n">
        <v>3</v>
      </c>
      <c r="AG649" t="n">
        <v>3</v>
      </c>
      <c r="AH649" t="n">
        <v>1</v>
      </c>
      <c r="AI649" t="n">
        <v>1</v>
      </c>
      <c r="AJ649" t="n">
        <v>6</v>
      </c>
      <c r="AK649" t="n">
        <v>6</v>
      </c>
      <c r="AL649" t="n">
        <v>2</v>
      </c>
      <c r="AM649" t="n">
        <v>2</v>
      </c>
      <c r="AN649" t="n">
        <v>2</v>
      </c>
      <c r="AO649" t="n">
        <v>2</v>
      </c>
      <c r="AP649" t="inlineStr">
        <is>
          <t>No</t>
        </is>
      </c>
      <c r="AQ649" t="inlineStr">
        <is>
          <t>Yes</t>
        </is>
      </c>
      <c r="AR649">
        <f>HYPERLINK("http://catalog.hathitrust.org/Record/000091563","HathiTrust Record")</f>
        <v/>
      </c>
      <c r="AS649">
        <f>HYPERLINK("https://creighton-primo.hosted.exlibrisgroup.com/primo-explore/search?tab=default_tab&amp;search_scope=EVERYTHING&amp;vid=01CRU&amp;lang=en_US&amp;offset=0&amp;query=any,contains,991005348649702656","Catalog Record")</f>
        <v/>
      </c>
      <c r="AT649">
        <f>HYPERLINK("http://www.worldcat.org/oclc/3609270","WorldCat Record")</f>
        <v/>
      </c>
      <c r="AU649" t="inlineStr">
        <is>
          <t>889548700:eng</t>
        </is>
      </c>
      <c r="AV649" t="inlineStr">
        <is>
          <t>3609270</t>
        </is>
      </c>
      <c r="AW649" t="inlineStr">
        <is>
          <t>991005348649702656</t>
        </is>
      </c>
      <c r="AX649" t="inlineStr">
        <is>
          <t>991005348649702656</t>
        </is>
      </c>
      <c r="AY649" t="inlineStr">
        <is>
          <t>2271696730002656</t>
        </is>
      </c>
      <c r="AZ649" t="inlineStr">
        <is>
          <t>BOOK</t>
        </is>
      </c>
      <c r="BB649" t="inlineStr">
        <is>
          <t>9780893350437</t>
        </is>
      </c>
      <c r="BC649" t="inlineStr">
        <is>
          <t>32285001356368</t>
        </is>
      </c>
      <c r="BD649" t="inlineStr">
        <is>
          <t>893896257</t>
        </is>
      </c>
    </row>
    <row r="650">
      <c r="A650" t="inlineStr">
        <is>
          <t>No</t>
        </is>
      </c>
      <c r="B650" t="inlineStr">
        <is>
          <t>HN90.V5 V54 1989</t>
        </is>
      </c>
      <c r="C650" t="inlineStr">
        <is>
          <t>0                      HN 0090000V  5                  V  54          1989</t>
        </is>
      </c>
      <c r="D650" t="inlineStr">
        <is>
          <t>Violence in America / edited by Ted Robert Gurr.</t>
        </is>
      </c>
      <c r="E650" t="inlineStr">
        <is>
          <t>V.2</t>
        </is>
      </c>
      <c r="F650" t="inlineStr">
        <is>
          <t>Yes</t>
        </is>
      </c>
      <c r="G650" t="inlineStr">
        <is>
          <t>1</t>
        </is>
      </c>
      <c r="H650" t="inlineStr">
        <is>
          <t>No</t>
        </is>
      </c>
      <c r="I650" t="inlineStr">
        <is>
          <t>No</t>
        </is>
      </c>
      <c r="J650" t="inlineStr">
        <is>
          <t>0</t>
        </is>
      </c>
      <c r="L650" t="inlineStr">
        <is>
          <t>Newbury Park, Calif. : Sage Publications, c1989.</t>
        </is>
      </c>
      <c r="M650" t="inlineStr">
        <is>
          <t>1989</t>
        </is>
      </c>
      <c r="O650" t="inlineStr">
        <is>
          <t>eng</t>
        </is>
      </c>
      <c r="P650" t="inlineStr">
        <is>
          <t>cau</t>
        </is>
      </c>
      <c r="Q650" t="inlineStr">
        <is>
          <t>Violence, cooperation, peace</t>
        </is>
      </c>
      <c r="R650" t="inlineStr">
        <is>
          <t xml:space="preserve">HN </t>
        </is>
      </c>
      <c r="S650" t="n">
        <v>4</v>
      </c>
      <c r="T650" t="n">
        <v>6</v>
      </c>
      <c r="U650" t="inlineStr">
        <is>
          <t>2002-03-12</t>
        </is>
      </c>
      <c r="V650" t="inlineStr">
        <is>
          <t>2002-03-12</t>
        </is>
      </c>
      <c r="W650" t="inlineStr">
        <is>
          <t>1995-06-15</t>
        </is>
      </c>
      <c r="X650" t="inlineStr">
        <is>
          <t>1995-06-15</t>
        </is>
      </c>
      <c r="Y650" t="n">
        <v>425</v>
      </c>
      <c r="Z650" t="n">
        <v>367</v>
      </c>
      <c r="AA650" t="n">
        <v>368</v>
      </c>
      <c r="AB650" t="n">
        <v>3</v>
      </c>
      <c r="AC650" t="n">
        <v>3</v>
      </c>
      <c r="AD650" t="n">
        <v>25</v>
      </c>
      <c r="AE650" t="n">
        <v>25</v>
      </c>
      <c r="AF650" t="n">
        <v>9</v>
      </c>
      <c r="AG650" t="n">
        <v>9</v>
      </c>
      <c r="AH650" t="n">
        <v>5</v>
      </c>
      <c r="AI650" t="n">
        <v>5</v>
      </c>
      <c r="AJ650" t="n">
        <v>11</v>
      </c>
      <c r="AK650" t="n">
        <v>11</v>
      </c>
      <c r="AL650" t="n">
        <v>2</v>
      </c>
      <c r="AM650" t="n">
        <v>2</v>
      </c>
      <c r="AN650" t="n">
        <v>5</v>
      </c>
      <c r="AO650" t="n">
        <v>5</v>
      </c>
      <c r="AP650" t="inlineStr">
        <is>
          <t>No</t>
        </is>
      </c>
      <c r="AQ650" t="inlineStr">
        <is>
          <t>Yes</t>
        </is>
      </c>
      <c r="AR650">
        <f>HYPERLINK("http://catalog.hathitrust.org/Record/007574359","HathiTrust Record")</f>
        <v/>
      </c>
      <c r="AS650">
        <f>HYPERLINK("https://creighton-primo.hosted.exlibrisgroup.com/primo-explore/search?tab=default_tab&amp;search_scope=EVERYTHING&amp;vid=01CRU&amp;lang=en_US&amp;offset=0&amp;query=any,contains,991001422819702656","Catalog Record")</f>
        <v/>
      </c>
      <c r="AT650">
        <f>HYPERLINK("http://www.worldcat.org/oclc/18984635","WorldCat Record")</f>
        <v/>
      </c>
      <c r="AU650" t="inlineStr">
        <is>
          <t>2864090531:eng</t>
        </is>
      </c>
      <c r="AV650" t="inlineStr">
        <is>
          <t>18984635</t>
        </is>
      </c>
      <c r="AW650" t="inlineStr">
        <is>
          <t>991001422819702656</t>
        </is>
      </c>
      <c r="AX650" t="inlineStr">
        <is>
          <t>991001422819702656</t>
        </is>
      </c>
      <c r="AY650" t="inlineStr">
        <is>
          <t>2268184020002656</t>
        </is>
      </c>
      <c r="AZ650" t="inlineStr">
        <is>
          <t>BOOK</t>
        </is>
      </c>
      <c r="BB650" t="inlineStr">
        <is>
          <t>9780803932272</t>
        </is>
      </c>
      <c r="BC650" t="inlineStr">
        <is>
          <t>32285002051562</t>
        </is>
      </c>
      <c r="BD650" t="inlineStr">
        <is>
          <t>893696737</t>
        </is>
      </c>
    </row>
    <row r="651">
      <c r="A651" t="inlineStr">
        <is>
          <t>No</t>
        </is>
      </c>
      <c r="B651" t="inlineStr">
        <is>
          <t>HN90.V5 V54 1989</t>
        </is>
      </c>
      <c r="C651" t="inlineStr">
        <is>
          <t>0                      HN 0090000V  5                  V  54          1989</t>
        </is>
      </c>
      <c r="D651" t="inlineStr">
        <is>
          <t>Violence in America / edited by Ted Robert Gurr.</t>
        </is>
      </c>
      <c r="E651" t="inlineStr">
        <is>
          <t>V.1</t>
        </is>
      </c>
      <c r="F651" t="inlineStr">
        <is>
          <t>Yes</t>
        </is>
      </c>
      <c r="G651" t="inlineStr">
        <is>
          <t>1</t>
        </is>
      </c>
      <c r="H651" t="inlineStr">
        <is>
          <t>No</t>
        </is>
      </c>
      <c r="I651" t="inlineStr">
        <is>
          <t>No</t>
        </is>
      </c>
      <c r="J651" t="inlineStr">
        <is>
          <t>0</t>
        </is>
      </c>
      <c r="L651" t="inlineStr">
        <is>
          <t>Newbury Park, Calif. : Sage Publications, c1989.</t>
        </is>
      </c>
      <c r="M651" t="inlineStr">
        <is>
          <t>1989</t>
        </is>
      </c>
      <c r="O651" t="inlineStr">
        <is>
          <t>eng</t>
        </is>
      </c>
      <c r="P651" t="inlineStr">
        <is>
          <t>cau</t>
        </is>
      </c>
      <c r="Q651" t="inlineStr">
        <is>
          <t>Violence, cooperation, peace</t>
        </is>
      </c>
      <c r="R651" t="inlineStr">
        <is>
          <t xml:space="preserve">HN </t>
        </is>
      </c>
      <c r="S651" t="n">
        <v>2</v>
      </c>
      <c r="T651" t="n">
        <v>6</v>
      </c>
      <c r="V651" t="inlineStr">
        <is>
          <t>2002-03-12</t>
        </is>
      </c>
      <c r="W651" t="inlineStr">
        <is>
          <t>1995-06-15</t>
        </is>
      </c>
      <c r="X651" t="inlineStr">
        <is>
          <t>1995-06-15</t>
        </is>
      </c>
      <c r="Y651" t="n">
        <v>425</v>
      </c>
      <c r="Z651" t="n">
        <v>367</v>
      </c>
      <c r="AA651" t="n">
        <v>368</v>
      </c>
      <c r="AB651" t="n">
        <v>3</v>
      </c>
      <c r="AC651" t="n">
        <v>3</v>
      </c>
      <c r="AD651" t="n">
        <v>25</v>
      </c>
      <c r="AE651" t="n">
        <v>25</v>
      </c>
      <c r="AF651" t="n">
        <v>9</v>
      </c>
      <c r="AG651" t="n">
        <v>9</v>
      </c>
      <c r="AH651" t="n">
        <v>5</v>
      </c>
      <c r="AI651" t="n">
        <v>5</v>
      </c>
      <c r="AJ651" t="n">
        <v>11</v>
      </c>
      <c r="AK651" t="n">
        <v>11</v>
      </c>
      <c r="AL651" t="n">
        <v>2</v>
      </c>
      <c r="AM651" t="n">
        <v>2</v>
      </c>
      <c r="AN651" t="n">
        <v>5</v>
      </c>
      <c r="AO651" t="n">
        <v>5</v>
      </c>
      <c r="AP651" t="inlineStr">
        <is>
          <t>No</t>
        </is>
      </c>
      <c r="AQ651" t="inlineStr">
        <is>
          <t>Yes</t>
        </is>
      </c>
      <c r="AR651">
        <f>HYPERLINK("http://catalog.hathitrust.org/Record/007574359","HathiTrust Record")</f>
        <v/>
      </c>
      <c r="AS651">
        <f>HYPERLINK("https://creighton-primo.hosted.exlibrisgroup.com/primo-explore/search?tab=default_tab&amp;search_scope=EVERYTHING&amp;vid=01CRU&amp;lang=en_US&amp;offset=0&amp;query=any,contains,991001422819702656","Catalog Record")</f>
        <v/>
      </c>
      <c r="AT651">
        <f>HYPERLINK("http://www.worldcat.org/oclc/18984635","WorldCat Record")</f>
        <v/>
      </c>
      <c r="AU651" t="inlineStr">
        <is>
          <t>2864090531:eng</t>
        </is>
      </c>
      <c r="AV651" t="inlineStr">
        <is>
          <t>18984635</t>
        </is>
      </c>
      <c r="AW651" t="inlineStr">
        <is>
          <t>991001422819702656</t>
        </is>
      </c>
      <c r="AX651" t="inlineStr">
        <is>
          <t>991001422819702656</t>
        </is>
      </c>
      <c r="AY651" t="inlineStr">
        <is>
          <t>2268184020002656</t>
        </is>
      </c>
      <c r="AZ651" t="inlineStr">
        <is>
          <t>BOOK</t>
        </is>
      </c>
      <c r="BB651" t="inlineStr">
        <is>
          <t>9780803932272</t>
        </is>
      </c>
      <c r="BC651" t="inlineStr">
        <is>
          <t>32285002051554</t>
        </is>
      </c>
      <c r="BD651" t="inlineStr">
        <is>
          <t>893690623</t>
        </is>
      </c>
    </row>
    <row r="652">
      <c r="A652" t="inlineStr">
        <is>
          <t>No</t>
        </is>
      </c>
      <c r="B652" t="inlineStr">
        <is>
          <t>HN90.V64 C353 1995</t>
        </is>
      </c>
      <c r="C652" t="inlineStr">
        <is>
          <t>0                      HN 0090000V  64                 C  353         1995</t>
        </is>
      </c>
      <c r="D652" t="inlineStr">
        <is>
          <t>The (Help!) I don't-have-enough-time guide to volunteer management / Katherine Noyes Campbell and Susan J. Ellis.</t>
        </is>
      </c>
      <c r="F652" t="inlineStr">
        <is>
          <t>No</t>
        </is>
      </c>
      <c r="G652" t="inlineStr">
        <is>
          <t>1</t>
        </is>
      </c>
      <c r="H652" t="inlineStr">
        <is>
          <t>No</t>
        </is>
      </c>
      <c r="I652" t="inlineStr">
        <is>
          <t>No</t>
        </is>
      </c>
      <c r="J652" t="inlineStr">
        <is>
          <t>0</t>
        </is>
      </c>
      <c r="K652" t="inlineStr">
        <is>
          <t>Campbell, Katherine Noyes.</t>
        </is>
      </c>
      <c r="L652" t="inlineStr">
        <is>
          <t>Philadelphia, PA : Energize, c1995.</t>
        </is>
      </c>
      <c r="M652" t="inlineStr">
        <is>
          <t>1995</t>
        </is>
      </c>
      <c r="O652" t="inlineStr">
        <is>
          <t>eng</t>
        </is>
      </c>
      <c r="P652" t="inlineStr">
        <is>
          <t>pau</t>
        </is>
      </c>
      <c r="R652" t="inlineStr">
        <is>
          <t xml:space="preserve">HN </t>
        </is>
      </c>
      <c r="S652" t="n">
        <v>3</v>
      </c>
      <c r="T652" t="n">
        <v>3</v>
      </c>
      <c r="U652" t="inlineStr">
        <is>
          <t>2001-11-19</t>
        </is>
      </c>
      <c r="V652" t="inlineStr">
        <is>
          <t>2001-11-19</t>
        </is>
      </c>
      <c r="W652" t="inlineStr">
        <is>
          <t>1998-01-08</t>
        </is>
      </c>
      <c r="X652" t="inlineStr">
        <is>
          <t>1998-01-08</t>
        </is>
      </c>
      <c r="Y652" t="n">
        <v>204</v>
      </c>
      <c r="Z652" t="n">
        <v>175</v>
      </c>
      <c r="AA652" t="n">
        <v>196</v>
      </c>
      <c r="AB652" t="n">
        <v>1</v>
      </c>
      <c r="AC652" t="n">
        <v>1</v>
      </c>
      <c r="AD652" t="n">
        <v>2</v>
      </c>
      <c r="AE652" t="n">
        <v>2</v>
      </c>
      <c r="AF652" t="n">
        <v>0</v>
      </c>
      <c r="AG652" t="n">
        <v>0</v>
      </c>
      <c r="AH652" t="n">
        <v>0</v>
      </c>
      <c r="AI652" t="n">
        <v>0</v>
      </c>
      <c r="AJ652" t="n">
        <v>2</v>
      </c>
      <c r="AK652" t="n">
        <v>2</v>
      </c>
      <c r="AL652" t="n">
        <v>0</v>
      </c>
      <c r="AM652" t="n">
        <v>0</v>
      </c>
      <c r="AN652" t="n">
        <v>0</v>
      </c>
      <c r="AO652" t="n">
        <v>0</v>
      </c>
      <c r="AP652" t="inlineStr">
        <is>
          <t>No</t>
        </is>
      </c>
      <c r="AQ652" t="inlineStr">
        <is>
          <t>Yes</t>
        </is>
      </c>
      <c r="AR652">
        <f>HYPERLINK("http://catalog.hathitrust.org/Record/003890225","HathiTrust Record")</f>
        <v/>
      </c>
      <c r="AS652">
        <f>HYPERLINK("https://creighton-primo.hosted.exlibrisgroup.com/primo-explore/search?tab=default_tab&amp;search_scope=EVERYTHING&amp;vid=01CRU&amp;lang=en_US&amp;offset=0&amp;query=any,contains,991002539439702656","Catalog Record")</f>
        <v/>
      </c>
      <c r="AT652">
        <f>HYPERLINK("http://www.worldcat.org/oclc/33008680","WorldCat Record")</f>
        <v/>
      </c>
      <c r="AU652" t="inlineStr">
        <is>
          <t>37322744:eng</t>
        </is>
      </c>
      <c r="AV652" t="inlineStr">
        <is>
          <t>33008680</t>
        </is>
      </c>
      <c r="AW652" t="inlineStr">
        <is>
          <t>991002539439702656</t>
        </is>
      </c>
      <c r="AX652" t="inlineStr">
        <is>
          <t>991002539439702656</t>
        </is>
      </c>
      <c r="AY652" t="inlineStr">
        <is>
          <t>2261293030002656</t>
        </is>
      </c>
      <c r="AZ652" t="inlineStr">
        <is>
          <t>BOOK</t>
        </is>
      </c>
      <c r="BB652" t="inlineStr">
        <is>
          <t>9780940576162</t>
        </is>
      </c>
      <c r="BC652" t="inlineStr">
        <is>
          <t>32285003302204</t>
        </is>
      </c>
      <c r="BD652" t="inlineStr">
        <is>
          <t>893779933</t>
        </is>
      </c>
    </row>
    <row r="653">
      <c r="A653" t="inlineStr">
        <is>
          <t>No</t>
        </is>
      </c>
      <c r="B653" t="inlineStr">
        <is>
          <t>HN90.V64 C62 1992</t>
        </is>
      </c>
      <c r="C653" t="inlineStr">
        <is>
          <t>0                      HN 0090000V  64                 C  62          1992</t>
        </is>
      </c>
      <c r="D653" t="inlineStr">
        <is>
          <t>Some do care : contemporary lives of moral commitment / Anne Colby, William Damon.</t>
        </is>
      </c>
      <c r="F653" t="inlineStr">
        <is>
          <t>No</t>
        </is>
      </c>
      <c r="G653" t="inlineStr">
        <is>
          <t>1</t>
        </is>
      </c>
      <c r="H653" t="inlineStr">
        <is>
          <t>No</t>
        </is>
      </c>
      <c r="I653" t="inlineStr">
        <is>
          <t>No</t>
        </is>
      </c>
      <c r="J653" t="inlineStr">
        <is>
          <t>0</t>
        </is>
      </c>
      <c r="K653" t="inlineStr">
        <is>
          <t>Colby, Anne, 1946-</t>
        </is>
      </c>
      <c r="L653" t="inlineStr">
        <is>
          <t>New York : Free Press ; Toronto : Maxwell Macmillan Canada ; New York : Maxwell Macmillan International, c1992.</t>
        </is>
      </c>
      <c r="M653" t="inlineStr">
        <is>
          <t>1992</t>
        </is>
      </c>
      <c r="O653" t="inlineStr">
        <is>
          <t>eng</t>
        </is>
      </c>
      <c r="P653" t="inlineStr">
        <is>
          <t>nyu</t>
        </is>
      </c>
      <c r="R653" t="inlineStr">
        <is>
          <t xml:space="preserve">HN </t>
        </is>
      </c>
      <c r="S653" t="n">
        <v>26</v>
      </c>
      <c r="T653" t="n">
        <v>26</v>
      </c>
      <c r="U653" t="inlineStr">
        <is>
          <t>2009-06-24</t>
        </is>
      </c>
      <c r="V653" t="inlineStr">
        <is>
          <t>2009-06-24</t>
        </is>
      </c>
      <c r="W653" t="inlineStr">
        <is>
          <t>1993-03-24</t>
        </is>
      </c>
      <c r="X653" t="inlineStr">
        <is>
          <t>1993-03-24</t>
        </is>
      </c>
      <c r="Y653" t="n">
        <v>489</v>
      </c>
      <c r="Z653" t="n">
        <v>449</v>
      </c>
      <c r="AA653" t="n">
        <v>528</v>
      </c>
      <c r="AB653" t="n">
        <v>3</v>
      </c>
      <c r="AC653" t="n">
        <v>4</v>
      </c>
      <c r="AD653" t="n">
        <v>23</v>
      </c>
      <c r="AE653" t="n">
        <v>27</v>
      </c>
      <c r="AF653" t="n">
        <v>6</v>
      </c>
      <c r="AG653" t="n">
        <v>9</v>
      </c>
      <c r="AH653" t="n">
        <v>7</v>
      </c>
      <c r="AI653" t="n">
        <v>7</v>
      </c>
      <c r="AJ653" t="n">
        <v>11</v>
      </c>
      <c r="AK653" t="n">
        <v>13</v>
      </c>
      <c r="AL653" t="n">
        <v>2</v>
      </c>
      <c r="AM653" t="n">
        <v>3</v>
      </c>
      <c r="AN653" t="n">
        <v>1</v>
      </c>
      <c r="AO653" t="n">
        <v>1</v>
      </c>
      <c r="AP653" t="inlineStr">
        <is>
          <t>No</t>
        </is>
      </c>
      <c r="AQ653" t="inlineStr">
        <is>
          <t>No</t>
        </is>
      </c>
      <c r="AS653">
        <f>HYPERLINK("https://creighton-primo.hosted.exlibrisgroup.com/primo-explore/search?tab=default_tab&amp;search_scope=EVERYTHING&amp;vid=01CRU&amp;lang=en_US&amp;offset=0&amp;query=any,contains,991002024589702656","Catalog Record")</f>
        <v/>
      </c>
      <c r="AT653">
        <f>HYPERLINK("http://www.worldcat.org/oclc/25748006","WorldCat Record")</f>
        <v/>
      </c>
      <c r="AU653" t="inlineStr">
        <is>
          <t>29122236:eng</t>
        </is>
      </c>
      <c r="AV653" t="inlineStr">
        <is>
          <t>25748006</t>
        </is>
      </c>
      <c r="AW653" t="inlineStr">
        <is>
          <t>991002024589702656</t>
        </is>
      </c>
      <c r="AX653" t="inlineStr">
        <is>
          <t>991002024589702656</t>
        </is>
      </c>
      <c r="AY653" t="inlineStr">
        <is>
          <t>2272132380002656</t>
        </is>
      </c>
      <c r="AZ653" t="inlineStr">
        <is>
          <t>BOOK</t>
        </is>
      </c>
      <c r="BB653" t="inlineStr">
        <is>
          <t>9780029063552</t>
        </is>
      </c>
      <c r="BC653" t="inlineStr">
        <is>
          <t>32285001498434</t>
        </is>
      </c>
      <c r="BD653" t="inlineStr">
        <is>
          <t>893898297</t>
        </is>
      </c>
    </row>
    <row r="654">
      <c r="A654" t="inlineStr">
        <is>
          <t>No</t>
        </is>
      </c>
      <c r="B654" t="inlineStr">
        <is>
          <t>HN90.V64 D4 1997</t>
        </is>
      </c>
      <c r="C654" t="inlineStr">
        <is>
          <t>0                      HN 0090000V  64                 D  4           1997</t>
        </is>
      </c>
      <c r="D654" t="inlineStr">
        <is>
          <t>Leading without power : finding hope in serving community / Max De Pree.</t>
        </is>
      </c>
      <c r="F654" t="inlineStr">
        <is>
          <t>No</t>
        </is>
      </c>
      <c r="G654" t="inlineStr">
        <is>
          <t>1</t>
        </is>
      </c>
      <c r="H654" t="inlineStr">
        <is>
          <t>No</t>
        </is>
      </c>
      <c r="I654" t="inlineStr">
        <is>
          <t>No</t>
        </is>
      </c>
      <c r="J654" t="inlineStr">
        <is>
          <t>0</t>
        </is>
      </c>
      <c r="K654" t="inlineStr">
        <is>
          <t>De Pree, Max.</t>
        </is>
      </c>
      <c r="L654" t="inlineStr">
        <is>
          <t>San Francisco, Calif. : Jossey-Bass, c1997.</t>
        </is>
      </c>
      <c r="M654" t="inlineStr">
        <is>
          <t>1997</t>
        </is>
      </c>
      <c r="N654" t="inlineStr">
        <is>
          <t>1st ed.</t>
        </is>
      </c>
      <c r="O654" t="inlineStr">
        <is>
          <t>eng</t>
        </is>
      </c>
      <c r="P654" t="inlineStr">
        <is>
          <t>cau</t>
        </is>
      </c>
      <c r="R654" t="inlineStr">
        <is>
          <t xml:space="preserve">HN </t>
        </is>
      </c>
      <c r="S654" t="n">
        <v>4</v>
      </c>
      <c r="T654" t="n">
        <v>4</v>
      </c>
      <c r="U654" t="inlineStr">
        <is>
          <t>2002-07-17</t>
        </is>
      </c>
      <c r="V654" t="inlineStr">
        <is>
          <t>2002-07-17</t>
        </is>
      </c>
      <c r="W654" t="inlineStr">
        <is>
          <t>1999-12-20</t>
        </is>
      </c>
      <c r="X654" t="inlineStr">
        <is>
          <t>1999-12-20</t>
        </is>
      </c>
      <c r="Y654" t="n">
        <v>820</v>
      </c>
      <c r="Z654" t="n">
        <v>735</v>
      </c>
      <c r="AA654" t="n">
        <v>790</v>
      </c>
      <c r="AB654" t="n">
        <v>7</v>
      </c>
      <c r="AC654" t="n">
        <v>7</v>
      </c>
      <c r="AD654" t="n">
        <v>29</v>
      </c>
      <c r="AE654" t="n">
        <v>32</v>
      </c>
      <c r="AF654" t="n">
        <v>15</v>
      </c>
      <c r="AG654" t="n">
        <v>17</v>
      </c>
      <c r="AH654" t="n">
        <v>4</v>
      </c>
      <c r="AI654" t="n">
        <v>4</v>
      </c>
      <c r="AJ654" t="n">
        <v>13</v>
      </c>
      <c r="AK654" t="n">
        <v>14</v>
      </c>
      <c r="AL654" t="n">
        <v>5</v>
      </c>
      <c r="AM654" t="n">
        <v>5</v>
      </c>
      <c r="AN654" t="n">
        <v>0</v>
      </c>
      <c r="AO654" t="n">
        <v>0</v>
      </c>
      <c r="AP654" t="inlineStr">
        <is>
          <t>No</t>
        </is>
      </c>
      <c r="AQ654" t="inlineStr">
        <is>
          <t>Yes</t>
        </is>
      </c>
      <c r="AR654">
        <f>HYPERLINK("http://catalog.hathitrust.org/Record/007134403","HathiTrust Record")</f>
        <v/>
      </c>
      <c r="AS654">
        <f>HYPERLINK("https://creighton-primo.hosted.exlibrisgroup.com/primo-explore/search?tab=default_tab&amp;search_scope=EVERYTHING&amp;vid=01CRU&amp;lang=en_US&amp;offset=0&amp;query=any,contains,991002811529702656","Catalog Record")</f>
        <v/>
      </c>
      <c r="AT654">
        <f>HYPERLINK("http://www.worldcat.org/oclc/36930747","WorldCat Record")</f>
        <v/>
      </c>
      <c r="AU654" t="inlineStr">
        <is>
          <t>603524:eng</t>
        </is>
      </c>
      <c r="AV654" t="inlineStr">
        <is>
          <t>36930747</t>
        </is>
      </c>
      <c r="AW654" t="inlineStr">
        <is>
          <t>991002811529702656</t>
        </is>
      </c>
      <c r="AX654" t="inlineStr">
        <is>
          <t>991002811529702656</t>
        </is>
      </c>
      <c r="AY654" t="inlineStr">
        <is>
          <t>2271986520002656</t>
        </is>
      </c>
      <c r="AZ654" t="inlineStr">
        <is>
          <t>BOOK</t>
        </is>
      </c>
      <c r="BB654" t="inlineStr">
        <is>
          <t>9780787910631</t>
        </is>
      </c>
      <c r="BC654" t="inlineStr">
        <is>
          <t>32285003634788</t>
        </is>
      </c>
      <c r="BD654" t="inlineStr">
        <is>
          <t>893597904</t>
        </is>
      </c>
    </row>
    <row r="655">
      <c r="A655" t="inlineStr">
        <is>
          <t>No</t>
        </is>
      </c>
      <c r="B655" t="inlineStr">
        <is>
          <t>HN90.V64 W64</t>
        </is>
      </c>
      <c r="C655" t="inlineStr">
        <is>
          <t>0                      HN 0090000V  64                 W  64</t>
        </is>
      </c>
      <c r="D655" t="inlineStr">
        <is>
          <t>Making things happen : the guide for members of voluntary organizations / Joan Wolfe ; foreword by Russell W. Peterson.</t>
        </is>
      </c>
      <c r="F655" t="inlineStr">
        <is>
          <t>No</t>
        </is>
      </c>
      <c r="G655" t="inlineStr">
        <is>
          <t>1</t>
        </is>
      </c>
      <c r="H655" t="inlineStr">
        <is>
          <t>No</t>
        </is>
      </c>
      <c r="I655" t="inlineStr">
        <is>
          <t>No</t>
        </is>
      </c>
      <c r="J655" t="inlineStr">
        <is>
          <t>0</t>
        </is>
      </c>
      <c r="K655" t="inlineStr">
        <is>
          <t>Wolfe, Joan.</t>
        </is>
      </c>
      <c r="L655" t="inlineStr">
        <is>
          <t>Andover, Mass. : Brick House Pub. Co., c1981.</t>
        </is>
      </c>
      <c r="M655" t="inlineStr">
        <is>
          <t>1981</t>
        </is>
      </c>
      <c r="O655" t="inlineStr">
        <is>
          <t>eng</t>
        </is>
      </c>
      <c r="P655" t="inlineStr">
        <is>
          <t>mau</t>
        </is>
      </c>
      <c r="R655" t="inlineStr">
        <is>
          <t xml:space="preserve">HN </t>
        </is>
      </c>
      <c r="S655" t="n">
        <v>1</v>
      </c>
      <c r="T655" t="n">
        <v>1</v>
      </c>
      <c r="U655" t="inlineStr">
        <is>
          <t>1994-10-05</t>
        </is>
      </c>
      <c r="V655" t="inlineStr">
        <is>
          <t>1994-10-05</t>
        </is>
      </c>
      <c r="W655" t="inlineStr">
        <is>
          <t>1992-10-05</t>
        </is>
      </c>
      <c r="X655" t="inlineStr">
        <is>
          <t>1992-10-05</t>
        </is>
      </c>
      <c r="Y655" t="n">
        <v>222</v>
      </c>
      <c r="Z655" t="n">
        <v>205</v>
      </c>
      <c r="AA655" t="n">
        <v>206</v>
      </c>
      <c r="AB655" t="n">
        <v>4</v>
      </c>
      <c r="AC655" t="n">
        <v>4</v>
      </c>
      <c r="AD655" t="n">
        <v>1</v>
      </c>
      <c r="AE655" t="n">
        <v>1</v>
      </c>
      <c r="AF655" t="n">
        <v>1</v>
      </c>
      <c r="AG655" t="n">
        <v>1</v>
      </c>
      <c r="AH655" t="n">
        <v>0</v>
      </c>
      <c r="AI655" t="n">
        <v>0</v>
      </c>
      <c r="AJ655" t="n">
        <v>0</v>
      </c>
      <c r="AK655" t="n">
        <v>0</v>
      </c>
      <c r="AL655" t="n">
        <v>0</v>
      </c>
      <c r="AM655" t="n">
        <v>0</v>
      </c>
      <c r="AN655" t="n">
        <v>0</v>
      </c>
      <c r="AO655" t="n">
        <v>0</v>
      </c>
      <c r="AP655" t="inlineStr">
        <is>
          <t>No</t>
        </is>
      </c>
      <c r="AQ655" t="inlineStr">
        <is>
          <t>Yes</t>
        </is>
      </c>
      <c r="AR655">
        <f>HYPERLINK("http://catalog.hathitrust.org/Record/007990508","HathiTrust Record")</f>
        <v/>
      </c>
      <c r="AS655">
        <f>HYPERLINK("https://creighton-primo.hosted.exlibrisgroup.com/primo-explore/search?tab=default_tab&amp;search_scope=EVERYTHING&amp;vid=01CRU&amp;lang=en_US&amp;offset=0&amp;query=any,contains,991005164679702656","Catalog Record")</f>
        <v/>
      </c>
      <c r="AT655">
        <f>HYPERLINK("http://www.worldcat.org/oclc/7814390","WorldCat Record")</f>
        <v/>
      </c>
      <c r="AU655" t="inlineStr">
        <is>
          <t>2081988278:eng</t>
        </is>
      </c>
      <c r="AV655" t="inlineStr">
        <is>
          <t>7814390</t>
        </is>
      </c>
      <c r="AW655" t="inlineStr">
        <is>
          <t>991005164679702656</t>
        </is>
      </c>
      <c r="AX655" t="inlineStr">
        <is>
          <t>991005164679702656</t>
        </is>
      </c>
      <c r="AY655" t="inlineStr">
        <is>
          <t>2256715050002656</t>
        </is>
      </c>
      <c r="AZ655" t="inlineStr">
        <is>
          <t>BOOK</t>
        </is>
      </c>
      <c r="BB655" t="inlineStr">
        <is>
          <t>9780931790317</t>
        </is>
      </c>
      <c r="BC655" t="inlineStr">
        <is>
          <t>32285001356376</t>
        </is>
      </c>
      <c r="BD655" t="inlineStr">
        <is>
          <t>893707371</t>
        </is>
      </c>
    </row>
    <row r="656">
      <c r="A656" t="inlineStr">
        <is>
          <t>No</t>
        </is>
      </c>
      <c r="B656" t="inlineStr">
        <is>
          <t>HN980 .F54 2005</t>
        </is>
      </c>
      <c r="C656" t="inlineStr">
        <is>
          <t>0                      HN 0980000F  54          2005</t>
        </is>
      </c>
      <c r="D656" t="inlineStr">
        <is>
          <t>Fighting corruption in developing countries : strategies and analysis / edited by Bertram I. Spector.</t>
        </is>
      </c>
      <c r="F656" t="inlineStr">
        <is>
          <t>No</t>
        </is>
      </c>
      <c r="G656" t="inlineStr">
        <is>
          <t>1</t>
        </is>
      </c>
      <c r="H656" t="inlineStr">
        <is>
          <t>No</t>
        </is>
      </c>
      <c r="I656" t="inlineStr">
        <is>
          <t>No</t>
        </is>
      </c>
      <c r="J656" t="inlineStr">
        <is>
          <t>0</t>
        </is>
      </c>
      <c r="L656" t="inlineStr">
        <is>
          <t>Bloomfield, CT : Kumarian Press, 2005.</t>
        </is>
      </c>
      <c r="M656" t="inlineStr">
        <is>
          <t>2005</t>
        </is>
      </c>
      <c r="O656" t="inlineStr">
        <is>
          <t>eng</t>
        </is>
      </c>
      <c r="P656" t="inlineStr">
        <is>
          <t>ctu</t>
        </is>
      </c>
      <c r="R656" t="inlineStr">
        <is>
          <t xml:space="preserve">HN </t>
        </is>
      </c>
      <c r="S656" t="n">
        <v>6</v>
      </c>
      <c r="T656" t="n">
        <v>6</v>
      </c>
      <c r="U656" t="inlineStr">
        <is>
          <t>2009-12-08</t>
        </is>
      </c>
      <c r="V656" t="inlineStr">
        <is>
          <t>2009-12-08</t>
        </is>
      </c>
      <c r="W656" t="inlineStr">
        <is>
          <t>2005-10-26</t>
        </is>
      </c>
      <c r="X656" t="inlineStr">
        <is>
          <t>2005-10-26</t>
        </is>
      </c>
      <c r="Y656" t="n">
        <v>375</v>
      </c>
      <c r="Z656" t="n">
        <v>285</v>
      </c>
      <c r="AA656" t="n">
        <v>292</v>
      </c>
      <c r="AB656" t="n">
        <v>3</v>
      </c>
      <c r="AC656" t="n">
        <v>3</v>
      </c>
      <c r="AD656" t="n">
        <v>15</v>
      </c>
      <c r="AE656" t="n">
        <v>15</v>
      </c>
      <c r="AF656" t="n">
        <v>5</v>
      </c>
      <c r="AG656" t="n">
        <v>5</v>
      </c>
      <c r="AH656" t="n">
        <v>4</v>
      </c>
      <c r="AI656" t="n">
        <v>4</v>
      </c>
      <c r="AJ656" t="n">
        <v>7</v>
      </c>
      <c r="AK656" t="n">
        <v>7</v>
      </c>
      <c r="AL656" t="n">
        <v>2</v>
      </c>
      <c r="AM656" t="n">
        <v>2</v>
      </c>
      <c r="AN656" t="n">
        <v>0</v>
      </c>
      <c r="AO656" t="n">
        <v>0</v>
      </c>
      <c r="AP656" t="inlineStr">
        <is>
          <t>No</t>
        </is>
      </c>
      <c r="AQ656" t="inlineStr">
        <is>
          <t>Yes</t>
        </is>
      </c>
      <c r="AR656">
        <f>HYPERLINK("http://catalog.hathitrust.org/Record/005029281","HathiTrust Record")</f>
        <v/>
      </c>
      <c r="AS656">
        <f>HYPERLINK("https://creighton-primo.hosted.exlibrisgroup.com/primo-explore/search?tab=default_tab&amp;search_scope=EVERYTHING&amp;vid=01CRU&amp;lang=en_US&amp;offset=0&amp;query=any,contains,991004659689702656","Catalog Record")</f>
        <v/>
      </c>
      <c r="AT656">
        <f>HYPERLINK("http://www.worldcat.org/oclc/57452790","WorldCat Record")</f>
        <v/>
      </c>
      <c r="AU656" t="inlineStr">
        <is>
          <t>866310972:eng</t>
        </is>
      </c>
      <c r="AV656" t="inlineStr">
        <is>
          <t>57452790</t>
        </is>
      </c>
      <c r="AW656" t="inlineStr">
        <is>
          <t>991004659689702656</t>
        </is>
      </c>
      <c r="AX656" t="inlineStr">
        <is>
          <t>991004659689702656</t>
        </is>
      </c>
      <c r="AY656" t="inlineStr">
        <is>
          <t>2262906440002656</t>
        </is>
      </c>
      <c r="AZ656" t="inlineStr">
        <is>
          <t>BOOK</t>
        </is>
      </c>
      <c r="BB656" t="inlineStr">
        <is>
          <t>9781565492028</t>
        </is>
      </c>
      <c r="BC656" t="inlineStr">
        <is>
          <t>32285005142533</t>
        </is>
      </c>
      <c r="BD656" t="inlineStr">
        <is>
          <t>893788971</t>
        </is>
      </c>
    </row>
    <row r="657">
      <c r="A657" t="inlineStr">
        <is>
          <t>No</t>
        </is>
      </c>
      <c r="B657" t="inlineStr">
        <is>
          <t>HN980 .I48 1985</t>
        </is>
      </c>
      <c r="C657" t="inlineStr">
        <is>
          <t>0                      HN 0980000I  48          1985</t>
        </is>
      </c>
      <c r="D657" t="inlineStr">
        <is>
          <t>Implementing rural development projects : lessons from AID and World Bank experiences / edited by Elliott R. Morss and David D. Gow.</t>
        </is>
      </c>
      <c r="F657" t="inlineStr">
        <is>
          <t>No</t>
        </is>
      </c>
      <c r="G657" t="inlineStr">
        <is>
          <t>1</t>
        </is>
      </c>
      <c r="H657" t="inlineStr">
        <is>
          <t>No</t>
        </is>
      </c>
      <c r="I657" t="inlineStr">
        <is>
          <t>No</t>
        </is>
      </c>
      <c r="J657" t="inlineStr">
        <is>
          <t>0</t>
        </is>
      </c>
      <c r="L657" t="inlineStr">
        <is>
          <t>Boulder, Colo. : Westview Press, c1985.</t>
        </is>
      </c>
      <c r="M657" t="inlineStr">
        <is>
          <t>1985</t>
        </is>
      </c>
      <c r="O657" t="inlineStr">
        <is>
          <t>eng</t>
        </is>
      </c>
      <c r="P657" t="inlineStr">
        <is>
          <t>cou</t>
        </is>
      </c>
      <c r="Q657" t="inlineStr">
        <is>
          <t>A Westview replica edition</t>
        </is>
      </c>
      <c r="R657" t="inlineStr">
        <is>
          <t xml:space="preserve">HN </t>
        </is>
      </c>
      <c r="S657" t="n">
        <v>1</v>
      </c>
      <c r="T657" t="n">
        <v>1</v>
      </c>
      <c r="U657" t="inlineStr">
        <is>
          <t>1992-02-19</t>
        </is>
      </c>
      <c r="V657" t="inlineStr">
        <is>
          <t>1992-02-19</t>
        </is>
      </c>
      <c r="W657" t="inlineStr">
        <is>
          <t>1990-07-24</t>
        </is>
      </c>
      <c r="X657" t="inlineStr">
        <is>
          <t>1990-07-24</t>
        </is>
      </c>
      <c r="Y657" t="n">
        <v>284</v>
      </c>
      <c r="Z657" t="n">
        <v>187</v>
      </c>
      <c r="AA657" t="n">
        <v>200</v>
      </c>
      <c r="AB657" t="n">
        <v>2</v>
      </c>
      <c r="AC657" t="n">
        <v>2</v>
      </c>
      <c r="AD657" t="n">
        <v>5</v>
      </c>
      <c r="AE657" t="n">
        <v>5</v>
      </c>
      <c r="AF657" t="n">
        <v>0</v>
      </c>
      <c r="AG657" t="n">
        <v>0</v>
      </c>
      <c r="AH657" t="n">
        <v>2</v>
      </c>
      <c r="AI657" t="n">
        <v>2</v>
      </c>
      <c r="AJ657" t="n">
        <v>3</v>
      </c>
      <c r="AK657" t="n">
        <v>3</v>
      </c>
      <c r="AL657" t="n">
        <v>1</v>
      </c>
      <c r="AM657" t="n">
        <v>1</v>
      </c>
      <c r="AN657" t="n">
        <v>0</v>
      </c>
      <c r="AO657" t="n">
        <v>0</v>
      </c>
      <c r="AP657" t="inlineStr">
        <is>
          <t>No</t>
        </is>
      </c>
      <c r="AQ657" t="inlineStr">
        <is>
          <t>No</t>
        </is>
      </c>
      <c r="AS657">
        <f>HYPERLINK("https://creighton-primo.hosted.exlibrisgroup.com/primo-explore/search?tab=default_tab&amp;search_scope=EVERYTHING&amp;vid=01CRU&amp;lang=en_US&amp;offset=0&amp;query=any,contains,991000171069702656","Catalog Record")</f>
        <v/>
      </c>
      <c r="AT657">
        <f>HYPERLINK("http://www.worldcat.org/oclc/9324402","WorldCat Record")</f>
        <v/>
      </c>
      <c r="AU657" t="inlineStr">
        <is>
          <t>836717293:eng</t>
        </is>
      </c>
      <c r="AV657" t="inlineStr">
        <is>
          <t>9324402</t>
        </is>
      </c>
      <c r="AW657" t="inlineStr">
        <is>
          <t>991000171069702656</t>
        </is>
      </c>
      <c r="AX657" t="inlineStr">
        <is>
          <t>991000171069702656</t>
        </is>
      </c>
      <c r="AY657" t="inlineStr">
        <is>
          <t>2257311780002656</t>
        </is>
      </c>
      <c r="AZ657" t="inlineStr">
        <is>
          <t>BOOK</t>
        </is>
      </c>
      <c r="BB657" t="inlineStr">
        <is>
          <t>9780865319424</t>
        </is>
      </c>
      <c r="BC657" t="inlineStr">
        <is>
          <t>32285000247782</t>
        </is>
      </c>
      <c r="BD657" t="inlineStr">
        <is>
          <t>893314740</t>
        </is>
      </c>
    </row>
    <row r="658">
      <c r="A658" t="inlineStr">
        <is>
          <t>No</t>
        </is>
      </c>
      <c r="B658" t="inlineStr">
        <is>
          <t>HN980 .I83 2003</t>
        </is>
      </c>
      <c r="C658" t="inlineStr">
        <is>
          <t>0                      HN 0980000I  83          2003</t>
        </is>
      </c>
      <c r="D658" t="inlineStr">
        <is>
          <t>Promises not kept : poverty and the betrayal of Third World development / John Isbister.</t>
        </is>
      </c>
      <c r="F658" t="inlineStr">
        <is>
          <t>No</t>
        </is>
      </c>
      <c r="G658" t="inlineStr">
        <is>
          <t>1</t>
        </is>
      </c>
      <c r="H658" t="inlineStr">
        <is>
          <t>No</t>
        </is>
      </c>
      <c r="I658" t="inlineStr">
        <is>
          <t>No</t>
        </is>
      </c>
      <c r="J658" t="inlineStr">
        <is>
          <t>0</t>
        </is>
      </c>
      <c r="K658" t="inlineStr">
        <is>
          <t>Isbister, John, 1942-</t>
        </is>
      </c>
      <c r="L658" t="inlineStr">
        <is>
          <t>Bloomfield, CT : Kumarian Press ; Houndmills, Basingstoke, Hampshire : Palgrave Macmillan, c2003.</t>
        </is>
      </c>
      <c r="M658" t="inlineStr">
        <is>
          <t>2003</t>
        </is>
      </c>
      <c r="N658" t="inlineStr">
        <is>
          <t>6th ed.</t>
        </is>
      </c>
      <c r="O658" t="inlineStr">
        <is>
          <t>eng</t>
        </is>
      </c>
      <c r="P658" t="inlineStr">
        <is>
          <t>ctu</t>
        </is>
      </c>
      <c r="R658" t="inlineStr">
        <is>
          <t xml:space="preserve">HN </t>
        </is>
      </c>
      <c r="S658" t="n">
        <v>1</v>
      </c>
      <c r="T658" t="n">
        <v>1</v>
      </c>
      <c r="U658" t="inlineStr">
        <is>
          <t>2004-03-23</t>
        </is>
      </c>
      <c r="V658" t="inlineStr">
        <is>
          <t>2004-03-23</t>
        </is>
      </c>
      <c r="W658" t="inlineStr">
        <is>
          <t>2004-03-23</t>
        </is>
      </c>
      <c r="X658" t="inlineStr">
        <is>
          <t>2004-03-23</t>
        </is>
      </c>
      <c r="Y658" t="n">
        <v>278</v>
      </c>
      <c r="Z658" t="n">
        <v>201</v>
      </c>
      <c r="AA658" t="n">
        <v>348</v>
      </c>
      <c r="AB658" t="n">
        <v>1</v>
      </c>
      <c r="AC658" t="n">
        <v>2</v>
      </c>
      <c r="AD658" t="n">
        <v>9</v>
      </c>
      <c r="AE658" t="n">
        <v>14</v>
      </c>
      <c r="AF658" t="n">
        <v>3</v>
      </c>
      <c r="AG658" t="n">
        <v>4</v>
      </c>
      <c r="AH658" t="n">
        <v>4</v>
      </c>
      <c r="AI658" t="n">
        <v>5</v>
      </c>
      <c r="AJ658" t="n">
        <v>5</v>
      </c>
      <c r="AK658" t="n">
        <v>7</v>
      </c>
      <c r="AL658" t="n">
        <v>0</v>
      </c>
      <c r="AM658" t="n">
        <v>1</v>
      </c>
      <c r="AN658" t="n">
        <v>0</v>
      </c>
      <c r="AO658" t="n">
        <v>0</v>
      </c>
      <c r="AP658" t="inlineStr">
        <is>
          <t>No</t>
        </is>
      </c>
      <c r="AQ658" t="inlineStr">
        <is>
          <t>No</t>
        </is>
      </c>
      <c r="AS658">
        <f>HYPERLINK("https://creighton-primo.hosted.exlibrisgroup.com/primo-explore/search?tab=default_tab&amp;search_scope=EVERYTHING&amp;vid=01CRU&amp;lang=en_US&amp;offset=0&amp;query=any,contains,991004235719702656","Catalog Record")</f>
        <v/>
      </c>
      <c r="AT658">
        <f>HYPERLINK("http://www.worldcat.org/oclc/51653086","WorldCat Record")</f>
        <v/>
      </c>
      <c r="AU658" t="inlineStr">
        <is>
          <t>778211:eng</t>
        </is>
      </c>
      <c r="AV658" t="inlineStr">
        <is>
          <t>51653086</t>
        </is>
      </c>
      <c r="AW658" t="inlineStr">
        <is>
          <t>991004235719702656</t>
        </is>
      </c>
      <c r="AX658" t="inlineStr">
        <is>
          <t>991004235719702656</t>
        </is>
      </c>
      <c r="AY658" t="inlineStr">
        <is>
          <t>2269178180002656</t>
        </is>
      </c>
      <c r="AZ658" t="inlineStr">
        <is>
          <t>BOOK</t>
        </is>
      </c>
      <c r="BB658" t="inlineStr">
        <is>
          <t>9781565491731</t>
        </is>
      </c>
      <c r="BC658" t="inlineStr">
        <is>
          <t>32285004895578</t>
        </is>
      </c>
      <c r="BD658" t="inlineStr">
        <is>
          <t>893599596</t>
        </is>
      </c>
    </row>
    <row r="659">
      <c r="A659" t="inlineStr">
        <is>
          <t>No</t>
        </is>
      </c>
      <c r="B659" t="inlineStr">
        <is>
          <t>HN980 .P66 1986</t>
        </is>
      </c>
      <c r="C659" t="inlineStr">
        <is>
          <t>0                      HN 0980000P  66          1986</t>
        </is>
      </c>
      <c r="D659" t="inlineStr">
        <is>
          <t>Rural development and the developing countries : an interdisciplinary introductory approach / Iraj Poostchi.</t>
        </is>
      </c>
      <c r="F659" t="inlineStr">
        <is>
          <t>No</t>
        </is>
      </c>
      <c r="G659" t="inlineStr">
        <is>
          <t>1</t>
        </is>
      </c>
      <c r="H659" t="inlineStr">
        <is>
          <t>No</t>
        </is>
      </c>
      <c r="I659" t="inlineStr">
        <is>
          <t>No</t>
        </is>
      </c>
      <c r="J659" t="inlineStr">
        <is>
          <t>0</t>
        </is>
      </c>
      <c r="K659" t="inlineStr">
        <is>
          <t>Poostchi, Iraj.</t>
        </is>
      </c>
      <c r="L659" t="inlineStr">
        <is>
          <t>[S.l. : s.n.], 1986</t>
        </is>
      </c>
      <c r="M659" t="inlineStr">
        <is>
          <t>1986</t>
        </is>
      </c>
      <c r="O659" t="inlineStr">
        <is>
          <t>eng</t>
        </is>
      </c>
      <c r="P659" t="inlineStr">
        <is>
          <t>onc</t>
        </is>
      </c>
      <c r="R659" t="inlineStr">
        <is>
          <t xml:space="preserve">HN </t>
        </is>
      </c>
      <c r="S659" t="n">
        <v>2</v>
      </c>
      <c r="T659" t="n">
        <v>2</v>
      </c>
      <c r="U659" t="inlineStr">
        <is>
          <t>1992-02-19</t>
        </is>
      </c>
      <c r="V659" t="inlineStr">
        <is>
          <t>1992-02-19</t>
        </is>
      </c>
      <c r="W659" t="inlineStr">
        <is>
          <t>1990-04-30</t>
        </is>
      </c>
      <c r="X659" t="inlineStr">
        <is>
          <t>1990-04-30</t>
        </is>
      </c>
      <c r="Y659" t="n">
        <v>208</v>
      </c>
      <c r="Z659" t="n">
        <v>161</v>
      </c>
      <c r="AA659" t="n">
        <v>172</v>
      </c>
      <c r="AB659" t="n">
        <v>1</v>
      </c>
      <c r="AC659" t="n">
        <v>1</v>
      </c>
      <c r="AD659" t="n">
        <v>5</v>
      </c>
      <c r="AE659" t="n">
        <v>5</v>
      </c>
      <c r="AF659" t="n">
        <v>0</v>
      </c>
      <c r="AG659" t="n">
        <v>0</v>
      </c>
      <c r="AH659" t="n">
        <v>1</v>
      </c>
      <c r="AI659" t="n">
        <v>1</v>
      </c>
      <c r="AJ659" t="n">
        <v>4</v>
      </c>
      <c r="AK659" t="n">
        <v>4</v>
      </c>
      <c r="AL659" t="n">
        <v>0</v>
      </c>
      <c r="AM659" t="n">
        <v>0</v>
      </c>
      <c r="AN659" t="n">
        <v>0</v>
      </c>
      <c r="AO659" t="n">
        <v>0</v>
      </c>
      <c r="AP659" t="inlineStr">
        <is>
          <t>No</t>
        </is>
      </c>
      <c r="AQ659" t="inlineStr">
        <is>
          <t>No</t>
        </is>
      </c>
      <c r="AS659">
        <f>HYPERLINK("https://creighton-primo.hosted.exlibrisgroup.com/primo-explore/search?tab=default_tab&amp;search_scope=EVERYTHING&amp;vid=01CRU&amp;lang=en_US&amp;offset=0&amp;query=any,contains,991000815079702656","Catalog Record")</f>
        <v/>
      </c>
      <c r="AT659">
        <f>HYPERLINK("http://www.worldcat.org/oclc/13350692","WorldCat Record")</f>
        <v/>
      </c>
      <c r="AU659" t="inlineStr">
        <is>
          <t>198509139:eng</t>
        </is>
      </c>
      <c r="AV659" t="inlineStr">
        <is>
          <t>13350692</t>
        </is>
      </c>
      <c r="AW659" t="inlineStr">
        <is>
          <t>991000815079702656</t>
        </is>
      </c>
      <c r="AX659" t="inlineStr">
        <is>
          <t>991000815079702656</t>
        </is>
      </c>
      <c r="AY659" t="inlineStr">
        <is>
          <t>2264334130002656</t>
        </is>
      </c>
      <c r="AZ659" t="inlineStr">
        <is>
          <t>BOOK</t>
        </is>
      </c>
      <c r="BB659" t="inlineStr">
        <is>
          <t>9780969235606</t>
        </is>
      </c>
      <c r="BC659" t="inlineStr">
        <is>
          <t>32285000127836</t>
        </is>
      </c>
      <c r="BD659" t="inlineStr">
        <is>
          <t>893327613</t>
        </is>
      </c>
    </row>
    <row r="660">
      <c r="A660" t="inlineStr">
        <is>
          <t>No</t>
        </is>
      </c>
      <c r="B660" t="inlineStr">
        <is>
          <t>HN981.C6 E3 1993</t>
        </is>
      </c>
      <c r="C660" t="inlineStr">
        <is>
          <t>0                      HN 0981000C  6                  E  3           1993</t>
        </is>
      </c>
      <c r="D660" t="inlineStr">
        <is>
          <t>The Economics of rural organization : theory, practice, and policy / edited by Karla Hoff, Avishay Braverman, and Joseph E. Stiglitz.</t>
        </is>
      </c>
      <c r="F660" t="inlineStr">
        <is>
          <t>No</t>
        </is>
      </c>
      <c r="G660" t="inlineStr">
        <is>
          <t>1</t>
        </is>
      </c>
      <c r="H660" t="inlineStr">
        <is>
          <t>No</t>
        </is>
      </c>
      <c r="I660" t="inlineStr">
        <is>
          <t>No</t>
        </is>
      </c>
      <c r="J660" t="inlineStr">
        <is>
          <t>0</t>
        </is>
      </c>
      <c r="L660" t="inlineStr">
        <is>
          <t>New York, N.Y. : Published for the World Bank [by] Oxford University Press, c1993.</t>
        </is>
      </c>
      <c r="M660" t="inlineStr">
        <is>
          <t>1993</t>
        </is>
      </c>
      <c r="O660" t="inlineStr">
        <is>
          <t>eng</t>
        </is>
      </c>
      <c r="P660" t="inlineStr">
        <is>
          <t>nyu</t>
        </is>
      </c>
      <c r="R660" t="inlineStr">
        <is>
          <t xml:space="preserve">HN </t>
        </is>
      </c>
      <c r="S660" t="n">
        <v>3</v>
      </c>
      <c r="T660" t="n">
        <v>3</v>
      </c>
      <c r="U660" t="inlineStr">
        <is>
          <t>2006-11-21</t>
        </is>
      </c>
      <c r="V660" t="inlineStr">
        <is>
          <t>2006-11-21</t>
        </is>
      </c>
      <c r="W660" t="inlineStr">
        <is>
          <t>1995-05-15</t>
        </is>
      </c>
      <c r="X660" t="inlineStr">
        <is>
          <t>1995-05-15</t>
        </is>
      </c>
      <c r="Y660" t="n">
        <v>298</v>
      </c>
      <c r="Z660" t="n">
        <v>193</v>
      </c>
      <c r="AA660" t="n">
        <v>217</v>
      </c>
      <c r="AB660" t="n">
        <v>1</v>
      </c>
      <c r="AC660" t="n">
        <v>1</v>
      </c>
      <c r="AD660" t="n">
        <v>9</v>
      </c>
      <c r="AE660" t="n">
        <v>9</v>
      </c>
      <c r="AF660" t="n">
        <v>0</v>
      </c>
      <c r="AG660" t="n">
        <v>0</v>
      </c>
      <c r="AH660" t="n">
        <v>4</v>
      </c>
      <c r="AI660" t="n">
        <v>4</v>
      </c>
      <c r="AJ660" t="n">
        <v>7</v>
      </c>
      <c r="AK660" t="n">
        <v>7</v>
      </c>
      <c r="AL660" t="n">
        <v>0</v>
      </c>
      <c r="AM660" t="n">
        <v>0</v>
      </c>
      <c r="AN660" t="n">
        <v>0</v>
      </c>
      <c r="AO660" t="n">
        <v>0</v>
      </c>
      <c r="AP660" t="inlineStr">
        <is>
          <t>No</t>
        </is>
      </c>
      <c r="AQ660" t="inlineStr">
        <is>
          <t>No</t>
        </is>
      </c>
      <c r="AS660">
        <f>HYPERLINK("https://creighton-primo.hosted.exlibrisgroup.com/primo-explore/search?tab=default_tab&amp;search_scope=EVERYTHING&amp;vid=01CRU&amp;lang=en_US&amp;offset=0&amp;query=any,contains,991002149329702656","Catalog Record")</f>
        <v/>
      </c>
      <c r="AT660">
        <f>HYPERLINK("http://www.worldcat.org/oclc/27684694","WorldCat Record")</f>
        <v/>
      </c>
      <c r="AU660" t="inlineStr">
        <is>
          <t>836932357:eng</t>
        </is>
      </c>
      <c r="AV660" t="inlineStr">
        <is>
          <t>27684694</t>
        </is>
      </c>
      <c r="AW660" t="inlineStr">
        <is>
          <t>991002149329702656</t>
        </is>
      </c>
      <c r="AX660" t="inlineStr">
        <is>
          <t>991002149329702656</t>
        </is>
      </c>
      <c r="AY660" t="inlineStr">
        <is>
          <t>2258613550002656</t>
        </is>
      </c>
      <c r="AZ660" t="inlineStr">
        <is>
          <t>BOOK</t>
        </is>
      </c>
      <c r="BB660" t="inlineStr">
        <is>
          <t>9780195208887</t>
        </is>
      </c>
      <c r="BC660" t="inlineStr">
        <is>
          <t>32285002045135</t>
        </is>
      </c>
      <c r="BD660" t="inlineStr">
        <is>
          <t>893408747</t>
        </is>
      </c>
    </row>
    <row r="661">
      <c r="A661" t="inlineStr">
        <is>
          <t>No</t>
        </is>
      </c>
      <c r="B661" t="inlineStr">
        <is>
          <t>HN981.V5 C65 2009</t>
        </is>
      </c>
      <c r="C661" t="inlineStr">
        <is>
          <t>0                      HN 0981000V  5                  C  65          2009</t>
        </is>
      </c>
      <c r="D661" t="inlineStr">
        <is>
          <t>Wars, guns, and votes : democracy in dangerous places / Paul Collier.</t>
        </is>
      </c>
      <c r="F661" t="inlineStr">
        <is>
          <t>No</t>
        </is>
      </c>
      <c r="G661" t="inlineStr">
        <is>
          <t>1</t>
        </is>
      </c>
      <c r="H661" t="inlineStr">
        <is>
          <t>No</t>
        </is>
      </c>
      <c r="I661" t="inlineStr">
        <is>
          <t>No</t>
        </is>
      </c>
      <c r="J661" t="inlineStr">
        <is>
          <t>0</t>
        </is>
      </c>
      <c r="K661" t="inlineStr">
        <is>
          <t>Collier, Paul.</t>
        </is>
      </c>
      <c r="L661" t="inlineStr">
        <is>
          <t>New York : Harper, c2009.</t>
        </is>
      </c>
      <c r="M661" t="inlineStr">
        <is>
          <t>2009</t>
        </is>
      </c>
      <c r="N661" t="inlineStr">
        <is>
          <t>1st ed.</t>
        </is>
      </c>
      <c r="O661" t="inlineStr">
        <is>
          <t>eng</t>
        </is>
      </c>
      <c r="P661" t="inlineStr">
        <is>
          <t>nyu</t>
        </is>
      </c>
      <c r="R661" t="inlineStr">
        <is>
          <t xml:space="preserve">HN </t>
        </is>
      </c>
      <c r="S661" t="n">
        <v>1</v>
      </c>
      <c r="T661" t="n">
        <v>1</v>
      </c>
      <c r="U661" t="inlineStr">
        <is>
          <t>2010-04-12</t>
        </is>
      </c>
      <c r="V661" t="inlineStr">
        <is>
          <t>2010-04-12</t>
        </is>
      </c>
      <c r="W661" t="inlineStr">
        <is>
          <t>2010-04-12</t>
        </is>
      </c>
      <c r="X661" t="inlineStr">
        <is>
          <t>2010-04-12</t>
        </is>
      </c>
      <c r="Y661" t="n">
        <v>646</v>
      </c>
      <c r="Z661" t="n">
        <v>554</v>
      </c>
      <c r="AA661" t="n">
        <v>639</v>
      </c>
      <c r="AB661" t="n">
        <v>5</v>
      </c>
      <c r="AC661" t="n">
        <v>5</v>
      </c>
      <c r="AD661" t="n">
        <v>19</v>
      </c>
      <c r="AE661" t="n">
        <v>19</v>
      </c>
      <c r="AF661" t="n">
        <v>5</v>
      </c>
      <c r="AG661" t="n">
        <v>5</v>
      </c>
      <c r="AH661" t="n">
        <v>5</v>
      </c>
      <c r="AI661" t="n">
        <v>5</v>
      </c>
      <c r="AJ661" t="n">
        <v>9</v>
      </c>
      <c r="AK661" t="n">
        <v>9</v>
      </c>
      <c r="AL661" t="n">
        <v>4</v>
      </c>
      <c r="AM661" t="n">
        <v>4</v>
      </c>
      <c r="AN661" t="n">
        <v>1</v>
      </c>
      <c r="AO661" t="n">
        <v>1</v>
      </c>
      <c r="AP661" t="inlineStr">
        <is>
          <t>No</t>
        </is>
      </c>
      <c r="AQ661" t="inlineStr">
        <is>
          <t>No</t>
        </is>
      </c>
      <c r="AS661">
        <f>HYPERLINK("https://creighton-primo.hosted.exlibrisgroup.com/primo-explore/search?tab=default_tab&amp;search_scope=EVERYTHING&amp;vid=01CRU&amp;lang=en_US&amp;offset=0&amp;query=any,contains,991005380819702656","Catalog Record")</f>
        <v/>
      </c>
      <c r="AT661">
        <f>HYPERLINK("http://www.worldcat.org/oclc/229342423","WorldCat Record")</f>
        <v/>
      </c>
      <c r="AU661" t="inlineStr">
        <is>
          <t>800439298:eng</t>
        </is>
      </c>
      <c r="AV661" t="inlineStr">
        <is>
          <t>229342423</t>
        </is>
      </c>
      <c r="AW661" t="inlineStr">
        <is>
          <t>991005380819702656</t>
        </is>
      </c>
      <c r="AX661" t="inlineStr">
        <is>
          <t>991005380819702656</t>
        </is>
      </c>
      <c r="AY661" t="inlineStr">
        <is>
          <t>2260283720002656</t>
        </is>
      </c>
      <c r="AZ661" t="inlineStr">
        <is>
          <t>BOOK</t>
        </is>
      </c>
      <c r="BB661" t="inlineStr">
        <is>
          <t>9780061479632</t>
        </is>
      </c>
      <c r="BC661" t="inlineStr">
        <is>
          <t>32285005563332</t>
        </is>
      </c>
      <c r="BD661" t="inlineStr">
        <is>
          <t>893521093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2022-05-21T17:14:50Z</dcterms:created>
  <dcterms:modified xsi:type="dcterms:W3CDTF">2022-05-21T17:14:50Z</dcterms:modified>
</cp:coreProperties>
</file>