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4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HS125 .D3 1962</t>
        </is>
      </c>
      <c r="C2" t="inlineStr">
        <is>
          <t>0                      HS 0125000D  3           1962</t>
        </is>
      </c>
      <c r="D2" t="inlineStr">
        <is>
          <t>A history of secret societies / by Arkon Daraul.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Daraul, Arkon.</t>
        </is>
      </c>
      <c r="L2" t="inlineStr">
        <is>
          <t>New York : Citadel Press, c1961, 1962 printing.</t>
        </is>
      </c>
      <c r="M2" t="inlineStr">
        <is>
          <t>1962</t>
        </is>
      </c>
      <c r="N2" t="inlineStr">
        <is>
          <t>[1st U.S. ed.]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HS </t>
        </is>
      </c>
      <c r="S2" t="n">
        <v>13</v>
      </c>
      <c r="T2" t="n">
        <v>13</v>
      </c>
      <c r="U2" t="inlineStr">
        <is>
          <t>2007-09-23</t>
        </is>
      </c>
      <c r="V2" t="inlineStr">
        <is>
          <t>2007-09-23</t>
        </is>
      </c>
      <c r="W2" t="inlineStr">
        <is>
          <t>1992-01-10</t>
        </is>
      </c>
      <c r="X2" t="inlineStr">
        <is>
          <t>1992-01-10</t>
        </is>
      </c>
      <c r="Y2" t="n">
        <v>320</v>
      </c>
      <c r="Z2" t="n">
        <v>307</v>
      </c>
      <c r="AA2" t="n">
        <v>526</v>
      </c>
      <c r="AB2" t="n">
        <v>2</v>
      </c>
      <c r="AC2" t="n">
        <v>2</v>
      </c>
      <c r="AD2" t="n">
        <v>6</v>
      </c>
      <c r="AE2" t="n">
        <v>10</v>
      </c>
      <c r="AF2" t="n">
        <v>2</v>
      </c>
      <c r="AG2" t="n">
        <v>3</v>
      </c>
      <c r="AH2" t="n">
        <v>2</v>
      </c>
      <c r="AI2" t="n">
        <v>2</v>
      </c>
      <c r="AJ2" t="n">
        <v>4</v>
      </c>
      <c r="AK2" t="n">
        <v>8</v>
      </c>
      <c r="AL2" t="n">
        <v>1</v>
      </c>
      <c r="AM2" t="n">
        <v>1</v>
      </c>
      <c r="AN2" t="n">
        <v>0</v>
      </c>
      <c r="AO2" t="n">
        <v>0</v>
      </c>
      <c r="AP2" t="inlineStr">
        <is>
          <t>Yes</t>
        </is>
      </c>
      <c r="AQ2" t="inlineStr">
        <is>
          <t>No</t>
        </is>
      </c>
      <c r="AR2">
        <f>HYPERLINK("http://catalog.hathitrust.org/Record/006068711","HathiTrust Record")</f>
        <v/>
      </c>
      <c r="AS2">
        <f>HYPERLINK("https://creighton-primo.hosted.exlibrisgroup.com/primo-explore/search?tab=default_tab&amp;search_scope=EVERYTHING&amp;vid=01CRU&amp;lang=en_US&amp;offset=0&amp;query=any,contains,991003659999702656","Catalog Record")</f>
        <v/>
      </c>
      <c r="AT2">
        <f>HYPERLINK("http://www.worldcat.org/oclc/1267400","WorldCat Record")</f>
        <v/>
      </c>
      <c r="AU2" t="inlineStr">
        <is>
          <t>2857091538:eng</t>
        </is>
      </c>
      <c r="AV2" t="inlineStr">
        <is>
          <t>1267400</t>
        </is>
      </c>
      <c r="AW2" t="inlineStr">
        <is>
          <t>991003659999702656</t>
        </is>
      </c>
      <c r="AX2" t="inlineStr">
        <is>
          <t>991003659999702656</t>
        </is>
      </c>
      <c r="AY2" t="inlineStr">
        <is>
          <t>2258245300002656</t>
        </is>
      </c>
      <c r="AZ2" t="inlineStr">
        <is>
          <t>BOOK</t>
        </is>
      </c>
      <c r="BC2" t="inlineStr">
        <is>
          <t>32285000912609</t>
        </is>
      </c>
      <c r="BD2" t="inlineStr">
        <is>
          <t>893531442</t>
        </is>
      </c>
    </row>
    <row r="3">
      <c r="A3" t="inlineStr">
        <is>
          <t>No</t>
        </is>
      </c>
      <c r="B3" t="inlineStr">
        <is>
          <t>HS126 .S43 1968b</t>
        </is>
      </c>
      <c r="C3" t="inlineStr">
        <is>
          <t>0                      HS 0126000S  43          1968b</t>
        </is>
      </c>
      <c r="D3" t="inlineStr">
        <is>
          <t>Secret societies / edited by Norman MacKenzie.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New York : Crescent Books, [1968, c1967]</t>
        </is>
      </c>
      <c r="M3" t="inlineStr">
        <is>
          <t>1968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HS </t>
        </is>
      </c>
      <c r="S3" t="n">
        <v>22</v>
      </c>
      <c r="T3" t="n">
        <v>22</v>
      </c>
      <c r="U3" t="inlineStr">
        <is>
          <t>2007-09-23</t>
        </is>
      </c>
      <c r="V3" t="inlineStr">
        <is>
          <t>2007-09-23</t>
        </is>
      </c>
      <c r="W3" t="inlineStr">
        <is>
          <t>1990-04-30</t>
        </is>
      </c>
      <c r="X3" t="inlineStr">
        <is>
          <t>1990-04-30</t>
        </is>
      </c>
      <c r="Y3" t="n">
        <v>67</v>
      </c>
      <c r="Z3" t="n">
        <v>64</v>
      </c>
      <c r="AA3" t="n">
        <v>901</v>
      </c>
      <c r="AB3" t="n">
        <v>1</v>
      </c>
      <c r="AC3" t="n">
        <v>8</v>
      </c>
      <c r="AD3" t="n">
        <v>2</v>
      </c>
      <c r="AE3" t="n">
        <v>27</v>
      </c>
      <c r="AF3" t="n">
        <v>1</v>
      </c>
      <c r="AG3" t="n">
        <v>11</v>
      </c>
      <c r="AH3" t="n">
        <v>1</v>
      </c>
      <c r="AI3" t="n">
        <v>4</v>
      </c>
      <c r="AJ3" t="n">
        <v>2</v>
      </c>
      <c r="AK3" t="n">
        <v>11</v>
      </c>
      <c r="AL3" t="n">
        <v>0</v>
      </c>
      <c r="AM3" t="n">
        <v>6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HYPERLINK("https://creighton-primo.hosted.exlibrisgroup.com/primo-explore/search?tab=default_tab&amp;search_scope=EVERYTHING&amp;vid=01CRU&amp;lang=en_US&amp;offset=0&amp;query=any,contains,991000062459702656","Catalog Record")</f>
        <v/>
      </c>
      <c r="AT3">
        <f>HYPERLINK("http://www.worldcat.org/oclc/8743963","WorldCat Record")</f>
        <v/>
      </c>
      <c r="AU3" t="inlineStr">
        <is>
          <t>497972:eng</t>
        </is>
      </c>
      <c r="AV3" t="inlineStr">
        <is>
          <t>8743963</t>
        </is>
      </c>
      <c r="AW3" t="inlineStr">
        <is>
          <t>991000062459702656</t>
        </is>
      </c>
      <c r="AX3" t="inlineStr">
        <is>
          <t>991000062459702656</t>
        </is>
      </c>
      <c r="AY3" t="inlineStr">
        <is>
          <t>2258401830002656</t>
        </is>
      </c>
      <c r="AZ3" t="inlineStr">
        <is>
          <t>BOOK</t>
        </is>
      </c>
      <c r="BC3" t="inlineStr">
        <is>
          <t>32285000126457</t>
        </is>
      </c>
      <c r="BD3" t="inlineStr">
        <is>
          <t>893796368</t>
        </is>
      </c>
    </row>
    <row r="4">
      <c r="A4" t="inlineStr">
        <is>
          <t>No</t>
        </is>
      </c>
      <c r="B4" t="inlineStr">
        <is>
          <t>HS1510.E15 S59 1996</t>
        </is>
      </c>
      <c r="C4" t="inlineStr">
        <is>
          <t>0                      HS 1510000E  15                 S  59          1996</t>
        </is>
      </c>
      <c r="D4" t="inlineStr">
        <is>
          <t>Lord Sholto Douglas, Clamper / by Albert Shumate.</t>
        </is>
      </c>
      <c r="F4" t="inlineStr">
        <is>
          <t>No</t>
        </is>
      </c>
      <c r="G4" t="inlineStr">
        <is>
          <t>1</t>
        </is>
      </c>
      <c r="H4" t="inlineStr">
        <is>
          <t>Yes</t>
        </is>
      </c>
      <c r="I4" t="inlineStr">
        <is>
          <t>No</t>
        </is>
      </c>
      <c r="J4" t="inlineStr">
        <is>
          <t>0</t>
        </is>
      </c>
      <c r="K4" t="inlineStr">
        <is>
          <t>Shumate, Albert.</t>
        </is>
      </c>
      <c r="L4" t="inlineStr">
        <is>
          <t>Sausalito, CA. : Windgate Press, c1996.</t>
        </is>
      </c>
      <c r="M4" t="inlineStr">
        <is>
          <t>1996</t>
        </is>
      </c>
      <c r="O4" t="inlineStr">
        <is>
          <t>eng</t>
        </is>
      </c>
      <c r="P4" t="inlineStr">
        <is>
          <t>cau</t>
        </is>
      </c>
      <c r="R4" t="inlineStr">
        <is>
          <t xml:space="preserve">HS </t>
        </is>
      </c>
      <c r="S4" t="n">
        <v>0</v>
      </c>
      <c r="T4" t="n">
        <v>0</v>
      </c>
      <c r="U4" t="inlineStr">
        <is>
          <t>2002-01-04</t>
        </is>
      </c>
      <c r="V4" t="inlineStr">
        <is>
          <t>2002-01-04</t>
        </is>
      </c>
      <c r="W4" t="inlineStr">
        <is>
          <t>1998-07-21</t>
        </is>
      </c>
      <c r="X4" t="inlineStr">
        <is>
          <t>2000-06-14</t>
        </is>
      </c>
      <c r="Y4" t="n">
        <v>14</v>
      </c>
      <c r="Z4" t="n">
        <v>14</v>
      </c>
      <c r="AA4" t="n">
        <v>14</v>
      </c>
      <c r="AB4" t="n">
        <v>1</v>
      </c>
      <c r="AC4" t="n">
        <v>1</v>
      </c>
      <c r="AD4" t="n">
        <v>1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1</v>
      </c>
      <c r="AL4" t="n">
        <v>0</v>
      </c>
      <c r="AM4" t="n">
        <v>0</v>
      </c>
      <c r="AN4" t="n">
        <v>0</v>
      </c>
      <c r="AO4" t="n">
        <v>0</v>
      </c>
      <c r="AP4" t="inlineStr">
        <is>
          <t>No</t>
        </is>
      </c>
      <c r="AQ4" t="inlineStr">
        <is>
          <t>No</t>
        </is>
      </c>
      <c r="AS4">
        <f>HYPERLINK("https://creighton-primo.hosted.exlibrisgroup.com/primo-explore/search?tab=default_tab&amp;search_scope=EVERYTHING&amp;vid=01CRU&amp;lang=en_US&amp;offset=0&amp;query=any,contains,991003146149702656","Catalog Record")</f>
        <v/>
      </c>
      <c r="AT4">
        <f>HYPERLINK("http://www.worldcat.org/oclc/37108699","WorldCat Record")</f>
        <v/>
      </c>
      <c r="AU4" t="inlineStr">
        <is>
          <t>12091853:eng</t>
        </is>
      </c>
      <c r="AV4" t="inlineStr">
        <is>
          <t>37108699</t>
        </is>
      </c>
      <c r="AW4" t="inlineStr">
        <is>
          <t>991003146149702656</t>
        </is>
      </c>
      <c r="AX4" t="inlineStr">
        <is>
          <t>991003146149702656</t>
        </is>
      </c>
      <c r="AY4" t="inlineStr">
        <is>
          <t>2266657130002656</t>
        </is>
      </c>
      <c r="AZ4" t="inlineStr">
        <is>
          <t>BOOK</t>
        </is>
      </c>
      <c r="BC4" t="inlineStr">
        <is>
          <t>32285003434080</t>
        </is>
      </c>
      <c r="BD4" t="inlineStr">
        <is>
          <t>893880861</t>
        </is>
      </c>
    </row>
    <row r="5">
      <c r="A5" t="inlineStr">
        <is>
          <t>No</t>
        </is>
      </c>
      <c r="B5" t="inlineStr">
        <is>
          <t>HS204 .C37 1989</t>
        </is>
      </c>
      <c r="C5" t="inlineStr">
        <is>
          <t>0                      HS 0204000C  37          1989</t>
        </is>
      </c>
      <c r="D5" t="inlineStr">
        <is>
          <t>Secret ritual and manhood in Victorian America / Mark C. Carnes.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Carnes, Mark C. (Mark Christopher), 1950-</t>
        </is>
      </c>
      <c r="L5" t="inlineStr">
        <is>
          <t>New Haven : Yale University Press, c1989.</t>
        </is>
      </c>
      <c r="M5" t="inlineStr">
        <is>
          <t>1989</t>
        </is>
      </c>
      <c r="O5" t="inlineStr">
        <is>
          <t>eng</t>
        </is>
      </c>
      <c r="P5" t="inlineStr">
        <is>
          <t>ctu</t>
        </is>
      </c>
      <c r="R5" t="inlineStr">
        <is>
          <t xml:space="preserve">HS </t>
        </is>
      </c>
      <c r="S5" t="n">
        <v>11</v>
      </c>
      <c r="T5" t="n">
        <v>11</v>
      </c>
      <c r="U5" t="inlineStr">
        <is>
          <t>2007-09-23</t>
        </is>
      </c>
      <c r="V5" t="inlineStr">
        <is>
          <t>2007-09-23</t>
        </is>
      </c>
      <c r="W5" t="inlineStr">
        <is>
          <t>1991-01-17</t>
        </is>
      </c>
      <c r="X5" t="inlineStr">
        <is>
          <t>1991-01-17</t>
        </is>
      </c>
      <c r="Y5" t="n">
        <v>808</v>
      </c>
      <c r="Z5" t="n">
        <v>689</v>
      </c>
      <c r="AA5" t="n">
        <v>834</v>
      </c>
      <c r="AB5" t="n">
        <v>8</v>
      </c>
      <c r="AC5" t="n">
        <v>8</v>
      </c>
      <c r="AD5" t="n">
        <v>32</v>
      </c>
      <c r="AE5" t="n">
        <v>39</v>
      </c>
      <c r="AF5" t="n">
        <v>11</v>
      </c>
      <c r="AG5" t="n">
        <v>17</v>
      </c>
      <c r="AH5" t="n">
        <v>5</v>
      </c>
      <c r="AI5" t="n">
        <v>7</v>
      </c>
      <c r="AJ5" t="n">
        <v>16</v>
      </c>
      <c r="AK5" t="n">
        <v>18</v>
      </c>
      <c r="AL5" t="n">
        <v>7</v>
      </c>
      <c r="AM5" t="n">
        <v>7</v>
      </c>
      <c r="AN5" t="n">
        <v>0</v>
      </c>
      <c r="AO5" t="n">
        <v>0</v>
      </c>
      <c r="AP5" t="inlineStr">
        <is>
          <t>No</t>
        </is>
      </c>
      <c r="AQ5" t="inlineStr">
        <is>
          <t>No</t>
        </is>
      </c>
      <c r="AS5">
        <f>HYPERLINK("https://creighton-primo.hosted.exlibrisgroup.com/primo-explore/search?tab=default_tab&amp;search_scope=EVERYTHING&amp;vid=01CRU&amp;lang=en_US&amp;offset=0&amp;query=any,contains,991001483129702656","Catalog Record")</f>
        <v/>
      </c>
      <c r="AT5">
        <f>HYPERLINK("http://www.worldcat.org/oclc/19629241","WorldCat Record")</f>
        <v/>
      </c>
      <c r="AU5" t="inlineStr">
        <is>
          <t>14411144:eng</t>
        </is>
      </c>
      <c r="AV5" t="inlineStr">
        <is>
          <t>19629241</t>
        </is>
      </c>
      <c r="AW5" t="inlineStr">
        <is>
          <t>991001483129702656</t>
        </is>
      </c>
      <c r="AX5" t="inlineStr">
        <is>
          <t>991001483129702656</t>
        </is>
      </c>
      <c r="AY5" t="inlineStr">
        <is>
          <t>2262697330002656</t>
        </is>
      </c>
      <c r="AZ5" t="inlineStr">
        <is>
          <t>BOOK</t>
        </is>
      </c>
      <c r="BB5" t="inlineStr">
        <is>
          <t>9780300044249</t>
        </is>
      </c>
      <c r="BC5" t="inlineStr">
        <is>
          <t>32285000408558</t>
        </is>
      </c>
      <c r="BD5" t="inlineStr">
        <is>
          <t>893703058</t>
        </is>
      </c>
    </row>
    <row r="6">
      <c r="A6" t="inlineStr">
        <is>
          <t>No</t>
        </is>
      </c>
      <c r="B6" t="inlineStr">
        <is>
          <t>HS205.O73 R62 2002</t>
        </is>
      </c>
      <c r="C6" t="inlineStr">
        <is>
          <t>0                      HS 0205000O  73                 R  62          2002</t>
        </is>
      </c>
      <c r="D6" t="inlineStr">
        <is>
          <t>Secrets of the tomb : Skull and Bones, the Ivy League, and the hidden paths of power / Alexandra Robbins.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Robbins, Alexandra, 1976-</t>
        </is>
      </c>
      <c r="L6" t="inlineStr">
        <is>
          <t>Boston : Little, Brown, c2002.</t>
        </is>
      </c>
      <c r="M6" t="inlineStr">
        <is>
          <t>2002</t>
        </is>
      </c>
      <c r="N6" t="inlineStr">
        <is>
          <t>1st ed.</t>
        </is>
      </c>
      <c r="O6" t="inlineStr">
        <is>
          <t>eng</t>
        </is>
      </c>
      <c r="P6" t="inlineStr">
        <is>
          <t>mau</t>
        </is>
      </c>
      <c r="R6" t="inlineStr">
        <is>
          <t xml:space="preserve">HS </t>
        </is>
      </c>
      <c r="S6" t="n">
        <v>15</v>
      </c>
      <c r="T6" t="n">
        <v>15</v>
      </c>
      <c r="U6" t="inlineStr">
        <is>
          <t>2010-02-15</t>
        </is>
      </c>
      <c r="V6" t="inlineStr">
        <is>
          <t>2010-02-15</t>
        </is>
      </c>
      <c r="W6" t="inlineStr">
        <is>
          <t>2003-06-10</t>
        </is>
      </c>
      <c r="X6" t="inlineStr">
        <is>
          <t>2003-06-10</t>
        </is>
      </c>
      <c r="Y6" t="n">
        <v>717</v>
      </c>
      <c r="Z6" t="n">
        <v>688</v>
      </c>
      <c r="AA6" t="n">
        <v>810</v>
      </c>
      <c r="AB6" t="n">
        <v>10</v>
      </c>
      <c r="AC6" t="n">
        <v>10</v>
      </c>
      <c r="AD6" t="n">
        <v>15</v>
      </c>
      <c r="AE6" t="n">
        <v>16</v>
      </c>
      <c r="AF6" t="n">
        <v>6</v>
      </c>
      <c r="AG6" t="n">
        <v>7</v>
      </c>
      <c r="AH6" t="n">
        <v>2</v>
      </c>
      <c r="AI6" t="n">
        <v>2</v>
      </c>
      <c r="AJ6" t="n">
        <v>8</v>
      </c>
      <c r="AK6" t="n">
        <v>8</v>
      </c>
      <c r="AL6" t="n">
        <v>2</v>
      </c>
      <c r="AM6" t="n">
        <v>2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HYPERLINK("https://creighton-primo.hosted.exlibrisgroup.com/primo-explore/search?tab=default_tab&amp;search_scope=EVERYTHING&amp;vid=01CRU&amp;lang=en_US&amp;offset=0&amp;query=any,contains,991004057309702656","Catalog Record")</f>
        <v/>
      </c>
      <c r="AT6">
        <f>HYPERLINK("http://www.worldcat.org/oclc/49525929","WorldCat Record")</f>
        <v/>
      </c>
      <c r="AU6" t="inlineStr">
        <is>
          <t>678233:eng</t>
        </is>
      </c>
      <c r="AV6" t="inlineStr">
        <is>
          <t>49525929</t>
        </is>
      </c>
      <c r="AW6" t="inlineStr">
        <is>
          <t>991004057309702656</t>
        </is>
      </c>
      <c r="AX6" t="inlineStr">
        <is>
          <t>991004057309702656</t>
        </is>
      </c>
      <c r="AY6" t="inlineStr">
        <is>
          <t>2271950850002656</t>
        </is>
      </c>
      <c r="AZ6" t="inlineStr">
        <is>
          <t>BOOK</t>
        </is>
      </c>
      <c r="BB6" t="inlineStr">
        <is>
          <t>9780316720915</t>
        </is>
      </c>
      <c r="BC6" t="inlineStr">
        <is>
          <t>32285004751557</t>
        </is>
      </c>
      <c r="BD6" t="inlineStr">
        <is>
          <t>893253199</t>
        </is>
      </c>
    </row>
    <row r="7">
      <c r="A7" t="inlineStr">
        <is>
          <t>No</t>
        </is>
      </c>
      <c r="B7" t="inlineStr">
        <is>
          <t>HS2226.B6 M6</t>
        </is>
      </c>
      <c r="C7" t="inlineStr">
        <is>
          <t>0                      HS 2226000B  6                  M  6</t>
        </is>
      </c>
      <c r="D7" t="inlineStr">
        <is>
          <t>Henry Monsky, the man and his work / by Mrs. Henry Monsky and Maurice Bisgyer.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Monsky, Henry, Mrs.</t>
        </is>
      </c>
      <c r="L7" t="inlineStr">
        <is>
          <t>New York : Crown Publishers, c1947.</t>
        </is>
      </c>
      <c r="M7" t="inlineStr">
        <is>
          <t>1947</t>
        </is>
      </c>
      <c r="O7" t="inlineStr">
        <is>
          <t>eng</t>
        </is>
      </c>
      <c r="P7" t="inlineStr">
        <is>
          <t>nyu</t>
        </is>
      </c>
      <c r="R7" t="inlineStr">
        <is>
          <t xml:space="preserve">HS </t>
        </is>
      </c>
      <c r="S7" t="n">
        <v>4</v>
      </c>
      <c r="T7" t="n">
        <v>4</v>
      </c>
      <c r="U7" t="inlineStr">
        <is>
          <t>2007-10-09</t>
        </is>
      </c>
      <c r="V7" t="inlineStr">
        <is>
          <t>2007-10-09</t>
        </is>
      </c>
      <c r="W7" t="inlineStr">
        <is>
          <t>1997-08-15</t>
        </is>
      </c>
      <c r="X7" t="inlineStr">
        <is>
          <t>1997-08-15</t>
        </is>
      </c>
      <c r="Y7" t="n">
        <v>54</v>
      </c>
      <c r="Z7" t="n">
        <v>50</v>
      </c>
      <c r="AA7" t="n">
        <v>50</v>
      </c>
      <c r="AB7" t="n">
        <v>4</v>
      </c>
      <c r="AC7" t="n">
        <v>4</v>
      </c>
      <c r="AD7" t="n">
        <v>3</v>
      </c>
      <c r="AE7" t="n">
        <v>3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1</v>
      </c>
      <c r="AL7" t="n">
        <v>2</v>
      </c>
      <c r="AM7" t="n">
        <v>2</v>
      </c>
      <c r="AN7" t="n">
        <v>0</v>
      </c>
      <c r="AO7" t="n">
        <v>0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HYPERLINK("https://creighton-primo.hosted.exlibrisgroup.com/primo-explore/search?tab=default_tab&amp;search_scope=EVERYTHING&amp;vid=01CRU&amp;lang=en_US&amp;offset=0&amp;query=any,contains,991004582109702656","Catalog Record")</f>
        <v/>
      </c>
      <c r="AT7">
        <f>HYPERLINK("http://www.worldcat.org/oclc/4064887","WorldCat Record")</f>
        <v/>
      </c>
      <c r="AU7" t="inlineStr">
        <is>
          <t>13929768:eng</t>
        </is>
      </c>
      <c r="AV7" t="inlineStr">
        <is>
          <t>4064887</t>
        </is>
      </c>
      <c r="AW7" t="inlineStr">
        <is>
          <t>991004582109702656</t>
        </is>
      </c>
      <c r="AX7" t="inlineStr">
        <is>
          <t>991004582109702656</t>
        </is>
      </c>
      <c r="AY7" t="inlineStr">
        <is>
          <t>2267770100002656</t>
        </is>
      </c>
      <c r="AZ7" t="inlineStr">
        <is>
          <t>BOOK</t>
        </is>
      </c>
      <c r="BC7" t="inlineStr">
        <is>
          <t>32285003145041</t>
        </is>
      </c>
      <c r="BD7" t="inlineStr">
        <is>
          <t>893436452</t>
        </is>
      </c>
    </row>
    <row r="8">
      <c r="A8" t="inlineStr">
        <is>
          <t>No</t>
        </is>
      </c>
      <c r="B8" t="inlineStr">
        <is>
          <t>HS2275 .C53 1989</t>
        </is>
      </c>
      <c r="C8" t="inlineStr">
        <is>
          <t>0                      HS 2275000C  53          1989</t>
        </is>
      </c>
      <c r="D8" t="inlineStr">
        <is>
          <t>Constructing brotherhood : class, gender, and fraternalism / Mary Ann Clawson.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Clawson, Mary Ann, 1947-</t>
        </is>
      </c>
      <c r="L8" t="inlineStr">
        <is>
          <t>Princeton, N.J. : Princeton University Press, c1989.</t>
        </is>
      </c>
      <c r="M8" t="inlineStr">
        <is>
          <t>1989</t>
        </is>
      </c>
      <c r="O8" t="inlineStr">
        <is>
          <t>eng</t>
        </is>
      </c>
      <c r="P8" t="inlineStr">
        <is>
          <t>nju</t>
        </is>
      </c>
      <c r="R8" t="inlineStr">
        <is>
          <t xml:space="preserve">HS </t>
        </is>
      </c>
      <c r="S8" t="n">
        <v>6</v>
      </c>
      <c r="T8" t="n">
        <v>6</v>
      </c>
      <c r="U8" t="inlineStr">
        <is>
          <t>2007-11-27</t>
        </is>
      </c>
      <c r="V8" t="inlineStr">
        <is>
          <t>2007-11-27</t>
        </is>
      </c>
      <c r="W8" t="inlineStr">
        <is>
          <t>1990-04-17</t>
        </is>
      </c>
      <c r="X8" t="inlineStr">
        <is>
          <t>1990-04-17</t>
        </is>
      </c>
      <c r="Y8" t="n">
        <v>476</v>
      </c>
      <c r="Z8" t="n">
        <v>386</v>
      </c>
      <c r="AA8" t="n">
        <v>689</v>
      </c>
      <c r="AB8" t="n">
        <v>3</v>
      </c>
      <c r="AC8" t="n">
        <v>5</v>
      </c>
      <c r="AD8" t="n">
        <v>20</v>
      </c>
      <c r="AE8" t="n">
        <v>32</v>
      </c>
      <c r="AF8" t="n">
        <v>5</v>
      </c>
      <c r="AG8" t="n">
        <v>12</v>
      </c>
      <c r="AH8" t="n">
        <v>4</v>
      </c>
      <c r="AI8" t="n">
        <v>8</v>
      </c>
      <c r="AJ8" t="n">
        <v>14</v>
      </c>
      <c r="AK8" t="n">
        <v>17</v>
      </c>
      <c r="AL8" t="n">
        <v>2</v>
      </c>
      <c r="AM8" t="n">
        <v>3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HYPERLINK("https://creighton-primo.hosted.exlibrisgroup.com/primo-explore/search?tab=default_tab&amp;search_scope=EVERYTHING&amp;vid=01CRU&amp;lang=en_US&amp;offset=0&amp;query=any,contains,991001409319702656","Catalog Record")</f>
        <v/>
      </c>
      <c r="AT8">
        <f>HYPERLINK("http://www.worldcat.org/oclc/18876880","WorldCat Record")</f>
        <v/>
      </c>
      <c r="AU8" t="inlineStr">
        <is>
          <t>836757516:eng</t>
        </is>
      </c>
      <c r="AV8" t="inlineStr">
        <is>
          <t>18876880</t>
        </is>
      </c>
      <c r="AW8" t="inlineStr">
        <is>
          <t>991001409319702656</t>
        </is>
      </c>
      <c r="AX8" t="inlineStr">
        <is>
          <t>991001409319702656</t>
        </is>
      </c>
      <c r="AY8" t="inlineStr">
        <is>
          <t>2267214660002656</t>
        </is>
      </c>
      <c r="AZ8" t="inlineStr">
        <is>
          <t>BOOK</t>
        </is>
      </c>
      <c r="BB8" t="inlineStr">
        <is>
          <t>9780691094472</t>
        </is>
      </c>
      <c r="BC8" t="inlineStr">
        <is>
          <t>32285000102482</t>
        </is>
      </c>
      <c r="BD8" t="inlineStr">
        <is>
          <t>893891558</t>
        </is>
      </c>
    </row>
    <row r="9">
      <c r="A9" t="inlineStr">
        <is>
          <t>No</t>
        </is>
      </c>
      <c r="B9" t="inlineStr">
        <is>
          <t>HS2325 .G46 1992</t>
        </is>
      </c>
      <c r="C9" t="inlineStr">
        <is>
          <t>0                      HS 2325000G  46          1992</t>
        </is>
      </c>
      <c r="D9" t="inlineStr">
        <is>
          <t>Nazis, communists, klansmen, and others on the fringe : political extremism in America / John George &amp; Laird Wilcox.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George, John, 1936-</t>
        </is>
      </c>
      <c r="L9" t="inlineStr">
        <is>
          <t>Buffalo, N.Y. : Prometheus Books, 1992.</t>
        </is>
      </c>
      <c r="M9" t="inlineStr">
        <is>
          <t>1992</t>
        </is>
      </c>
      <c r="O9" t="inlineStr">
        <is>
          <t>eng</t>
        </is>
      </c>
      <c r="P9" t="inlineStr">
        <is>
          <t>nyu</t>
        </is>
      </c>
      <c r="R9" t="inlineStr">
        <is>
          <t xml:space="preserve">HS </t>
        </is>
      </c>
      <c r="S9" t="n">
        <v>3</v>
      </c>
      <c r="T9" t="n">
        <v>3</v>
      </c>
      <c r="U9" t="inlineStr">
        <is>
          <t>1995-10-03</t>
        </is>
      </c>
      <c r="V9" t="inlineStr">
        <is>
          <t>1995-10-03</t>
        </is>
      </c>
      <c r="W9" t="inlineStr">
        <is>
          <t>1994-08-15</t>
        </is>
      </c>
      <c r="X9" t="inlineStr">
        <is>
          <t>1994-08-15</t>
        </is>
      </c>
      <c r="Y9" t="n">
        <v>746</v>
      </c>
      <c r="Z9" t="n">
        <v>679</v>
      </c>
      <c r="AA9" t="n">
        <v>693</v>
      </c>
      <c r="AB9" t="n">
        <v>4</v>
      </c>
      <c r="AC9" t="n">
        <v>4</v>
      </c>
      <c r="AD9" t="n">
        <v>23</v>
      </c>
      <c r="AE9" t="n">
        <v>23</v>
      </c>
      <c r="AF9" t="n">
        <v>7</v>
      </c>
      <c r="AG9" t="n">
        <v>7</v>
      </c>
      <c r="AH9" t="n">
        <v>5</v>
      </c>
      <c r="AI9" t="n">
        <v>5</v>
      </c>
      <c r="AJ9" t="n">
        <v>11</v>
      </c>
      <c r="AK9" t="n">
        <v>11</v>
      </c>
      <c r="AL9" t="n">
        <v>2</v>
      </c>
      <c r="AM9" t="n">
        <v>2</v>
      </c>
      <c r="AN9" t="n">
        <v>3</v>
      </c>
      <c r="AO9" t="n">
        <v>3</v>
      </c>
      <c r="AP9" t="inlineStr">
        <is>
          <t>No</t>
        </is>
      </c>
      <c r="AQ9" t="inlineStr">
        <is>
          <t>No</t>
        </is>
      </c>
      <c r="AS9">
        <f>HYPERLINK("https://creighton-primo.hosted.exlibrisgroup.com/primo-explore/search?tab=default_tab&amp;search_scope=EVERYTHING&amp;vid=01CRU&amp;lang=en_US&amp;offset=0&amp;query=any,contains,991001911349702656","Catalog Record")</f>
        <v/>
      </c>
      <c r="AT9">
        <f>HYPERLINK("http://www.worldcat.org/oclc/24142603","WorldCat Record")</f>
        <v/>
      </c>
      <c r="AU9" t="inlineStr">
        <is>
          <t>937706:eng</t>
        </is>
      </c>
      <c r="AV9" t="inlineStr">
        <is>
          <t>24142603</t>
        </is>
      </c>
      <c r="AW9" t="inlineStr">
        <is>
          <t>991001911349702656</t>
        </is>
      </c>
      <c r="AX9" t="inlineStr">
        <is>
          <t>991001911349702656</t>
        </is>
      </c>
      <c r="AY9" t="inlineStr">
        <is>
          <t>2265830630002656</t>
        </is>
      </c>
      <c r="AZ9" t="inlineStr">
        <is>
          <t>BOOK</t>
        </is>
      </c>
      <c r="BB9" t="inlineStr">
        <is>
          <t>9780879756802</t>
        </is>
      </c>
      <c r="BC9" t="inlineStr">
        <is>
          <t>32285001942829</t>
        </is>
      </c>
      <c r="BD9" t="inlineStr">
        <is>
          <t>893596827</t>
        </is>
      </c>
    </row>
    <row r="10">
      <c r="A10" t="inlineStr">
        <is>
          <t>No</t>
        </is>
      </c>
      <c r="B10" t="inlineStr">
        <is>
          <t>HS2330.A6 D5 1969</t>
        </is>
      </c>
      <c r="C10" t="inlineStr">
        <is>
          <t>0                      HS 2330000A  6                  D  5           1969</t>
        </is>
      </c>
      <c r="D10" t="inlineStr">
        <is>
          <t>The A.P.A. movement.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Desmond, Humphrey J. (Humphrey Joseph), 1858-1932.</t>
        </is>
      </c>
      <c r="L10" t="inlineStr">
        <is>
          <t>New York, Arno Press, 1969.</t>
        </is>
      </c>
      <c r="M10" t="inlineStr">
        <is>
          <t>1969</t>
        </is>
      </c>
      <c r="O10" t="inlineStr">
        <is>
          <t>eng</t>
        </is>
      </c>
      <c r="P10" t="inlineStr">
        <is>
          <t>nyu</t>
        </is>
      </c>
      <c r="Q10" t="inlineStr">
        <is>
          <t>The American immigration collection</t>
        </is>
      </c>
      <c r="R10" t="inlineStr">
        <is>
          <t xml:space="preserve">HS </t>
        </is>
      </c>
      <c r="S10" t="n">
        <v>7</v>
      </c>
      <c r="T10" t="n">
        <v>7</v>
      </c>
      <c r="U10" t="inlineStr">
        <is>
          <t>2010-05-02</t>
        </is>
      </c>
      <c r="V10" t="inlineStr">
        <is>
          <t>2010-05-02</t>
        </is>
      </c>
      <c r="W10" t="inlineStr">
        <is>
          <t>1997-08-15</t>
        </is>
      </c>
      <c r="X10" t="inlineStr">
        <is>
          <t>1997-08-15</t>
        </is>
      </c>
      <c r="Y10" t="n">
        <v>400</v>
      </c>
      <c r="Z10" t="n">
        <v>375</v>
      </c>
      <c r="AA10" t="n">
        <v>571</v>
      </c>
      <c r="AB10" t="n">
        <v>4</v>
      </c>
      <c r="AC10" t="n">
        <v>6</v>
      </c>
      <c r="AD10" t="n">
        <v>23</v>
      </c>
      <c r="AE10" t="n">
        <v>37</v>
      </c>
      <c r="AF10" t="n">
        <v>9</v>
      </c>
      <c r="AG10" t="n">
        <v>14</v>
      </c>
      <c r="AH10" t="n">
        <v>7</v>
      </c>
      <c r="AI10" t="n">
        <v>9</v>
      </c>
      <c r="AJ10" t="n">
        <v>13</v>
      </c>
      <c r="AK10" t="n">
        <v>19</v>
      </c>
      <c r="AL10" t="n">
        <v>3</v>
      </c>
      <c r="AM10" t="n">
        <v>5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HYPERLINK("http://catalog.hathitrust.org/Record/001732993","HathiTrust Record")</f>
        <v/>
      </c>
      <c r="AS10">
        <f>HYPERLINK("https://creighton-primo.hosted.exlibrisgroup.com/primo-explore/search?tab=default_tab&amp;search_scope=EVERYTHING&amp;vid=01CRU&amp;lang=en_US&amp;offset=0&amp;query=any,contains,991005438889702656","Catalog Record")</f>
        <v/>
      </c>
      <c r="AT10">
        <f>HYPERLINK("http://www.worldcat.org/oclc/6181","WorldCat Record")</f>
        <v/>
      </c>
      <c r="AU10" t="inlineStr">
        <is>
          <t>3570490:eng</t>
        </is>
      </c>
      <c r="AV10" t="inlineStr">
        <is>
          <t>6181</t>
        </is>
      </c>
      <c r="AW10" t="inlineStr">
        <is>
          <t>991005438889702656</t>
        </is>
      </c>
      <c r="AX10" t="inlineStr">
        <is>
          <t>991005438889702656</t>
        </is>
      </c>
      <c r="AY10" t="inlineStr">
        <is>
          <t>2265100720002656</t>
        </is>
      </c>
      <c r="AZ10" t="inlineStr">
        <is>
          <t>BOOK</t>
        </is>
      </c>
      <c r="BC10" t="inlineStr">
        <is>
          <t>32285003145058</t>
        </is>
      </c>
      <c r="BD10" t="inlineStr">
        <is>
          <t>893508272</t>
        </is>
      </c>
    </row>
    <row r="11">
      <c r="A11" t="inlineStr">
        <is>
          <t>No</t>
        </is>
      </c>
      <c r="B11" t="inlineStr">
        <is>
          <t>HS2330.K63 A5 1969</t>
        </is>
      </c>
      <c r="C11" t="inlineStr">
        <is>
          <t>0                      HS 2330000K  63                 A  5           1969</t>
        </is>
      </c>
      <c r="D11" t="inlineStr">
        <is>
          <t>Hearings on the Ku Klux Klan, 1921.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United States. Congress. House. Committee on Rules.</t>
        </is>
      </c>
      <c r="L11" t="inlineStr">
        <is>
          <t>New York : Arno Press, 1969.</t>
        </is>
      </c>
      <c r="M11" t="inlineStr">
        <is>
          <t>1969</t>
        </is>
      </c>
      <c r="O11" t="inlineStr">
        <is>
          <t>eng</t>
        </is>
      </c>
      <c r="P11" t="inlineStr">
        <is>
          <t>nyu</t>
        </is>
      </c>
      <c r="Q11" t="inlineStr">
        <is>
          <t>Mass violence in America</t>
        </is>
      </c>
      <c r="R11" t="inlineStr">
        <is>
          <t xml:space="preserve">HS </t>
        </is>
      </c>
      <c r="S11" t="n">
        <v>19</v>
      </c>
      <c r="T11" t="n">
        <v>19</v>
      </c>
      <c r="U11" t="inlineStr">
        <is>
          <t>2005-10-31</t>
        </is>
      </c>
      <c r="V11" t="inlineStr">
        <is>
          <t>2005-10-31</t>
        </is>
      </c>
      <c r="W11" t="inlineStr">
        <is>
          <t>1991-12-09</t>
        </is>
      </c>
      <c r="X11" t="inlineStr">
        <is>
          <t>1991-12-09</t>
        </is>
      </c>
      <c r="Y11" t="n">
        <v>397</v>
      </c>
      <c r="Z11" t="n">
        <v>383</v>
      </c>
      <c r="AA11" t="n">
        <v>393</v>
      </c>
      <c r="AB11" t="n">
        <v>4</v>
      </c>
      <c r="AC11" t="n">
        <v>4</v>
      </c>
      <c r="AD11" t="n">
        <v>18</v>
      </c>
      <c r="AE11" t="n">
        <v>18</v>
      </c>
      <c r="AF11" t="n">
        <v>5</v>
      </c>
      <c r="AG11" t="n">
        <v>5</v>
      </c>
      <c r="AH11" t="n">
        <v>3</v>
      </c>
      <c r="AI11" t="n">
        <v>3</v>
      </c>
      <c r="AJ11" t="n">
        <v>9</v>
      </c>
      <c r="AK11" t="n">
        <v>9</v>
      </c>
      <c r="AL11" t="n">
        <v>3</v>
      </c>
      <c r="AM11" t="n">
        <v>3</v>
      </c>
      <c r="AN11" t="n">
        <v>1</v>
      </c>
      <c r="AO11" t="n">
        <v>1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HYPERLINK("https://creighton-primo.hosted.exlibrisgroup.com/primo-explore/search?tab=default_tab&amp;search_scope=EVERYTHING&amp;vid=01CRU&amp;lang=en_US&amp;offset=0&amp;query=any,contains,991000231639702656","Catalog Record")</f>
        <v/>
      </c>
      <c r="AT11">
        <f>HYPERLINK("http://www.worldcat.org/oclc/67865","WorldCat Record")</f>
        <v/>
      </c>
      <c r="AU11" t="inlineStr">
        <is>
          <t>1234731:eng</t>
        </is>
      </c>
      <c r="AV11" t="inlineStr">
        <is>
          <t>67865</t>
        </is>
      </c>
      <c r="AW11" t="inlineStr">
        <is>
          <t>991000231639702656</t>
        </is>
      </c>
      <c r="AX11" t="inlineStr">
        <is>
          <t>991000231639702656</t>
        </is>
      </c>
      <c r="AY11" t="inlineStr">
        <is>
          <t>2258144870002656</t>
        </is>
      </c>
      <c r="AZ11" t="inlineStr">
        <is>
          <t>BOOK</t>
        </is>
      </c>
      <c r="BC11" t="inlineStr">
        <is>
          <t>32285000848274</t>
        </is>
      </c>
      <c r="BD11" t="inlineStr">
        <is>
          <t>893345501</t>
        </is>
      </c>
    </row>
    <row r="12">
      <c r="A12" t="inlineStr">
        <is>
          <t>No</t>
        </is>
      </c>
      <c r="B12" t="inlineStr">
        <is>
          <t>HS2330.K63 V56</t>
        </is>
      </c>
      <c r="C12" t="inlineStr">
        <is>
          <t>0                      HS 2330000K  63                 V  56</t>
        </is>
      </c>
      <c r="D12" t="inlineStr">
        <is>
          <t>Violence, the Ku Klux Klan, and the struggle for equality : an informational and instructional kit / prepared and published by the Connecticut Education Association, the Council on Interracial Books for Children, the National Education Association.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L12" t="inlineStr">
        <is>
          <t>Hartford, Conn. : Connecticut Education Association, 1981.</t>
        </is>
      </c>
      <c r="M12" t="inlineStr">
        <is>
          <t>1981</t>
        </is>
      </c>
      <c r="O12" t="inlineStr">
        <is>
          <t>eng</t>
        </is>
      </c>
      <c r="P12" t="inlineStr">
        <is>
          <t>ctu</t>
        </is>
      </c>
      <c r="R12" t="inlineStr">
        <is>
          <t xml:space="preserve">HS </t>
        </is>
      </c>
      <c r="S12" t="n">
        <v>12</v>
      </c>
      <c r="T12" t="n">
        <v>12</v>
      </c>
      <c r="U12" t="inlineStr">
        <is>
          <t>2006-06-22</t>
        </is>
      </c>
      <c r="V12" t="inlineStr">
        <is>
          <t>2006-06-22</t>
        </is>
      </c>
      <c r="W12" t="inlineStr">
        <is>
          <t>1994-07-20</t>
        </is>
      </c>
      <c r="X12" t="inlineStr">
        <is>
          <t>1994-07-20</t>
        </is>
      </c>
      <c r="Y12" t="n">
        <v>288</v>
      </c>
      <c r="Z12" t="n">
        <v>272</v>
      </c>
      <c r="AA12" t="n">
        <v>274</v>
      </c>
      <c r="AB12" t="n">
        <v>2</v>
      </c>
      <c r="AC12" t="n">
        <v>2</v>
      </c>
      <c r="AD12" t="n">
        <v>7</v>
      </c>
      <c r="AE12" t="n">
        <v>7</v>
      </c>
      <c r="AF12" t="n">
        <v>3</v>
      </c>
      <c r="AG12" t="n">
        <v>3</v>
      </c>
      <c r="AH12" t="n">
        <v>2</v>
      </c>
      <c r="AI12" t="n">
        <v>2</v>
      </c>
      <c r="AJ12" t="n">
        <v>3</v>
      </c>
      <c r="AK12" t="n">
        <v>3</v>
      </c>
      <c r="AL12" t="n">
        <v>1</v>
      </c>
      <c r="AM12" t="n">
        <v>1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HYPERLINK("http://catalog.hathitrust.org/Record/000191692","HathiTrust Record")</f>
        <v/>
      </c>
      <c r="AS12">
        <f>HYPERLINK("https://creighton-primo.hosted.exlibrisgroup.com/primo-explore/search?tab=default_tab&amp;search_scope=EVERYTHING&amp;vid=01CRU&amp;lang=en_US&amp;offset=0&amp;query=any,contains,991005174269702656","Catalog Record")</f>
        <v/>
      </c>
      <c r="AT12">
        <f>HYPERLINK("http://www.worldcat.org/oclc/7891965","WorldCat Record")</f>
        <v/>
      </c>
      <c r="AU12" t="inlineStr">
        <is>
          <t>29871066:eng</t>
        </is>
      </c>
      <c r="AV12" t="inlineStr">
        <is>
          <t>7891965</t>
        </is>
      </c>
      <c r="AW12" t="inlineStr">
        <is>
          <t>991005174269702656</t>
        </is>
      </c>
      <c r="AX12" t="inlineStr">
        <is>
          <t>991005174269702656</t>
        </is>
      </c>
      <c r="AY12" t="inlineStr">
        <is>
          <t>2262295270002656</t>
        </is>
      </c>
      <c r="AZ12" t="inlineStr">
        <is>
          <t>BOOK</t>
        </is>
      </c>
      <c r="BB12" t="inlineStr">
        <is>
          <t>9780930040383</t>
        </is>
      </c>
      <c r="BC12" t="inlineStr">
        <is>
          <t>32285001936987</t>
        </is>
      </c>
      <c r="BD12" t="inlineStr">
        <is>
          <t>893600751</t>
        </is>
      </c>
    </row>
    <row r="13">
      <c r="A13" t="inlineStr">
        <is>
          <t>No</t>
        </is>
      </c>
      <c r="B13" t="inlineStr">
        <is>
          <t>HS3313.B6 H55 1979</t>
        </is>
      </c>
      <c r="C13" t="inlineStr">
        <is>
          <t>0                      HS 3313000B  6                  H  55          1979</t>
        </is>
      </c>
      <c r="D13" t="inlineStr">
        <is>
          <t>Official Boy Scout handbook / by William (Bill) Hillcourt in association with the Boy Scouts of America.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Hillcourt, William, 1900-1992.</t>
        </is>
      </c>
      <c r="L13" t="inlineStr">
        <is>
          <t>[New Brunswick, N.J.] : Boy Scouts of America, 1979.</t>
        </is>
      </c>
      <c r="M13" t="inlineStr">
        <is>
          <t>1979</t>
        </is>
      </c>
      <c r="N13" t="inlineStr">
        <is>
          <t>9th ed.</t>
        </is>
      </c>
      <c r="O13" t="inlineStr">
        <is>
          <t>eng</t>
        </is>
      </c>
      <c r="P13" t="inlineStr">
        <is>
          <t>nju</t>
        </is>
      </c>
      <c r="R13" t="inlineStr">
        <is>
          <t xml:space="preserve">HS </t>
        </is>
      </c>
      <c r="S13" t="n">
        <v>9</v>
      </c>
      <c r="T13" t="n">
        <v>9</v>
      </c>
      <c r="U13" t="inlineStr">
        <is>
          <t>2007-09-26</t>
        </is>
      </c>
      <c r="V13" t="inlineStr">
        <is>
          <t>2007-09-26</t>
        </is>
      </c>
      <c r="W13" t="inlineStr">
        <is>
          <t>1990-02-22</t>
        </is>
      </c>
      <c r="X13" t="inlineStr">
        <is>
          <t>1990-02-22</t>
        </is>
      </c>
      <c r="Y13" t="n">
        <v>473</v>
      </c>
      <c r="Z13" t="n">
        <v>470</v>
      </c>
      <c r="AA13" t="n">
        <v>514</v>
      </c>
      <c r="AB13" t="n">
        <v>7</v>
      </c>
      <c r="AC13" t="n">
        <v>7</v>
      </c>
      <c r="AD13" t="n">
        <v>2</v>
      </c>
      <c r="AE13" t="n">
        <v>2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2</v>
      </c>
      <c r="AM13" t="n">
        <v>2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HYPERLINK("https://creighton-primo.hosted.exlibrisgroup.com/primo-explore/search?tab=default_tab&amp;search_scope=EVERYTHING&amp;vid=01CRU&amp;lang=en_US&amp;offset=0&amp;query=any,contains,991004742479702656","Catalog Record")</f>
        <v/>
      </c>
      <c r="AT13">
        <f>HYPERLINK("http://www.worldcat.org/oclc/4886430","WorldCat Record")</f>
        <v/>
      </c>
      <c r="AU13" t="inlineStr">
        <is>
          <t>7334534:eng</t>
        </is>
      </c>
      <c r="AV13" t="inlineStr">
        <is>
          <t>4886430</t>
        </is>
      </c>
      <c r="AW13" t="inlineStr">
        <is>
          <t>991004742479702656</t>
        </is>
      </c>
      <c r="AX13" t="inlineStr">
        <is>
          <t>991004742479702656</t>
        </is>
      </c>
      <c r="AY13" t="inlineStr">
        <is>
          <t>2261253170002656</t>
        </is>
      </c>
      <c r="AZ13" t="inlineStr">
        <is>
          <t>BOOK</t>
        </is>
      </c>
      <c r="BB13" t="inlineStr">
        <is>
          <t>9780839532279</t>
        </is>
      </c>
      <c r="BC13" t="inlineStr">
        <is>
          <t>32285000049188</t>
        </is>
      </c>
      <c r="BD13" t="inlineStr">
        <is>
          <t>893688067</t>
        </is>
      </c>
    </row>
    <row r="14">
      <c r="A14" t="inlineStr">
        <is>
          <t>No</t>
        </is>
      </c>
      <c r="B14" t="inlineStr">
        <is>
          <t>HS3313.Z7 T68 2007</t>
        </is>
      </c>
      <c r="C14" t="inlineStr">
        <is>
          <t>0                      HS 3313000Z  7                  T  68          2007</t>
        </is>
      </c>
      <c r="D14" t="inlineStr">
        <is>
          <t>Legacy of honor : the values and influence of America's Eagle Scouts / Alvin Townley.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Townley, Alvin.</t>
        </is>
      </c>
      <c r="L14" t="inlineStr">
        <is>
          <t>New York : Thomas Dunne Books, 2007.</t>
        </is>
      </c>
      <c r="M14" t="inlineStr">
        <is>
          <t>2007</t>
        </is>
      </c>
      <c r="N14" t="inlineStr">
        <is>
          <t>1st ed.</t>
        </is>
      </c>
      <c r="O14" t="inlineStr">
        <is>
          <t>eng</t>
        </is>
      </c>
      <c r="P14" t="inlineStr">
        <is>
          <t>nyu</t>
        </is>
      </c>
      <c r="R14" t="inlineStr">
        <is>
          <t xml:space="preserve">HS </t>
        </is>
      </c>
      <c r="S14" t="n">
        <v>1</v>
      </c>
      <c r="T14" t="n">
        <v>1</v>
      </c>
      <c r="U14" t="inlineStr">
        <is>
          <t>2008-03-26</t>
        </is>
      </c>
      <c r="V14" t="inlineStr">
        <is>
          <t>2008-03-26</t>
        </is>
      </c>
      <c r="W14" t="inlineStr">
        <is>
          <t>2008-03-26</t>
        </is>
      </c>
      <c r="X14" t="inlineStr">
        <is>
          <t>2008-03-26</t>
        </is>
      </c>
      <c r="Y14" t="n">
        <v>343</v>
      </c>
      <c r="Z14" t="n">
        <v>335</v>
      </c>
      <c r="AA14" t="n">
        <v>412</v>
      </c>
      <c r="AB14" t="n">
        <v>3</v>
      </c>
      <c r="AC14" t="n">
        <v>3</v>
      </c>
      <c r="AD14" t="n">
        <v>3</v>
      </c>
      <c r="AE14" t="n">
        <v>3</v>
      </c>
      <c r="AF14" t="n">
        <v>0</v>
      </c>
      <c r="AG14" t="n">
        <v>0</v>
      </c>
      <c r="AH14" t="n">
        <v>0</v>
      </c>
      <c r="AI14" t="n">
        <v>0</v>
      </c>
      <c r="AJ14" t="n">
        <v>2</v>
      </c>
      <c r="AK14" t="n">
        <v>2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HYPERLINK("https://creighton-primo.hosted.exlibrisgroup.com/primo-explore/search?tab=default_tab&amp;search_scope=EVERYTHING&amp;vid=01CRU&amp;lang=en_US&amp;offset=0&amp;query=any,contains,991005197539702656","Catalog Record")</f>
        <v/>
      </c>
      <c r="AT14">
        <f>HYPERLINK("http://www.worldcat.org/oclc/74460706","WorldCat Record")</f>
        <v/>
      </c>
      <c r="AU14" t="inlineStr">
        <is>
          <t>306580310:eng</t>
        </is>
      </c>
      <c r="AV14" t="inlineStr">
        <is>
          <t>74460706</t>
        </is>
      </c>
      <c r="AW14" t="inlineStr">
        <is>
          <t>991005197539702656</t>
        </is>
      </c>
      <c r="AX14" t="inlineStr">
        <is>
          <t>991005197539702656</t>
        </is>
      </c>
      <c r="AY14" t="inlineStr">
        <is>
          <t>2260130500002656</t>
        </is>
      </c>
      <c r="AZ14" t="inlineStr">
        <is>
          <t>BOOK</t>
        </is>
      </c>
      <c r="BB14" t="inlineStr">
        <is>
          <t>9780312366537</t>
        </is>
      </c>
      <c r="BC14" t="inlineStr">
        <is>
          <t>32285005398671</t>
        </is>
      </c>
      <c r="BD14" t="inlineStr">
        <is>
          <t>893613287</t>
        </is>
      </c>
    </row>
    <row r="15">
      <c r="A15" t="inlineStr">
        <is>
          <t>No</t>
        </is>
      </c>
      <c r="B15" t="inlineStr">
        <is>
          <t>HS375 .M34 1989</t>
        </is>
      </c>
      <c r="C15" t="inlineStr">
        <is>
          <t>0                      HS 0375000M  34          1989</t>
        </is>
      </c>
      <c r="D15" t="inlineStr">
        <is>
          <t>A dictionary of Freemasonry : a compendium of Masonic history, symbolism, rituals, literature, and myth / Robert Macoy.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Macoy, Robert, 1815-1895.</t>
        </is>
      </c>
      <c r="L15" t="inlineStr">
        <is>
          <t>New York : Bell Pub. Co. : Distributed by Crown Publishers, 1989.</t>
        </is>
      </c>
      <c r="M15" t="inlineStr">
        <is>
          <t>1989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HS </t>
        </is>
      </c>
      <c r="S15" t="n">
        <v>16</v>
      </c>
      <c r="T15" t="n">
        <v>16</v>
      </c>
      <c r="U15" t="inlineStr">
        <is>
          <t>2002-07-29</t>
        </is>
      </c>
      <c r="V15" t="inlineStr">
        <is>
          <t>2002-07-29</t>
        </is>
      </c>
      <c r="W15" t="inlineStr">
        <is>
          <t>1990-05-29</t>
        </is>
      </c>
      <c r="X15" t="inlineStr">
        <is>
          <t>1990-05-29</t>
        </is>
      </c>
      <c r="Y15" t="n">
        <v>148</v>
      </c>
      <c r="Z15" t="n">
        <v>129</v>
      </c>
      <c r="AA15" t="n">
        <v>137</v>
      </c>
      <c r="AB15" t="n">
        <v>1</v>
      </c>
      <c r="AC15" t="n">
        <v>1</v>
      </c>
      <c r="AD15" t="n">
        <v>2</v>
      </c>
      <c r="AE15" t="n">
        <v>2</v>
      </c>
      <c r="AF15" t="n">
        <v>2</v>
      </c>
      <c r="AG15" t="n">
        <v>2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HYPERLINK("https://creighton-primo.hosted.exlibrisgroup.com/primo-explore/search?tab=default_tab&amp;search_scope=EVERYTHING&amp;vid=01CRU&amp;lang=en_US&amp;offset=0&amp;query=any,contains,991005411389702656","Catalog Record")</f>
        <v/>
      </c>
      <c r="AT15">
        <f>HYPERLINK("http://www.worldcat.org/oclc/20259270","WorldCat Record")</f>
        <v/>
      </c>
      <c r="AU15" t="inlineStr">
        <is>
          <t>1154548432:eng</t>
        </is>
      </c>
      <c r="AV15" t="inlineStr">
        <is>
          <t>20259270</t>
        </is>
      </c>
      <c r="AW15" t="inlineStr">
        <is>
          <t>991005411389702656</t>
        </is>
      </c>
      <c r="AX15" t="inlineStr">
        <is>
          <t>991005411389702656</t>
        </is>
      </c>
      <c r="AY15" t="inlineStr">
        <is>
          <t>2265726310002656</t>
        </is>
      </c>
      <c r="AZ15" t="inlineStr">
        <is>
          <t>BOOK</t>
        </is>
      </c>
      <c r="BB15" t="inlineStr">
        <is>
          <t>9780517692134</t>
        </is>
      </c>
      <c r="BC15" t="inlineStr">
        <is>
          <t>32285000156207</t>
        </is>
      </c>
      <c r="BD15" t="inlineStr">
        <is>
          <t>893418901</t>
        </is>
      </c>
    </row>
    <row r="16">
      <c r="A16" t="inlineStr">
        <is>
          <t>No</t>
        </is>
      </c>
      <c r="B16" t="inlineStr">
        <is>
          <t>HS395 .H278</t>
        </is>
      </c>
      <c r="C16" t="inlineStr">
        <is>
          <t>0                      HS 0395000H  278</t>
        </is>
      </c>
      <c r="D16" t="inlineStr">
        <is>
          <t>Christian by degrees; Masonic religion revealed in the light of faith. With a foreword by E.L.Mascall.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Hannah, Walton.</t>
        </is>
      </c>
      <c r="L16" t="inlineStr">
        <is>
          <t>London, Augustine Press, 1954.</t>
        </is>
      </c>
      <c r="M16" t="inlineStr">
        <is>
          <t>1954</t>
        </is>
      </c>
      <c r="O16" t="inlineStr">
        <is>
          <t>eng</t>
        </is>
      </c>
      <c r="P16" t="inlineStr">
        <is>
          <t xml:space="preserve">en </t>
        </is>
      </c>
      <c r="R16" t="inlineStr">
        <is>
          <t xml:space="preserve">HS </t>
        </is>
      </c>
      <c r="S16" t="n">
        <v>3</v>
      </c>
      <c r="T16" t="n">
        <v>3</v>
      </c>
      <c r="U16" t="inlineStr">
        <is>
          <t>2008-03-26</t>
        </is>
      </c>
      <c r="V16" t="inlineStr">
        <is>
          <t>2008-03-26</t>
        </is>
      </c>
      <c r="W16" t="inlineStr">
        <is>
          <t>1997-08-15</t>
        </is>
      </c>
      <c r="X16" t="inlineStr">
        <is>
          <t>1997-08-15</t>
        </is>
      </c>
      <c r="Y16" t="n">
        <v>105</v>
      </c>
      <c r="Z16" t="n">
        <v>66</v>
      </c>
      <c r="AA16" t="n">
        <v>84</v>
      </c>
      <c r="AB16" t="n">
        <v>3</v>
      </c>
      <c r="AC16" t="n">
        <v>3</v>
      </c>
      <c r="AD16" t="n">
        <v>11</v>
      </c>
      <c r="AE16" t="n">
        <v>12</v>
      </c>
      <c r="AF16" t="n">
        <v>5</v>
      </c>
      <c r="AG16" t="n">
        <v>6</v>
      </c>
      <c r="AH16" t="n">
        <v>0</v>
      </c>
      <c r="AI16" t="n">
        <v>0</v>
      </c>
      <c r="AJ16" t="n">
        <v>8</v>
      </c>
      <c r="AK16" t="n">
        <v>9</v>
      </c>
      <c r="AL16" t="n">
        <v>1</v>
      </c>
      <c r="AM16" t="n">
        <v>1</v>
      </c>
      <c r="AN16" t="n">
        <v>0</v>
      </c>
      <c r="AO16" t="n">
        <v>0</v>
      </c>
      <c r="AP16" t="inlineStr">
        <is>
          <t>No</t>
        </is>
      </c>
      <c r="AQ16" t="inlineStr">
        <is>
          <t>No</t>
        </is>
      </c>
      <c r="AS16">
        <f>HYPERLINK("https://creighton-primo.hosted.exlibrisgroup.com/primo-explore/search?tab=default_tab&amp;search_scope=EVERYTHING&amp;vid=01CRU&amp;lang=en_US&amp;offset=0&amp;query=any,contains,991004243469702656","Catalog Record")</f>
        <v/>
      </c>
      <c r="AT16">
        <f>HYPERLINK("http://www.worldcat.org/oclc/2795883","WorldCat Record")</f>
        <v/>
      </c>
      <c r="AU16" t="inlineStr">
        <is>
          <t>836659999:eng</t>
        </is>
      </c>
      <c r="AV16" t="inlineStr">
        <is>
          <t>2795883</t>
        </is>
      </c>
      <c r="AW16" t="inlineStr">
        <is>
          <t>991004243469702656</t>
        </is>
      </c>
      <c r="AX16" t="inlineStr">
        <is>
          <t>991004243469702656</t>
        </is>
      </c>
      <c r="AY16" t="inlineStr">
        <is>
          <t>2265068090002656</t>
        </is>
      </c>
      <c r="AZ16" t="inlineStr">
        <is>
          <t>BOOK</t>
        </is>
      </c>
      <c r="BC16" t="inlineStr">
        <is>
          <t>32285003104931</t>
        </is>
      </c>
      <c r="BD16" t="inlineStr">
        <is>
          <t>893331360</t>
        </is>
      </c>
    </row>
    <row r="17">
      <c r="A17" t="inlineStr">
        <is>
          <t>No</t>
        </is>
      </c>
      <c r="B17" t="inlineStr">
        <is>
          <t>HS403 .J28 2006</t>
        </is>
      </c>
      <c r="C17" t="inlineStr">
        <is>
          <t>0                      HS 0403000J  28          2006</t>
        </is>
      </c>
      <c r="D17" t="inlineStr">
        <is>
          <t>The origins of freemasonry : facts &amp; fictions / Margaret C. Jacob.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Jacob, Margaret C., 1943-</t>
        </is>
      </c>
      <c r="L17" t="inlineStr">
        <is>
          <t>Philadelphia : University of Pennsylvania Press, c2006.</t>
        </is>
      </c>
      <c r="M17" t="inlineStr">
        <is>
          <t>2006</t>
        </is>
      </c>
      <c r="O17" t="inlineStr">
        <is>
          <t>eng</t>
        </is>
      </c>
      <c r="P17" t="inlineStr">
        <is>
          <t>pau</t>
        </is>
      </c>
      <c r="R17" t="inlineStr">
        <is>
          <t xml:space="preserve">HS </t>
        </is>
      </c>
      <c r="S17" t="n">
        <v>4</v>
      </c>
      <c r="T17" t="n">
        <v>4</v>
      </c>
      <c r="U17" t="inlineStr">
        <is>
          <t>2009-11-01</t>
        </is>
      </c>
      <c r="V17" t="inlineStr">
        <is>
          <t>2009-11-01</t>
        </is>
      </c>
      <c r="W17" t="inlineStr">
        <is>
          <t>2006-07-18</t>
        </is>
      </c>
      <c r="X17" t="inlineStr">
        <is>
          <t>2006-07-18</t>
        </is>
      </c>
      <c r="Y17" t="n">
        <v>670</v>
      </c>
      <c r="Z17" t="n">
        <v>602</v>
      </c>
      <c r="AA17" t="n">
        <v>620</v>
      </c>
      <c r="AB17" t="n">
        <v>6</v>
      </c>
      <c r="AC17" t="n">
        <v>6</v>
      </c>
      <c r="AD17" t="n">
        <v>30</v>
      </c>
      <c r="AE17" t="n">
        <v>31</v>
      </c>
      <c r="AF17" t="n">
        <v>10</v>
      </c>
      <c r="AG17" t="n">
        <v>11</v>
      </c>
      <c r="AH17" t="n">
        <v>8</v>
      </c>
      <c r="AI17" t="n">
        <v>9</v>
      </c>
      <c r="AJ17" t="n">
        <v>15</v>
      </c>
      <c r="AK17" t="n">
        <v>15</v>
      </c>
      <c r="AL17" t="n">
        <v>5</v>
      </c>
      <c r="AM17" t="n">
        <v>5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HYPERLINK("https://creighton-primo.hosted.exlibrisgroup.com/primo-explore/search?tab=default_tab&amp;search_scope=EVERYTHING&amp;vid=01CRU&amp;lang=en_US&amp;offset=0&amp;query=any,contains,991004849309702656","Catalog Record")</f>
        <v/>
      </c>
      <c r="AT17">
        <f>HYPERLINK("http://www.worldcat.org/oclc/61200726","WorldCat Record")</f>
        <v/>
      </c>
      <c r="AU17" t="inlineStr">
        <is>
          <t>1121090:eng</t>
        </is>
      </c>
      <c r="AV17" t="inlineStr">
        <is>
          <t>61200726</t>
        </is>
      </c>
      <c r="AW17" t="inlineStr">
        <is>
          <t>991004849309702656</t>
        </is>
      </c>
      <c r="AX17" t="inlineStr">
        <is>
          <t>991004849309702656</t>
        </is>
      </c>
      <c r="AY17" t="inlineStr">
        <is>
          <t>2258868910002656</t>
        </is>
      </c>
      <c r="AZ17" t="inlineStr">
        <is>
          <t>BOOK</t>
        </is>
      </c>
      <c r="BB17" t="inlineStr">
        <is>
          <t>9780812239010</t>
        </is>
      </c>
      <c r="BC17" t="inlineStr">
        <is>
          <t>32285005195382</t>
        </is>
      </c>
      <c r="BD17" t="inlineStr">
        <is>
          <t>893782721</t>
        </is>
      </c>
    </row>
    <row r="18">
      <c r="A18" t="inlineStr">
        <is>
          <t>No</t>
        </is>
      </c>
      <c r="B18" t="inlineStr">
        <is>
          <t>HS403 .R54 2001</t>
        </is>
      </c>
      <c r="C18" t="inlineStr">
        <is>
          <t>0                      HS 0403000R  54          2001</t>
        </is>
      </c>
      <c r="D18" t="inlineStr">
        <is>
          <t>The Freemasons : a history of the world's most powerful secret society / Jasper Ridley.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Ridley, Jasper Godwin.</t>
        </is>
      </c>
      <c r="L18" t="inlineStr">
        <is>
          <t>New York : Arcade Pub., 2001.</t>
        </is>
      </c>
      <c r="M18" t="inlineStr">
        <is>
          <t>2001</t>
        </is>
      </c>
      <c r="N18" t="inlineStr">
        <is>
          <t>1st U.S. ed.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HS </t>
        </is>
      </c>
      <c r="S18" t="n">
        <v>9</v>
      </c>
      <c r="T18" t="n">
        <v>9</v>
      </c>
      <c r="U18" t="inlineStr">
        <is>
          <t>2009-11-01</t>
        </is>
      </c>
      <c r="V18" t="inlineStr">
        <is>
          <t>2009-11-01</t>
        </is>
      </c>
      <c r="W18" t="inlineStr">
        <is>
          <t>2002-09-10</t>
        </is>
      </c>
      <c r="X18" t="inlineStr">
        <is>
          <t>2002-09-10</t>
        </is>
      </c>
      <c r="Y18" t="n">
        <v>1343</v>
      </c>
      <c r="Z18" t="n">
        <v>1295</v>
      </c>
      <c r="AA18" t="n">
        <v>1495</v>
      </c>
      <c r="AB18" t="n">
        <v>9</v>
      </c>
      <c r="AC18" t="n">
        <v>11</v>
      </c>
      <c r="AD18" t="n">
        <v>26</v>
      </c>
      <c r="AE18" t="n">
        <v>30</v>
      </c>
      <c r="AF18" t="n">
        <v>14</v>
      </c>
      <c r="AG18" t="n">
        <v>16</v>
      </c>
      <c r="AH18" t="n">
        <v>4</v>
      </c>
      <c r="AI18" t="n">
        <v>4</v>
      </c>
      <c r="AJ18" t="n">
        <v>10</v>
      </c>
      <c r="AK18" t="n">
        <v>11</v>
      </c>
      <c r="AL18" t="n">
        <v>4</v>
      </c>
      <c r="AM18" t="n">
        <v>5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HYPERLINK("http://catalog.hathitrust.org/Record/004227463","HathiTrust Record")</f>
        <v/>
      </c>
      <c r="AS18">
        <f>HYPERLINK("https://creighton-primo.hosted.exlibrisgroup.com/primo-explore/search?tab=default_tab&amp;search_scope=EVERYTHING&amp;vid=01CRU&amp;lang=en_US&amp;offset=0&amp;query=any,contains,991003867979702656","Catalog Record")</f>
        <v/>
      </c>
      <c r="AT18">
        <f>HYPERLINK("http://www.worldcat.org/oclc/47805094","WorldCat Record")</f>
        <v/>
      </c>
      <c r="AU18" t="inlineStr">
        <is>
          <t>4917980835:eng</t>
        </is>
      </c>
      <c r="AV18" t="inlineStr">
        <is>
          <t>47805094</t>
        </is>
      </c>
      <c r="AW18" t="inlineStr">
        <is>
          <t>991003867979702656</t>
        </is>
      </c>
      <c r="AX18" t="inlineStr">
        <is>
          <t>991003867979702656</t>
        </is>
      </c>
      <c r="AY18" t="inlineStr">
        <is>
          <t>2265251090002656</t>
        </is>
      </c>
      <c r="AZ18" t="inlineStr">
        <is>
          <t>BOOK</t>
        </is>
      </c>
      <c r="BB18" t="inlineStr">
        <is>
          <t>9781559706018</t>
        </is>
      </c>
      <c r="BC18" t="inlineStr">
        <is>
          <t>32285004646575</t>
        </is>
      </c>
      <c r="BD18" t="inlineStr">
        <is>
          <t>893506081</t>
        </is>
      </c>
    </row>
    <row r="19">
      <c r="A19" t="inlineStr">
        <is>
          <t>No</t>
        </is>
      </c>
      <c r="B19" t="inlineStr">
        <is>
          <t>HS475 .D5 1965</t>
        </is>
      </c>
      <c r="C19" t="inlineStr">
        <is>
          <t>0                      HS 0475000D  5           1965</t>
        </is>
      </c>
      <c r="D19" t="inlineStr">
        <is>
          <t>Grand Orient Freemasonry unmasked : as the secret power behind communism / by George F. Dillon ; with preface by Denis Fahey.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Dillon, George F.</t>
        </is>
      </c>
      <c r="L19" t="inlineStr">
        <is>
          <t>London : Britons Publishing co., 1965.</t>
        </is>
      </c>
      <c r="M19" t="inlineStr">
        <is>
          <t>1965</t>
        </is>
      </c>
      <c r="N19" t="inlineStr">
        <is>
          <t>5th, rev. and enl., ed.</t>
        </is>
      </c>
      <c r="O19" t="inlineStr">
        <is>
          <t>eng</t>
        </is>
      </c>
      <c r="P19" t="inlineStr">
        <is>
          <t xml:space="preserve">xx </t>
        </is>
      </c>
      <c r="R19" t="inlineStr">
        <is>
          <t xml:space="preserve">HS </t>
        </is>
      </c>
      <c r="S19" t="n">
        <v>3</v>
      </c>
      <c r="T19" t="n">
        <v>3</v>
      </c>
      <c r="U19" t="inlineStr">
        <is>
          <t>2002-10-07</t>
        </is>
      </c>
      <c r="V19" t="inlineStr">
        <is>
          <t>2002-10-07</t>
        </is>
      </c>
      <c r="W19" t="inlineStr">
        <is>
          <t>1997-08-15</t>
        </is>
      </c>
      <c r="X19" t="inlineStr">
        <is>
          <t>1997-08-15</t>
        </is>
      </c>
      <c r="Y19" t="n">
        <v>24</v>
      </c>
      <c r="Z19" t="n">
        <v>14</v>
      </c>
      <c r="AA19" t="n">
        <v>69</v>
      </c>
      <c r="AB19" t="n">
        <v>1</v>
      </c>
      <c r="AC19" t="n">
        <v>2</v>
      </c>
      <c r="AD19" t="n">
        <v>1</v>
      </c>
      <c r="AE19" t="n">
        <v>9</v>
      </c>
      <c r="AF19" t="n">
        <v>0</v>
      </c>
      <c r="AG19" t="n">
        <v>3</v>
      </c>
      <c r="AH19" t="n">
        <v>0</v>
      </c>
      <c r="AI19" t="n">
        <v>3</v>
      </c>
      <c r="AJ19" t="n">
        <v>1</v>
      </c>
      <c r="AK19" t="n">
        <v>6</v>
      </c>
      <c r="AL19" t="n">
        <v>0</v>
      </c>
      <c r="AM19" t="n">
        <v>0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HYPERLINK("https://creighton-primo.hosted.exlibrisgroup.com/primo-explore/search?tab=default_tab&amp;search_scope=EVERYTHING&amp;vid=01CRU&amp;lang=en_US&amp;offset=0&amp;query=any,contains,991003983719702656","Catalog Record")</f>
        <v/>
      </c>
      <c r="AT19">
        <f>HYPERLINK("http://www.worldcat.org/oclc/2023651","WorldCat Record")</f>
        <v/>
      </c>
      <c r="AU19" t="inlineStr">
        <is>
          <t>197137932:eng</t>
        </is>
      </c>
      <c r="AV19" t="inlineStr">
        <is>
          <t>2023651</t>
        </is>
      </c>
      <c r="AW19" t="inlineStr">
        <is>
          <t>991003983719702656</t>
        </is>
      </c>
      <c r="AX19" t="inlineStr">
        <is>
          <t>991003983719702656</t>
        </is>
      </c>
      <c r="AY19" t="inlineStr">
        <is>
          <t>2266207750002656</t>
        </is>
      </c>
      <c r="AZ19" t="inlineStr">
        <is>
          <t>BOOK</t>
        </is>
      </c>
      <c r="BC19" t="inlineStr">
        <is>
          <t>32285003104956</t>
        </is>
      </c>
      <c r="BD19" t="inlineStr">
        <is>
          <t>893435729</t>
        </is>
      </c>
    </row>
    <row r="20">
      <c r="A20" t="inlineStr">
        <is>
          <t>No</t>
        </is>
      </c>
      <c r="B20" t="inlineStr">
        <is>
          <t>HS475 .P8</t>
        </is>
      </c>
      <c r="C20" t="inlineStr">
        <is>
          <t>0                      HS 0475000P  8</t>
        </is>
      </c>
      <c r="D20" t="inlineStr">
        <is>
          <t>A study in American freemasonry, based upon Pike's "Morals and dogma of the ancient and accepted Scottish rite," "Mackey's Masonic ritualist," "The encyclopædia of freemasonry," and other American masonic standard works; ed. by Arthur Preuss ...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Preuss, Arthur, 1871-1934.</t>
        </is>
      </c>
      <c r="L20" t="inlineStr">
        <is>
          <t>St. Louis, Mo., Freiburg (Baden), B. Herder, 1908.</t>
        </is>
      </c>
      <c r="M20" t="inlineStr">
        <is>
          <t>1908</t>
        </is>
      </c>
      <c r="O20" t="inlineStr">
        <is>
          <t>eng</t>
        </is>
      </c>
      <c r="P20" t="inlineStr">
        <is>
          <t>mou</t>
        </is>
      </c>
      <c r="R20" t="inlineStr">
        <is>
          <t xml:space="preserve">HS </t>
        </is>
      </c>
      <c r="S20" t="n">
        <v>1</v>
      </c>
      <c r="T20" t="n">
        <v>1</v>
      </c>
      <c r="U20" t="inlineStr">
        <is>
          <t>2007-10-04</t>
        </is>
      </c>
      <c r="V20" t="inlineStr">
        <is>
          <t>2007-10-04</t>
        </is>
      </c>
      <c r="W20" t="inlineStr">
        <is>
          <t>1997-08-15</t>
        </is>
      </c>
      <c r="X20" t="inlineStr">
        <is>
          <t>1997-08-15</t>
        </is>
      </c>
      <c r="Y20" t="n">
        <v>105</v>
      </c>
      <c r="Z20" t="n">
        <v>95</v>
      </c>
      <c r="AA20" t="n">
        <v>145</v>
      </c>
      <c r="AB20" t="n">
        <v>1</v>
      </c>
      <c r="AC20" t="n">
        <v>2</v>
      </c>
      <c r="AD20" t="n">
        <v>23</v>
      </c>
      <c r="AE20" t="n">
        <v>26</v>
      </c>
      <c r="AF20" t="n">
        <v>10</v>
      </c>
      <c r="AG20" t="n">
        <v>12</v>
      </c>
      <c r="AH20" t="n">
        <v>2</v>
      </c>
      <c r="AI20" t="n">
        <v>4</v>
      </c>
      <c r="AJ20" t="n">
        <v>18</v>
      </c>
      <c r="AK20" t="n">
        <v>19</v>
      </c>
      <c r="AL20" t="n">
        <v>0</v>
      </c>
      <c r="AM20" t="n">
        <v>0</v>
      </c>
      <c r="AN20" t="n">
        <v>0</v>
      </c>
      <c r="AO20" t="n">
        <v>0</v>
      </c>
      <c r="AP20" t="inlineStr">
        <is>
          <t>Yes</t>
        </is>
      </c>
      <c r="AQ20" t="inlineStr">
        <is>
          <t>No</t>
        </is>
      </c>
      <c r="AR20">
        <f>HYPERLINK("http://catalog.hathitrust.org/Record/100772057","HathiTrust Record")</f>
        <v/>
      </c>
      <c r="AS20">
        <f>HYPERLINK("https://creighton-primo.hosted.exlibrisgroup.com/primo-explore/search?tab=default_tab&amp;search_scope=EVERYTHING&amp;vid=01CRU&amp;lang=en_US&amp;offset=0&amp;query=any,contains,991004117539702656","Catalog Record")</f>
        <v/>
      </c>
      <c r="AT20">
        <f>HYPERLINK("http://www.worldcat.org/oclc/2419978","WorldCat Record")</f>
        <v/>
      </c>
      <c r="AU20" t="inlineStr">
        <is>
          <t>3902837:eng</t>
        </is>
      </c>
      <c r="AV20" t="inlineStr">
        <is>
          <t>2419978</t>
        </is>
      </c>
      <c r="AW20" t="inlineStr">
        <is>
          <t>991004117539702656</t>
        </is>
      </c>
      <c r="AX20" t="inlineStr">
        <is>
          <t>991004117539702656</t>
        </is>
      </c>
      <c r="AY20" t="inlineStr">
        <is>
          <t>2270276660002656</t>
        </is>
      </c>
      <c r="AZ20" t="inlineStr">
        <is>
          <t>BOOK</t>
        </is>
      </c>
      <c r="BC20" t="inlineStr">
        <is>
          <t>32285003104964</t>
        </is>
      </c>
      <c r="BD20" t="inlineStr">
        <is>
          <t>893525674</t>
        </is>
      </c>
    </row>
    <row r="21">
      <c r="A21" t="inlineStr">
        <is>
          <t>No</t>
        </is>
      </c>
      <c r="B21" t="inlineStr">
        <is>
          <t>HS495 .C33 1930</t>
        </is>
      </c>
      <c r="C21" t="inlineStr">
        <is>
          <t>0                      HS 0495000C  33          1930</t>
        </is>
      </c>
      <c r="D21" t="inlineStr">
        <is>
          <t>Freemasonry and the anti-Christian movement.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Cahill, E. (Edward), 1868-1941.</t>
        </is>
      </c>
      <c r="L21" t="inlineStr">
        <is>
          <t>Dublin : M.H.Gill, 1930.</t>
        </is>
      </c>
      <c r="M21" t="inlineStr">
        <is>
          <t>1930</t>
        </is>
      </c>
      <c r="N21" t="inlineStr">
        <is>
          <t>Second edition, rev. and enl.</t>
        </is>
      </c>
      <c r="O21" t="inlineStr">
        <is>
          <t>eng</t>
        </is>
      </c>
      <c r="P21" t="inlineStr">
        <is>
          <t xml:space="preserve">ie </t>
        </is>
      </c>
      <c r="R21" t="inlineStr">
        <is>
          <t xml:space="preserve">HS </t>
        </is>
      </c>
      <c r="S21" t="n">
        <v>2</v>
      </c>
      <c r="T21" t="n">
        <v>2</v>
      </c>
      <c r="U21" t="inlineStr">
        <is>
          <t>1998-01-14</t>
        </is>
      </c>
      <c r="V21" t="inlineStr">
        <is>
          <t>1998-01-14</t>
        </is>
      </c>
      <c r="W21" t="inlineStr">
        <is>
          <t>1994-05-11</t>
        </is>
      </c>
      <c r="X21" t="inlineStr">
        <is>
          <t>1994-05-11</t>
        </is>
      </c>
      <c r="Y21" t="n">
        <v>131</v>
      </c>
      <c r="Z21" t="n">
        <v>93</v>
      </c>
      <c r="AA21" t="n">
        <v>150</v>
      </c>
      <c r="AB21" t="n">
        <v>1</v>
      </c>
      <c r="AC21" t="n">
        <v>3</v>
      </c>
      <c r="AD21" t="n">
        <v>20</v>
      </c>
      <c r="AE21" t="n">
        <v>26</v>
      </c>
      <c r="AF21" t="n">
        <v>5</v>
      </c>
      <c r="AG21" t="n">
        <v>9</v>
      </c>
      <c r="AH21" t="n">
        <v>6</v>
      </c>
      <c r="AI21" t="n">
        <v>7</v>
      </c>
      <c r="AJ21" t="n">
        <v>15</v>
      </c>
      <c r="AK21" t="n">
        <v>20</v>
      </c>
      <c r="AL21" t="n">
        <v>0</v>
      </c>
      <c r="AM21" t="n">
        <v>0</v>
      </c>
      <c r="AN21" t="n">
        <v>0</v>
      </c>
      <c r="AO21" t="n">
        <v>0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HYPERLINK("https://creighton-primo.hosted.exlibrisgroup.com/primo-explore/search?tab=default_tab&amp;search_scope=EVERYTHING&amp;vid=01CRU&amp;lang=en_US&amp;offset=0&amp;query=any,contains,991002831839702656","Catalog Record")</f>
        <v/>
      </c>
      <c r="AT21">
        <f>HYPERLINK("http://www.worldcat.org/oclc/477845","WorldCat Record")</f>
        <v/>
      </c>
      <c r="AU21" t="inlineStr">
        <is>
          <t>1552702:eng</t>
        </is>
      </c>
      <c r="AV21" t="inlineStr">
        <is>
          <t>477845</t>
        </is>
      </c>
      <c r="AW21" t="inlineStr">
        <is>
          <t>991002831839702656</t>
        </is>
      </c>
      <c r="AX21" t="inlineStr">
        <is>
          <t>991002831839702656</t>
        </is>
      </c>
      <c r="AY21" t="inlineStr">
        <is>
          <t>2264141220002656</t>
        </is>
      </c>
      <c r="AZ21" t="inlineStr">
        <is>
          <t>BOOK</t>
        </is>
      </c>
      <c r="BC21" t="inlineStr">
        <is>
          <t>32285001910461</t>
        </is>
      </c>
      <c r="BD21" t="inlineStr">
        <is>
          <t>893786607</t>
        </is>
      </c>
    </row>
    <row r="22">
      <c r="A22" t="inlineStr">
        <is>
          <t>No</t>
        </is>
      </c>
      <c r="B22" t="inlineStr">
        <is>
          <t>HS495 .K45</t>
        </is>
      </c>
      <c r="C22" t="inlineStr">
        <is>
          <t>0                      HS 0495000K  45</t>
        </is>
      </c>
      <c r="D22" t="inlineStr">
        <is>
          <t>American masonry and Catholic education / by Michael Kenny.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Kenny, Michael, 1863-1946.</t>
        </is>
      </c>
      <c r="L22" t="inlineStr">
        <is>
          <t>Brooklyn, N.Y. : International Catholic Truth Society, 1919.</t>
        </is>
      </c>
      <c r="M22" t="inlineStr">
        <is>
          <t>1919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HS </t>
        </is>
      </c>
      <c r="S22" t="n">
        <v>3</v>
      </c>
      <c r="T22" t="n">
        <v>3</v>
      </c>
      <c r="U22" t="inlineStr">
        <is>
          <t>2008-03-18</t>
        </is>
      </c>
      <c r="V22" t="inlineStr">
        <is>
          <t>2008-03-18</t>
        </is>
      </c>
      <c r="W22" t="inlineStr">
        <is>
          <t>1997-03-05</t>
        </is>
      </c>
      <c r="X22" t="inlineStr">
        <is>
          <t>1997-03-05</t>
        </is>
      </c>
      <c r="Y22" t="n">
        <v>8</v>
      </c>
      <c r="Z22" t="n">
        <v>8</v>
      </c>
      <c r="AA22" t="n">
        <v>27</v>
      </c>
      <c r="AB22" t="n">
        <v>1</v>
      </c>
      <c r="AC22" t="n">
        <v>1</v>
      </c>
      <c r="AD22" t="n">
        <v>3</v>
      </c>
      <c r="AE22" t="n">
        <v>4</v>
      </c>
      <c r="AF22" t="n">
        <v>1</v>
      </c>
      <c r="AG22" t="n">
        <v>1</v>
      </c>
      <c r="AH22" t="n">
        <v>0</v>
      </c>
      <c r="AI22" t="n">
        <v>0</v>
      </c>
      <c r="AJ22" t="n">
        <v>3</v>
      </c>
      <c r="AK22" t="n">
        <v>4</v>
      </c>
      <c r="AL22" t="n">
        <v>0</v>
      </c>
      <c r="AM22" t="n">
        <v>0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HYPERLINK("https://creighton-primo.hosted.exlibrisgroup.com/primo-explore/search?tab=default_tab&amp;search_scope=EVERYTHING&amp;vid=01CRU&amp;lang=en_US&amp;offset=0&amp;query=any,contains,991005407609702656","Catalog Record")</f>
        <v/>
      </c>
      <c r="AT22">
        <f>HYPERLINK("http://www.worldcat.org/oclc/15314381","WorldCat Record")</f>
        <v/>
      </c>
      <c r="AU22" t="inlineStr">
        <is>
          <t>10047907:eng</t>
        </is>
      </c>
      <c r="AV22" t="inlineStr">
        <is>
          <t>15314381</t>
        </is>
      </c>
      <c r="AW22" t="inlineStr">
        <is>
          <t>991005407609702656</t>
        </is>
      </c>
      <c r="AX22" t="inlineStr">
        <is>
          <t>991005407609702656</t>
        </is>
      </c>
      <c r="AY22" t="inlineStr">
        <is>
          <t>2257271840002656</t>
        </is>
      </c>
      <c r="AZ22" t="inlineStr">
        <is>
          <t>BOOK</t>
        </is>
      </c>
      <c r="BC22" t="inlineStr">
        <is>
          <t>32285002464146</t>
        </is>
      </c>
      <c r="BD22" t="inlineStr">
        <is>
          <t>893431453</t>
        </is>
      </c>
    </row>
    <row r="23">
      <c r="A23" t="inlineStr">
        <is>
          <t>No</t>
        </is>
      </c>
      <c r="B23" t="inlineStr">
        <is>
          <t>HS495 .W5</t>
        </is>
      </c>
      <c r="C23" t="inlineStr">
        <is>
          <t>0                      HS 0495000W  5</t>
        </is>
      </c>
      <c r="D23" t="inlineStr">
        <is>
          <t>Christianity and American freemasonry.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Whalen, William J. (William Joseph), 1926-2008.</t>
        </is>
      </c>
      <c r="L23" t="inlineStr">
        <is>
          <t>Milwaukee : Bruce Pub. Co., [1958]</t>
        </is>
      </c>
      <c r="M23" t="inlineStr">
        <is>
          <t>1958</t>
        </is>
      </c>
      <c r="O23" t="inlineStr">
        <is>
          <t>eng</t>
        </is>
      </c>
      <c r="P23" t="inlineStr">
        <is>
          <t xml:space="preserve">xx </t>
        </is>
      </c>
      <c r="R23" t="inlineStr">
        <is>
          <t xml:space="preserve">HS </t>
        </is>
      </c>
      <c r="S23" t="n">
        <v>4</v>
      </c>
      <c r="T23" t="n">
        <v>4</v>
      </c>
      <c r="U23" t="inlineStr">
        <is>
          <t>2008-03-18</t>
        </is>
      </c>
      <c r="V23" t="inlineStr">
        <is>
          <t>2008-03-18</t>
        </is>
      </c>
      <c r="W23" t="inlineStr">
        <is>
          <t>1993-07-09</t>
        </is>
      </c>
      <c r="X23" t="inlineStr">
        <is>
          <t>1993-07-09</t>
        </is>
      </c>
      <c r="Y23" t="n">
        <v>298</v>
      </c>
      <c r="Z23" t="n">
        <v>272</v>
      </c>
      <c r="AA23" t="n">
        <v>400</v>
      </c>
      <c r="AB23" t="n">
        <v>5</v>
      </c>
      <c r="AC23" t="n">
        <v>6</v>
      </c>
      <c r="AD23" t="n">
        <v>30</v>
      </c>
      <c r="AE23" t="n">
        <v>33</v>
      </c>
      <c r="AF23" t="n">
        <v>10</v>
      </c>
      <c r="AG23" t="n">
        <v>12</v>
      </c>
      <c r="AH23" t="n">
        <v>6</v>
      </c>
      <c r="AI23" t="n">
        <v>6</v>
      </c>
      <c r="AJ23" t="n">
        <v>22</v>
      </c>
      <c r="AK23" t="n">
        <v>22</v>
      </c>
      <c r="AL23" t="n">
        <v>1</v>
      </c>
      <c r="AM23" t="n">
        <v>2</v>
      </c>
      <c r="AN23" t="n">
        <v>0</v>
      </c>
      <c r="AO23" t="n">
        <v>0</v>
      </c>
      <c r="AP23" t="inlineStr">
        <is>
          <t>Yes</t>
        </is>
      </c>
      <c r="AQ23" t="inlineStr">
        <is>
          <t>No</t>
        </is>
      </c>
      <c r="AR23">
        <f>HYPERLINK("http://catalog.hathitrust.org/Record/001064050","HathiTrust Record")</f>
        <v/>
      </c>
      <c r="AS23">
        <f>HYPERLINK("https://creighton-primo.hosted.exlibrisgroup.com/primo-explore/search?tab=default_tab&amp;search_scope=EVERYTHING&amp;vid=01CRU&amp;lang=en_US&amp;offset=0&amp;query=any,contains,991002641569702656","Catalog Record")</f>
        <v/>
      </c>
      <c r="AT23">
        <f>HYPERLINK("http://www.worldcat.org/oclc/384532","WorldCat Record")</f>
        <v/>
      </c>
      <c r="AU23" t="inlineStr">
        <is>
          <t>1504146:eng</t>
        </is>
      </c>
      <c r="AV23" t="inlineStr">
        <is>
          <t>384532</t>
        </is>
      </c>
      <c r="AW23" t="inlineStr">
        <is>
          <t>991002641569702656</t>
        </is>
      </c>
      <c r="AX23" t="inlineStr">
        <is>
          <t>991002641569702656</t>
        </is>
      </c>
      <c r="AY23" t="inlineStr">
        <is>
          <t>2256461820002656</t>
        </is>
      </c>
      <c r="AZ23" t="inlineStr">
        <is>
          <t>BOOK</t>
        </is>
      </c>
      <c r="BC23" t="inlineStr">
        <is>
          <t>32285001721967</t>
        </is>
      </c>
      <c r="BD23" t="inlineStr">
        <is>
          <t>893780036</t>
        </is>
      </c>
    </row>
    <row r="24">
      <c r="A24" t="inlineStr">
        <is>
          <t>No</t>
        </is>
      </c>
      <c r="B24" t="inlineStr">
        <is>
          <t>HS527 .A33</t>
        </is>
      </c>
      <c r="C24" t="inlineStr">
        <is>
          <t>0                      HS 0527000A  33</t>
        </is>
      </c>
      <c r="D24" t="inlineStr">
        <is>
          <t>Letters and opinions of the Masonic institution / by John Q. Adams.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Adams, John Quincy, 1767-1848.</t>
        </is>
      </c>
      <c r="L24" t="inlineStr">
        <is>
          <t>Cincinnati : Stratton, 1851.</t>
        </is>
      </c>
      <c r="M24" t="inlineStr">
        <is>
          <t>1851</t>
        </is>
      </c>
      <c r="O24" t="inlineStr">
        <is>
          <t>eng</t>
        </is>
      </c>
      <c r="P24" t="inlineStr">
        <is>
          <t xml:space="preserve">xx </t>
        </is>
      </c>
      <c r="R24" t="inlineStr">
        <is>
          <t xml:space="preserve">HS </t>
        </is>
      </c>
      <c r="S24" t="n">
        <v>2</v>
      </c>
      <c r="T24" t="n">
        <v>2</v>
      </c>
      <c r="U24" t="inlineStr">
        <is>
          <t>2005-04-11</t>
        </is>
      </c>
      <c r="V24" t="inlineStr">
        <is>
          <t>2005-04-11</t>
        </is>
      </c>
      <c r="W24" t="inlineStr">
        <is>
          <t>1997-03-05</t>
        </is>
      </c>
      <c r="X24" t="inlineStr">
        <is>
          <t>1997-03-05</t>
        </is>
      </c>
      <c r="Y24" t="n">
        <v>22</v>
      </c>
      <c r="Z24" t="n">
        <v>22</v>
      </c>
      <c r="AA24" t="n">
        <v>31</v>
      </c>
      <c r="AB24" t="n">
        <v>1</v>
      </c>
      <c r="AC24" t="n">
        <v>1</v>
      </c>
      <c r="AD24" t="n">
        <v>1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1</v>
      </c>
      <c r="AL24" t="n">
        <v>0</v>
      </c>
      <c r="AM24" t="n">
        <v>0</v>
      </c>
      <c r="AN24" t="n">
        <v>0</v>
      </c>
      <c r="AO24" t="n">
        <v>0</v>
      </c>
      <c r="AP24" t="inlineStr">
        <is>
          <t>Yes</t>
        </is>
      </c>
      <c r="AQ24" t="inlineStr">
        <is>
          <t>No</t>
        </is>
      </c>
      <c r="AR24">
        <f>HYPERLINK("http://catalog.hathitrust.org/Record/007514477","HathiTrust Record")</f>
        <v/>
      </c>
      <c r="AS24">
        <f>HYPERLINK("https://creighton-primo.hosted.exlibrisgroup.com/primo-explore/search?tab=default_tab&amp;search_scope=EVERYTHING&amp;vid=01CRU&amp;lang=en_US&amp;offset=0&amp;query=any,contains,991004263859702656","Catalog Record")</f>
        <v/>
      </c>
      <c r="AT24">
        <f>HYPERLINK("http://www.worldcat.org/oclc/2857664","WorldCat Record")</f>
        <v/>
      </c>
      <c r="AU24" t="inlineStr">
        <is>
          <t>3769341279:eng</t>
        </is>
      </c>
      <c r="AV24" t="inlineStr">
        <is>
          <t>2857664</t>
        </is>
      </c>
      <c r="AW24" t="inlineStr">
        <is>
          <t>991004263859702656</t>
        </is>
      </c>
      <c r="AX24" t="inlineStr">
        <is>
          <t>991004263859702656</t>
        </is>
      </c>
      <c r="AY24" t="inlineStr">
        <is>
          <t>2260789140002656</t>
        </is>
      </c>
      <c r="AZ24" t="inlineStr">
        <is>
          <t>BOOK</t>
        </is>
      </c>
      <c r="BC24" t="inlineStr">
        <is>
          <t>32285002464138</t>
        </is>
      </c>
      <c r="BD24" t="inlineStr">
        <is>
          <t>893599624</t>
        </is>
      </c>
    </row>
    <row r="25">
      <c r="A25" t="inlineStr">
        <is>
          <t>No</t>
        </is>
      </c>
      <c r="B25" t="inlineStr">
        <is>
          <t>HS607 .H6413 2007</t>
        </is>
      </c>
      <c r="C25" t="inlineStr">
        <is>
          <t>0                      HS 0607000H  6413        2007</t>
        </is>
      </c>
      <c r="D25" t="inlineStr">
        <is>
          <t>The politics of sociability : freemasonry and German civil society, 1840-1918 / Stefan-Ludwig Hoffmann ; translated by Tom Lampert.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Hoffmann, Stefan-Ludwig.</t>
        </is>
      </c>
      <c r="L25" t="inlineStr">
        <is>
          <t>Ann Arbor, Mich. : The University of Michigan Press, c2007.</t>
        </is>
      </c>
      <c r="M25" t="inlineStr">
        <is>
          <t>2007</t>
        </is>
      </c>
      <c r="O25" t="inlineStr">
        <is>
          <t>eng</t>
        </is>
      </c>
      <c r="P25" t="inlineStr">
        <is>
          <t>miu</t>
        </is>
      </c>
      <c r="Q25" t="inlineStr">
        <is>
          <t>Social history, popular culture, and politics in Germany</t>
        </is>
      </c>
      <c r="R25" t="inlineStr">
        <is>
          <t xml:space="preserve">HS </t>
        </is>
      </c>
      <c r="S25" t="n">
        <v>1</v>
      </c>
      <c r="T25" t="n">
        <v>1</v>
      </c>
      <c r="U25" t="inlineStr">
        <is>
          <t>2010-05-18</t>
        </is>
      </c>
      <c r="V25" t="inlineStr">
        <is>
          <t>2010-05-18</t>
        </is>
      </c>
      <c r="W25" t="inlineStr">
        <is>
          <t>2010-05-18</t>
        </is>
      </c>
      <c r="X25" t="inlineStr">
        <is>
          <t>2010-05-18</t>
        </is>
      </c>
      <c r="Y25" t="n">
        <v>117</v>
      </c>
      <c r="Z25" t="n">
        <v>97</v>
      </c>
      <c r="AA25" t="n">
        <v>322</v>
      </c>
      <c r="AB25" t="n">
        <v>1</v>
      </c>
      <c r="AC25" t="n">
        <v>1</v>
      </c>
      <c r="AD25" t="n">
        <v>4</v>
      </c>
      <c r="AE25" t="n">
        <v>18</v>
      </c>
      <c r="AF25" t="n">
        <v>2</v>
      </c>
      <c r="AG25" t="n">
        <v>10</v>
      </c>
      <c r="AH25" t="n">
        <v>1</v>
      </c>
      <c r="AI25" t="n">
        <v>4</v>
      </c>
      <c r="AJ25" t="n">
        <v>2</v>
      </c>
      <c r="AK25" t="n">
        <v>9</v>
      </c>
      <c r="AL25" t="n">
        <v>0</v>
      </c>
      <c r="AM25" t="n">
        <v>0</v>
      </c>
      <c r="AN25" t="n">
        <v>0</v>
      </c>
      <c r="AO25" t="n">
        <v>0</v>
      </c>
      <c r="AP25" t="inlineStr">
        <is>
          <t>Yes</t>
        </is>
      </c>
      <c r="AQ25" t="inlineStr">
        <is>
          <t>No</t>
        </is>
      </c>
      <c r="AR25">
        <f>HYPERLINK("http://catalog.hathitrust.org/Record/005649761","HathiTrust Record")</f>
        <v/>
      </c>
      <c r="AS25">
        <f>HYPERLINK("https://creighton-primo.hosted.exlibrisgroup.com/primo-explore/search?tab=default_tab&amp;search_scope=EVERYTHING&amp;vid=01CRU&amp;lang=en_US&amp;offset=0&amp;query=any,contains,991005393079702656","Catalog Record")</f>
        <v/>
      </c>
      <c r="AT25">
        <f>HYPERLINK("http://www.worldcat.org/oclc/82673537","WorldCat Record")</f>
        <v/>
      </c>
      <c r="AU25" t="inlineStr">
        <is>
          <t>364569076:eng</t>
        </is>
      </c>
      <c r="AV25" t="inlineStr">
        <is>
          <t>82673537</t>
        </is>
      </c>
      <c r="AW25" t="inlineStr">
        <is>
          <t>991005393079702656</t>
        </is>
      </c>
      <c r="AX25" t="inlineStr">
        <is>
          <t>991005393079702656</t>
        </is>
      </c>
      <c r="AY25" t="inlineStr">
        <is>
          <t>2270657360002656</t>
        </is>
      </c>
      <c r="AZ25" t="inlineStr">
        <is>
          <t>BOOK</t>
        </is>
      </c>
      <c r="BB25" t="inlineStr">
        <is>
          <t>9780472115730</t>
        </is>
      </c>
      <c r="BC25" t="inlineStr">
        <is>
          <t>32285005584551</t>
        </is>
      </c>
      <c r="BD25" t="inlineStr">
        <is>
          <t>893332891</t>
        </is>
      </c>
    </row>
    <row r="26">
      <c r="A26" t="inlineStr">
        <is>
          <t>No</t>
        </is>
      </c>
      <c r="B26" t="inlineStr">
        <is>
          <t>HS61 .A27</t>
        </is>
      </c>
      <c r="C26" t="inlineStr">
        <is>
          <t>0                      HS 0061000A  27</t>
        </is>
      </c>
      <c r="D26" t="inlineStr">
        <is>
          <t>Our kind of people : American groups and rituals / by Bill Owens.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Owens, Bill.</t>
        </is>
      </c>
      <c r="L26" t="inlineStr">
        <is>
          <t>San Francisco : Straight Arrow Books ; [New York] : distributed by Simon and Schuster, [1975]</t>
        </is>
      </c>
      <c r="M26" t="inlineStr">
        <is>
          <t>1975</t>
        </is>
      </c>
      <c r="O26" t="inlineStr">
        <is>
          <t>eng</t>
        </is>
      </c>
      <c r="P26" t="inlineStr">
        <is>
          <t>cau</t>
        </is>
      </c>
      <c r="R26" t="inlineStr">
        <is>
          <t xml:space="preserve">HS </t>
        </is>
      </c>
      <c r="S26" t="n">
        <v>4</v>
      </c>
      <c r="T26" t="n">
        <v>4</v>
      </c>
      <c r="U26" t="inlineStr">
        <is>
          <t>2000-08-23</t>
        </is>
      </c>
      <c r="V26" t="inlineStr">
        <is>
          <t>2000-08-23</t>
        </is>
      </c>
      <c r="W26" t="inlineStr">
        <is>
          <t>1997-08-15</t>
        </is>
      </c>
      <c r="X26" t="inlineStr">
        <is>
          <t>1997-08-15</t>
        </is>
      </c>
      <c r="Y26" t="n">
        <v>283</v>
      </c>
      <c r="Z26" t="n">
        <v>253</v>
      </c>
      <c r="AA26" t="n">
        <v>267</v>
      </c>
      <c r="AB26" t="n">
        <v>2</v>
      </c>
      <c r="AC26" t="n">
        <v>2</v>
      </c>
      <c r="AD26" t="n">
        <v>2</v>
      </c>
      <c r="AE26" t="n">
        <v>2</v>
      </c>
      <c r="AF26" t="n">
        <v>1</v>
      </c>
      <c r="AG26" t="n">
        <v>1</v>
      </c>
      <c r="AH26" t="n">
        <v>1</v>
      </c>
      <c r="AI26" t="n">
        <v>1</v>
      </c>
      <c r="AJ26" t="n">
        <v>1</v>
      </c>
      <c r="AK26" t="n">
        <v>1</v>
      </c>
      <c r="AL26" t="n">
        <v>0</v>
      </c>
      <c r="AM26" t="n">
        <v>0</v>
      </c>
      <c r="AN26" t="n">
        <v>0</v>
      </c>
      <c r="AO26" t="n">
        <v>0</v>
      </c>
      <c r="AP26" t="inlineStr">
        <is>
          <t>No</t>
        </is>
      </c>
      <c r="AQ26" t="inlineStr">
        <is>
          <t>Yes</t>
        </is>
      </c>
      <c r="AR26">
        <f>HYPERLINK("http://catalog.hathitrust.org/Record/000044542","HathiTrust Record")</f>
        <v/>
      </c>
      <c r="AS26">
        <f>HYPERLINK("https://creighton-primo.hosted.exlibrisgroup.com/primo-explore/search?tab=default_tab&amp;search_scope=EVERYTHING&amp;vid=01CRU&amp;lang=en_US&amp;offset=0&amp;query=any,contains,991004347509702656","Catalog Record")</f>
        <v/>
      </c>
      <c r="AT26">
        <f>HYPERLINK("http://www.worldcat.org/oclc/3104111","WorldCat Record")</f>
        <v/>
      </c>
      <c r="AU26" t="inlineStr">
        <is>
          <t>6282663:eng</t>
        </is>
      </c>
      <c r="AV26" t="inlineStr">
        <is>
          <t>3104111</t>
        </is>
      </c>
      <c r="AW26" t="inlineStr">
        <is>
          <t>991004347509702656</t>
        </is>
      </c>
      <c r="AX26" t="inlineStr">
        <is>
          <t>991004347509702656</t>
        </is>
      </c>
      <c r="AY26" t="inlineStr">
        <is>
          <t>2271074140002656</t>
        </is>
      </c>
      <c r="AZ26" t="inlineStr">
        <is>
          <t>BOOK</t>
        </is>
      </c>
      <c r="BB26" t="inlineStr">
        <is>
          <t>9780879320843</t>
        </is>
      </c>
      <c r="BC26" t="inlineStr">
        <is>
          <t>32285003104881</t>
        </is>
      </c>
      <c r="BD26" t="inlineStr">
        <is>
          <t>893806961</t>
        </is>
      </c>
    </row>
    <row r="27">
      <c r="A27" t="inlineStr">
        <is>
          <t>No</t>
        </is>
      </c>
      <c r="B27" t="inlineStr">
        <is>
          <t>HT1025 .A57</t>
        </is>
      </c>
      <c r="C27" t="inlineStr">
        <is>
          <t>0                      HT 1025000A  57</t>
        </is>
      </c>
      <c r="D27" t="inlineStr">
        <is>
          <t>Anti-slavery, religion, and reform : essays in memory of Roger Anstey / edited by Christine Bolt, Seymour Drescher.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L27" t="inlineStr">
        <is>
          <t>Folkestone, Eng. : W. Dawson ; Hamden, Conn. : Archon Books, 1980.</t>
        </is>
      </c>
      <c r="M27" t="inlineStr">
        <is>
          <t>1980</t>
        </is>
      </c>
      <c r="O27" t="inlineStr">
        <is>
          <t>eng</t>
        </is>
      </c>
      <c r="P27" t="inlineStr">
        <is>
          <t>enk</t>
        </is>
      </c>
      <c r="R27" t="inlineStr">
        <is>
          <t xml:space="preserve">HT </t>
        </is>
      </c>
      <c r="S27" t="n">
        <v>2</v>
      </c>
      <c r="T27" t="n">
        <v>2</v>
      </c>
      <c r="U27" t="inlineStr">
        <is>
          <t>2004-06-21</t>
        </is>
      </c>
      <c r="V27" t="inlineStr">
        <is>
          <t>2004-06-21</t>
        </is>
      </c>
      <c r="W27" t="inlineStr">
        <is>
          <t>1990-03-26</t>
        </is>
      </c>
      <c r="X27" t="inlineStr">
        <is>
          <t>1990-03-26</t>
        </is>
      </c>
      <c r="Y27" t="n">
        <v>709</v>
      </c>
      <c r="Z27" t="n">
        <v>579</v>
      </c>
      <c r="AA27" t="n">
        <v>586</v>
      </c>
      <c r="AB27" t="n">
        <v>4</v>
      </c>
      <c r="AC27" t="n">
        <v>4</v>
      </c>
      <c r="AD27" t="n">
        <v>24</v>
      </c>
      <c r="AE27" t="n">
        <v>24</v>
      </c>
      <c r="AF27" t="n">
        <v>7</v>
      </c>
      <c r="AG27" t="n">
        <v>7</v>
      </c>
      <c r="AH27" t="n">
        <v>8</v>
      </c>
      <c r="AI27" t="n">
        <v>8</v>
      </c>
      <c r="AJ27" t="n">
        <v>11</v>
      </c>
      <c r="AK27" t="n">
        <v>11</v>
      </c>
      <c r="AL27" t="n">
        <v>3</v>
      </c>
      <c r="AM27" t="n">
        <v>3</v>
      </c>
      <c r="AN27" t="n">
        <v>1</v>
      </c>
      <c r="AO27" t="n">
        <v>1</v>
      </c>
      <c r="AP27" t="inlineStr">
        <is>
          <t>No</t>
        </is>
      </c>
      <c r="AQ27" t="inlineStr">
        <is>
          <t>Yes</t>
        </is>
      </c>
      <c r="AR27">
        <f>HYPERLINK("http://catalog.hathitrust.org/Record/000707122","HathiTrust Record")</f>
        <v/>
      </c>
      <c r="AS27">
        <f>HYPERLINK("https://creighton-primo.hosted.exlibrisgroup.com/primo-explore/search?tab=default_tab&amp;search_scope=EVERYTHING&amp;vid=01CRU&amp;lang=en_US&amp;offset=0&amp;query=any,contains,991004893789702656","Catalog Record")</f>
        <v/>
      </c>
      <c r="AT27">
        <f>HYPERLINK("http://www.worldcat.org/oclc/5889690","WorldCat Record")</f>
        <v/>
      </c>
      <c r="AU27" t="inlineStr">
        <is>
          <t>907069901:eng</t>
        </is>
      </c>
      <c r="AV27" t="inlineStr">
        <is>
          <t>5889690</t>
        </is>
      </c>
      <c r="AW27" t="inlineStr">
        <is>
          <t>991004893789702656</t>
        </is>
      </c>
      <c r="AX27" t="inlineStr">
        <is>
          <t>991004893789702656</t>
        </is>
      </c>
      <c r="AY27" t="inlineStr">
        <is>
          <t>2271542960002656</t>
        </is>
      </c>
      <c r="AZ27" t="inlineStr">
        <is>
          <t>BOOK</t>
        </is>
      </c>
      <c r="BB27" t="inlineStr">
        <is>
          <t>9780208017833</t>
        </is>
      </c>
      <c r="BC27" t="inlineStr">
        <is>
          <t>32285000096775</t>
        </is>
      </c>
      <c r="BD27" t="inlineStr">
        <is>
          <t>893594206</t>
        </is>
      </c>
    </row>
    <row r="28">
      <c r="A28" t="inlineStr">
        <is>
          <t>No</t>
        </is>
      </c>
      <c r="B28" t="inlineStr">
        <is>
          <t>HT1031 .C6513</t>
        </is>
      </c>
      <c r="C28" t="inlineStr">
        <is>
          <t>0                      HT 1031000C  6513</t>
        </is>
      </c>
      <c r="D28" t="inlineStr">
        <is>
          <t>The results of slavery / Translated by Mary L. Booth.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Cochin, Augustin, 1823-1872.</t>
        </is>
      </c>
      <c r="L28" t="inlineStr">
        <is>
          <t>New York, Negro Universities Press [1969]</t>
        </is>
      </c>
      <c r="M28" t="inlineStr">
        <is>
          <t>1969</t>
        </is>
      </c>
      <c r="O28" t="inlineStr">
        <is>
          <t>eng</t>
        </is>
      </c>
      <c r="P28" t="inlineStr">
        <is>
          <t>nyu</t>
        </is>
      </c>
      <c r="R28" t="inlineStr">
        <is>
          <t xml:space="preserve">HT </t>
        </is>
      </c>
      <c r="S28" t="n">
        <v>1</v>
      </c>
      <c r="T28" t="n">
        <v>1</v>
      </c>
      <c r="U28" t="inlineStr">
        <is>
          <t>2002-11-07</t>
        </is>
      </c>
      <c r="V28" t="inlineStr">
        <is>
          <t>2002-11-07</t>
        </is>
      </c>
      <c r="W28" t="inlineStr">
        <is>
          <t>1997-03-05</t>
        </is>
      </c>
      <c r="X28" t="inlineStr">
        <is>
          <t>1997-03-05</t>
        </is>
      </c>
      <c r="Y28" t="n">
        <v>180</v>
      </c>
      <c r="Z28" t="n">
        <v>169</v>
      </c>
      <c r="AA28" t="n">
        <v>657</v>
      </c>
      <c r="AB28" t="n">
        <v>1</v>
      </c>
      <c r="AC28" t="n">
        <v>6</v>
      </c>
      <c r="AD28" t="n">
        <v>6</v>
      </c>
      <c r="AE28" t="n">
        <v>28</v>
      </c>
      <c r="AF28" t="n">
        <v>2</v>
      </c>
      <c r="AG28" t="n">
        <v>7</v>
      </c>
      <c r="AH28" t="n">
        <v>2</v>
      </c>
      <c r="AI28" t="n">
        <v>6</v>
      </c>
      <c r="AJ28" t="n">
        <v>4</v>
      </c>
      <c r="AK28" t="n">
        <v>10</v>
      </c>
      <c r="AL28" t="n">
        <v>0</v>
      </c>
      <c r="AM28" t="n">
        <v>4</v>
      </c>
      <c r="AN28" t="n">
        <v>0</v>
      </c>
      <c r="AO28" t="n">
        <v>5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HYPERLINK("https://creighton-primo.hosted.exlibrisgroup.com/primo-explore/search?tab=default_tab&amp;search_scope=EVERYTHING&amp;vid=01CRU&amp;lang=en_US&amp;offset=0&amp;query=any,contains,991000005259702656","Catalog Record")</f>
        <v/>
      </c>
      <c r="AT28">
        <f>HYPERLINK("http://www.worldcat.org/oclc/13096","WorldCat Record")</f>
        <v/>
      </c>
      <c r="AU28" t="inlineStr">
        <is>
          <t>3372203930:eng</t>
        </is>
      </c>
      <c r="AV28" t="inlineStr">
        <is>
          <t>13096</t>
        </is>
      </c>
      <c r="AW28" t="inlineStr">
        <is>
          <t>991000005259702656</t>
        </is>
      </c>
      <c r="AX28" t="inlineStr">
        <is>
          <t>991000005259702656</t>
        </is>
      </c>
      <c r="AY28" t="inlineStr">
        <is>
          <t>2264317800002656</t>
        </is>
      </c>
      <c r="AZ28" t="inlineStr">
        <is>
          <t>BOOK</t>
        </is>
      </c>
      <c r="BC28" t="inlineStr">
        <is>
          <t>32285002464302</t>
        </is>
      </c>
      <c r="BD28" t="inlineStr">
        <is>
          <t>893527707</t>
        </is>
      </c>
    </row>
    <row r="29">
      <c r="A29" t="inlineStr">
        <is>
          <t>No</t>
        </is>
      </c>
      <c r="B29" t="inlineStr">
        <is>
          <t>HT1037 .S64 2002</t>
        </is>
      </c>
      <c r="C29" t="inlineStr">
        <is>
          <t>0                      HT 1037000S  64          2002</t>
        </is>
      </c>
      <c r="D29" t="inlineStr">
        <is>
          <t>Societies after slavery : a select annotated bibliography of printed sources on Cuba, Brazil, British colonial Africa, South Africa, and the British West Indies / Rebecca J. Scott, Thomas C. Holt, Frederick Cooper, and Aims McGuinness, editors.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L29" t="inlineStr">
        <is>
          <t>Pittsburgh, Pa. : University of Pittsburgh Press, c2002.</t>
        </is>
      </c>
      <c r="M29" t="inlineStr">
        <is>
          <t>2002</t>
        </is>
      </c>
      <c r="O29" t="inlineStr">
        <is>
          <t>eng</t>
        </is>
      </c>
      <c r="P29" t="inlineStr">
        <is>
          <t>pau</t>
        </is>
      </c>
      <c r="Q29" t="inlineStr">
        <is>
          <t>Pitt Latin American studies</t>
        </is>
      </c>
      <c r="R29" t="inlineStr">
        <is>
          <t xml:space="preserve">HT </t>
        </is>
      </c>
      <c r="S29" t="n">
        <v>1</v>
      </c>
      <c r="T29" t="n">
        <v>1</v>
      </c>
      <c r="U29" t="inlineStr">
        <is>
          <t>2003-04-08</t>
        </is>
      </c>
      <c r="V29" t="inlineStr">
        <is>
          <t>2003-04-08</t>
        </is>
      </c>
      <c r="W29" t="inlineStr">
        <is>
          <t>2003-04-08</t>
        </is>
      </c>
      <c r="X29" t="inlineStr">
        <is>
          <t>2003-04-08</t>
        </is>
      </c>
      <c r="Y29" t="n">
        <v>299</v>
      </c>
      <c r="Z29" t="n">
        <v>246</v>
      </c>
      <c r="AA29" t="n">
        <v>296</v>
      </c>
      <c r="AB29" t="n">
        <v>2</v>
      </c>
      <c r="AC29" t="n">
        <v>2</v>
      </c>
      <c r="AD29" t="n">
        <v>13</v>
      </c>
      <c r="AE29" t="n">
        <v>14</v>
      </c>
      <c r="AF29" t="n">
        <v>4</v>
      </c>
      <c r="AG29" t="n">
        <v>4</v>
      </c>
      <c r="AH29" t="n">
        <v>5</v>
      </c>
      <c r="AI29" t="n">
        <v>6</v>
      </c>
      <c r="AJ29" t="n">
        <v>7</v>
      </c>
      <c r="AK29" t="n">
        <v>7</v>
      </c>
      <c r="AL29" t="n">
        <v>1</v>
      </c>
      <c r="AM29" t="n">
        <v>1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HYPERLINK("https://creighton-primo.hosted.exlibrisgroup.com/primo-explore/search?tab=default_tab&amp;search_scope=EVERYTHING&amp;vid=01CRU&amp;lang=en_US&amp;offset=0&amp;query=any,contains,991004013869702656","Catalog Record")</f>
        <v/>
      </c>
      <c r="AT29">
        <f>HYPERLINK("http://www.worldcat.org/oclc/48811087","WorldCat Record")</f>
        <v/>
      </c>
      <c r="AU29" t="inlineStr">
        <is>
          <t>930711849:eng</t>
        </is>
      </c>
      <c r="AV29" t="inlineStr">
        <is>
          <t>48811087</t>
        </is>
      </c>
      <c r="AW29" t="inlineStr">
        <is>
          <t>991004013869702656</t>
        </is>
      </c>
      <c r="AX29" t="inlineStr">
        <is>
          <t>991004013869702656</t>
        </is>
      </c>
      <c r="AY29" t="inlineStr">
        <is>
          <t>2268222100002656</t>
        </is>
      </c>
      <c r="AZ29" t="inlineStr">
        <is>
          <t>BOOK</t>
        </is>
      </c>
      <c r="BB29" t="inlineStr">
        <is>
          <t>9780822941842</t>
        </is>
      </c>
      <c r="BC29" t="inlineStr">
        <is>
          <t>32285004740089</t>
        </is>
      </c>
      <c r="BD29" t="inlineStr">
        <is>
          <t>893875587</t>
        </is>
      </c>
    </row>
    <row r="30">
      <c r="A30" t="inlineStr">
        <is>
          <t>No</t>
        </is>
      </c>
      <c r="B30" t="inlineStr">
        <is>
          <t>HT1048 .G44</t>
        </is>
      </c>
      <c r="C30" t="inlineStr">
        <is>
          <t>0                      HT 1048000G  44</t>
        </is>
      </c>
      <c r="D30" t="inlineStr">
        <is>
          <t>The slave economies / edited by Eugene D. Genovese.</t>
        </is>
      </c>
      <c r="E30" t="inlineStr">
        <is>
          <t>V.1</t>
        </is>
      </c>
      <c r="F30" t="inlineStr">
        <is>
          <t>Yes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Genovese, Eugene D., 1930-2012.</t>
        </is>
      </c>
      <c r="L30" t="inlineStr">
        <is>
          <t>New York : Wiley, [1973]</t>
        </is>
      </c>
      <c r="M30" t="inlineStr">
        <is>
          <t>1973</t>
        </is>
      </c>
      <c r="O30" t="inlineStr">
        <is>
          <t>eng</t>
        </is>
      </c>
      <c r="P30" t="inlineStr">
        <is>
          <t>nyu</t>
        </is>
      </c>
      <c r="Q30" t="inlineStr">
        <is>
          <t>Problems in American history</t>
        </is>
      </c>
      <c r="R30" t="inlineStr">
        <is>
          <t xml:space="preserve">HT </t>
        </is>
      </c>
      <c r="S30" t="n">
        <v>1</v>
      </c>
      <c r="T30" t="n">
        <v>2</v>
      </c>
      <c r="U30" t="inlineStr">
        <is>
          <t>2005-04-16</t>
        </is>
      </c>
      <c r="V30" t="inlineStr">
        <is>
          <t>2005-04-16</t>
        </is>
      </c>
      <c r="W30" t="inlineStr">
        <is>
          <t>1994-11-02</t>
        </is>
      </c>
      <c r="X30" t="inlineStr">
        <is>
          <t>1994-11-02</t>
        </is>
      </c>
      <c r="Y30" t="n">
        <v>403</v>
      </c>
      <c r="Z30" t="n">
        <v>343</v>
      </c>
      <c r="AA30" t="n">
        <v>344</v>
      </c>
      <c r="AB30" t="n">
        <v>3</v>
      </c>
      <c r="AC30" t="n">
        <v>3</v>
      </c>
      <c r="AD30" t="n">
        <v>14</v>
      </c>
      <c r="AE30" t="n">
        <v>14</v>
      </c>
      <c r="AF30" t="n">
        <v>5</v>
      </c>
      <c r="AG30" t="n">
        <v>5</v>
      </c>
      <c r="AH30" t="n">
        <v>4</v>
      </c>
      <c r="AI30" t="n">
        <v>4</v>
      </c>
      <c r="AJ30" t="n">
        <v>6</v>
      </c>
      <c r="AK30" t="n">
        <v>6</v>
      </c>
      <c r="AL30" t="n">
        <v>2</v>
      </c>
      <c r="AM30" t="n">
        <v>2</v>
      </c>
      <c r="AN30" t="n">
        <v>0</v>
      </c>
      <c r="AO30" t="n">
        <v>0</v>
      </c>
      <c r="AP30" t="inlineStr">
        <is>
          <t>No</t>
        </is>
      </c>
      <c r="AQ30" t="inlineStr">
        <is>
          <t>No</t>
        </is>
      </c>
      <c r="AS30">
        <f>HYPERLINK("https://creighton-primo.hosted.exlibrisgroup.com/primo-explore/search?tab=default_tab&amp;search_scope=EVERYTHING&amp;vid=01CRU&amp;lang=en_US&amp;offset=0&amp;query=any,contains,991003049879702656","Catalog Record")</f>
        <v/>
      </c>
      <c r="AT30">
        <f>HYPERLINK("http://www.worldcat.org/oclc/609774","WorldCat Record")</f>
        <v/>
      </c>
      <c r="AU30" t="inlineStr">
        <is>
          <t>1639148:eng</t>
        </is>
      </c>
      <c r="AV30" t="inlineStr">
        <is>
          <t>609774</t>
        </is>
      </c>
      <c r="AW30" t="inlineStr">
        <is>
          <t>991003049879702656</t>
        </is>
      </c>
      <c r="AX30" t="inlineStr">
        <is>
          <t>991003049879702656</t>
        </is>
      </c>
      <c r="AY30" t="inlineStr">
        <is>
          <t>2254875560002656</t>
        </is>
      </c>
      <c r="AZ30" t="inlineStr">
        <is>
          <t>BOOK</t>
        </is>
      </c>
      <c r="BB30" t="inlineStr">
        <is>
          <t>9780471296157</t>
        </is>
      </c>
      <c r="BC30" t="inlineStr">
        <is>
          <t>32285001964047</t>
        </is>
      </c>
      <c r="BD30" t="inlineStr">
        <is>
          <t>893415989</t>
        </is>
      </c>
    </row>
    <row r="31">
      <c r="A31" t="inlineStr">
        <is>
          <t>No</t>
        </is>
      </c>
      <c r="B31" t="inlineStr">
        <is>
          <t>HT1048 .G44</t>
        </is>
      </c>
      <c r="C31" t="inlineStr">
        <is>
          <t>0                      HT 1048000G  44</t>
        </is>
      </c>
      <c r="D31" t="inlineStr">
        <is>
          <t>The slave economies / edited by Eugene D. Genovese.</t>
        </is>
      </c>
      <c r="E31" t="inlineStr">
        <is>
          <t>V.2</t>
        </is>
      </c>
      <c r="F31" t="inlineStr">
        <is>
          <t>Yes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Genovese, Eugene D., 1930-2012.</t>
        </is>
      </c>
      <c r="L31" t="inlineStr">
        <is>
          <t>New York : Wiley, [1973]</t>
        </is>
      </c>
      <c r="M31" t="inlineStr">
        <is>
          <t>1973</t>
        </is>
      </c>
      <c r="O31" t="inlineStr">
        <is>
          <t>eng</t>
        </is>
      </c>
      <c r="P31" t="inlineStr">
        <is>
          <t>nyu</t>
        </is>
      </c>
      <c r="Q31" t="inlineStr">
        <is>
          <t>Problems in American history</t>
        </is>
      </c>
      <c r="R31" t="inlineStr">
        <is>
          <t xml:space="preserve">HT </t>
        </is>
      </c>
      <c r="S31" t="n">
        <v>1</v>
      </c>
      <c r="T31" t="n">
        <v>2</v>
      </c>
      <c r="U31" t="inlineStr">
        <is>
          <t>2005-04-16</t>
        </is>
      </c>
      <c r="V31" t="inlineStr">
        <is>
          <t>2005-04-16</t>
        </is>
      </c>
      <c r="W31" t="inlineStr">
        <is>
          <t>1994-11-02</t>
        </is>
      </c>
      <c r="X31" t="inlineStr">
        <is>
          <t>1994-11-02</t>
        </is>
      </c>
      <c r="Y31" t="n">
        <v>403</v>
      </c>
      <c r="Z31" t="n">
        <v>343</v>
      </c>
      <c r="AA31" t="n">
        <v>344</v>
      </c>
      <c r="AB31" t="n">
        <v>3</v>
      </c>
      <c r="AC31" t="n">
        <v>3</v>
      </c>
      <c r="AD31" t="n">
        <v>14</v>
      </c>
      <c r="AE31" t="n">
        <v>14</v>
      </c>
      <c r="AF31" t="n">
        <v>5</v>
      </c>
      <c r="AG31" t="n">
        <v>5</v>
      </c>
      <c r="AH31" t="n">
        <v>4</v>
      </c>
      <c r="AI31" t="n">
        <v>4</v>
      </c>
      <c r="AJ31" t="n">
        <v>6</v>
      </c>
      <c r="AK31" t="n">
        <v>6</v>
      </c>
      <c r="AL31" t="n">
        <v>2</v>
      </c>
      <c r="AM31" t="n">
        <v>2</v>
      </c>
      <c r="AN31" t="n">
        <v>0</v>
      </c>
      <c r="AO31" t="n">
        <v>0</v>
      </c>
      <c r="AP31" t="inlineStr">
        <is>
          <t>No</t>
        </is>
      </c>
      <c r="AQ31" t="inlineStr">
        <is>
          <t>No</t>
        </is>
      </c>
      <c r="AS31">
        <f>HYPERLINK("https://creighton-primo.hosted.exlibrisgroup.com/primo-explore/search?tab=default_tab&amp;search_scope=EVERYTHING&amp;vid=01CRU&amp;lang=en_US&amp;offset=0&amp;query=any,contains,991003049879702656","Catalog Record")</f>
        <v/>
      </c>
      <c r="AT31">
        <f>HYPERLINK("http://www.worldcat.org/oclc/609774","WorldCat Record")</f>
        <v/>
      </c>
      <c r="AU31" t="inlineStr">
        <is>
          <t>1639148:eng</t>
        </is>
      </c>
      <c r="AV31" t="inlineStr">
        <is>
          <t>609774</t>
        </is>
      </c>
      <c r="AW31" t="inlineStr">
        <is>
          <t>991003049879702656</t>
        </is>
      </c>
      <c r="AX31" t="inlineStr">
        <is>
          <t>991003049879702656</t>
        </is>
      </c>
      <c r="AY31" t="inlineStr">
        <is>
          <t>2254875560002656</t>
        </is>
      </c>
      <c r="AZ31" t="inlineStr">
        <is>
          <t>BOOK</t>
        </is>
      </c>
      <c r="BB31" t="inlineStr">
        <is>
          <t>9780471296157</t>
        </is>
      </c>
      <c r="BC31" t="inlineStr">
        <is>
          <t>32285001964054</t>
        </is>
      </c>
      <c r="BD31" t="inlineStr">
        <is>
          <t>893428387</t>
        </is>
      </c>
    </row>
    <row r="32">
      <c r="A32" t="inlineStr">
        <is>
          <t>No</t>
        </is>
      </c>
      <c r="B32" t="inlineStr">
        <is>
          <t>HT1048 .G45 1971</t>
        </is>
      </c>
      <c r="C32" t="inlineStr">
        <is>
          <t>0                      HT 1048000G  45          1971</t>
        </is>
      </c>
      <c r="D32" t="inlineStr">
        <is>
          <t>The world the slaveholders made : two essays in interpretation / by Eugene D. Genovese.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Genovese, Eugene D., 1930-2012.</t>
        </is>
      </c>
      <c r="L32" t="inlineStr">
        <is>
          <t>New York : Vintage Books, 1971, c1969.</t>
        </is>
      </c>
      <c r="M32" t="inlineStr">
        <is>
          <t>1971</t>
        </is>
      </c>
      <c r="O32" t="inlineStr">
        <is>
          <t>eng</t>
        </is>
      </c>
      <c r="P32" t="inlineStr">
        <is>
          <t>nyu</t>
        </is>
      </c>
      <c r="R32" t="inlineStr">
        <is>
          <t xml:space="preserve">HT </t>
        </is>
      </c>
      <c r="S32" t="n">
        <v>3</v>
      </c>
      <c r="T32" t="n">
        <v>3</v>
      </c>
      <c r="U32" t="inlineStr">
        <is>
          <t>1994-09-29</t>
        </is>
      </c>
      <c r="V32" t="inlineStr">
        <is>
          <t>1994-09-29</t>
        </is>
      </c>
      <c r="W32" t="inlineStr">
        <is>
          <t>1990-05-25</t>
        </is>
      </c>
      <c r="X32" t="inlineStr">
        <is>
          <t>1990-05-25</t>
        </is>
      </c>
      <c r="Y32" t="n">
        <v>240</v>
      </c>
      <c r="Z32" t="n">
        <v>203</v>
      </c>
      <c r="AA32" t="n">
        <v>1294</v>
      </c>
      <c r="AB32" t="n">
        <v>1</v>
      </c>
      <c r="AC32" t="n">
        <v>6</v>
      </c>
      <c r="AD32" t="n">
        <v>5</v>
      </c>
      <c r="AE32" t="n">
        <v>47</v>
      </c>
      <c r="AF32" t="n">
        <v>2</v>
      </c>
      <c r="AG32" t="n">
        <v>21</v>
      </c>
      <c r="AH32" t="n">
        <v>1</v>
      </c>
      <c r="AI32" t="n">
        <v>11</v>
      </c>
      <c r="AJ32" t="n">
        <v>4</v>
      </c>
      <c r="AK32" t="n">
        <v>24</v>
      </c>
      <c r="AL32" t="n">
        <v>0</v>
      </c>
      <c r="AM32" t="n">
        <v>5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HYPERLINK("https://creighton-primo.hosted.exlibrisgroup.com/primo-explore/search?tab=default_tab&amp;search_scope=EVERYTHING&amp;vid=01CRU&amp;lang=en_US&amp;offset=0&amp;query=any,contains,991005075209702656","Catalog Record")</f>
        <v/>
      </c>
      <c r="AT32">
        <f>HYPERLINK("http://www.worldcat.org/oclc/7103922","WorldCat Record")</f>
        <v/>
      </c>
      <c r="AU32" t="inlineStr">
        <is>
          <t>1145240:eng</t>
        </is>
      </c>
      <c r="AV32" t="inlineStr">
        <is>
          <t>7103922</t>
        </is>
      </c>
      <c r="AW32" t="inlineStr">
        <is>
          <t>991005075209702656</t>
        </is>
      </c>
      <c r="AX32" t="inlineStr">
        <is>
          <t>991005075209702656</t>
        </is>
      </c>
      <c r="AY32" t="inlineStr">
        <is>
          <t>2260798930002656</t>
        </is>
      </c>
      <c r="AZ32" t="inlineStr">
        <is>
          <t>BOOK</t>
        </is>
      </c>
      <c r="BC32" t="inlineStr">
        <is>
          <t>32285000166925</t>
        </is>
      </c>
      <c r="BD32" t="inlineStr">
        <is>
          <t>893707208</t>
        </is>
      </c>
    </row>
    <row r="33">
      <c r="A33" t="inlineStr">
        <is>
          <t>No</t>
        </is>
      </c>
      <c r="B33" t="inlineStr">
        <is>
          <t>HT1048 .H63 1973</t>
        </is>
      </c>
      <c r="C33" t="inlineStr">
        <is>
          <t>0                      HT 1048000H  63          1973</t>
        </is>
      </c>
      <c r="D33" t="inlineStr">
        <is>
          <t>Slavery and race relations in the Americas : comparative notes on their nature and nexus / [by] H. Hoetink.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Hoetink, H.</t>
        </is>
      </c>
      <c r="L33" t="inlineStr">
        <is>
          <t>New York : Harper &amp; Row, [1973]</t>
        </is>
      </c>
      <c r="M33" t="inlineStr">
        <is>
          <t>1973</t>
        </is>
      </c>
      <c r="O33" t="inlineStr">
        <is>
          <t>eng</t>
        </is>
      </c>
      <c r="P33" t="inlineStr">
        <is>
          <t>nyu</t>
        </is>
      </c>
      <c r="Q33" t="inlineStr">
        <is>
          <t>Crosscurrents in Latin America</t>
        </is>
      </c>
      <c r="R33" t="inlineStr">
        <is>
          <t xml:space="preserve">HT </t>
        </is>
      </c>
      <c r="S33" t="n">
        <v>2</v>
      </c>
      <c r="T33" t="n">
        <v>2</v>
      </c>
      <c r="U33" t="inlineStr">
        <is>
          <t>1999-04-13</t>
        </is>
      </c>
      <c r="V33" t="inlineStr">
        <is>
          <t>1999-04-13</t>
        </is>
      </c>
      <c r="W33" t="inlineStr">
        <is>
          <t>1995-04-26</t>
        </is>
      </c>
      <c r="X33" t="inlineStr">
        <is>
          <t>1995-04-26</t>
        </is>
      </c>
      <c r="Y33" t="n">
        <v>574</v>
      </c>
      <c r="Z33" t="n">
        <v>479</v>
      </c>
      <c r="AA33" t="n">
        <v>480</v>
      </c>
      <c r="AB33" t="n">
        <v>3</v>
      </c>
      <c r="AC33" t="n">
        <v>3</v>
      </c>
      <c r="AD33" t="n">
        <v>19</v>
      </c>
      <c r="AE33" t="n">
        <v>19</v>
      </c>
      <c r="AF33" t="n">
        <v>4</v>
      </c>
      <c r="AG33" t="n">
        <v>4</v>
      </c>
      <c r="AH33" t="n">
        <v>5</v>
      </c>
      <c r="AI33" t="n">
        <v>5</v>
      </c>
      <c r="AJ33" t="n">
        <v>10</v>
      </c>
      <c r="AK33" t="n">
        <v>10</v>
      </c>
      <c r="AL33" t="n">
        <v>2</v>
      </c>
      <c r="AM33" t="n">
        <v>2</v>
      </c>
      <c r="AN33" t="n">
        <v>0</v>
      </c>
      <c r="AO33" t="n">
        <v>0</v>
      </c>
      <c r="AP33" t="inlineStr">
        <is>
          <t>No</t>
        </is>
      </c>
      <c r="AQ33" t="inlineStr">
        <is>
          <t>No</t>
        </is>
      </c>
      <c r="AS33">
        <f>HYPERLINK("https://creighton-primo.hosted.exlibrisgroup.com/primo-explore/search?tab=default_tab&amp;search_scope=EVERYTHING&amp;vid=01CRU&amp;lang=en_US&amp;offset=0&amp;query=any,contains,991003201509702656","Catalog Record")</f>
        <v/>
      </c>
      <c r="AT33">
        <f>HYPERLINK("http://www.worldcat.org/oclc/726579","WorldCat Record")</f>
        <v/>
      </c>
      <c r="AU33" t="inlineStr">
        <is>
          <t>198266389:eng</t>
        </is>
      </c>
      <c r="AV33" t="inlineStr">
        <is>
          <t>726579</t>
        </is>
      </c>
      <c r="AW33" t="inlineStr">
        <is>
          <t>991003201509702656</t>
        </is>
      </c>
      <c r="AX33" t="inlineStr">
        <is>
          <t>991003201509702656</t>
        </is>
      </c>
      <c r="AY33" t="inlineStr">
        <is>
          <t>2264067870002656</t>
        </is>
      </c>
      <c r="AZ33" t="inlineStr">
        <is>
          <t>BOOK</t>
        </is>
      </c>
      <c r="BB33" t="inlineStr">
        <is>
          <t>9780061317101</t>
        </is>
      </c>
      <c r="BC33" t="inlineStr">
        <is>
          <t>32285002029428</t>
        </is>
      </c>
      <c r="BD33" t="inlineStr">
        <is>
          <t>893246116</t>
        </is>
      </c>
    </row>
    <row r="34">
      <c r="A34" t="inlineStr">
        <is>
          <t>No</t>
        </is>
      </c>
      <c r="B34" t="inlineStr">
        <is>
          <t>HT1049 .M2</t>
        </is>
      </c>
      <c r="C34" t="inlineStr">
        <is>
          <t>0                      HT 1049000M  2</t>
        </is>
      </c>
      <c r="D34" t="inlineStr">
        <is>
          <t>Black cargoes; a history of the Atlantic slave trade, 1518-1865. In collaboration with Malcolm Cowley.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Mannix, Daniel P. (Daniel Pratt), 1911-1997.</t>
        </is>
      </c>
      <c r="L34" t="inlineStr">
        <is>
          <t>New York, Viking Press [1962]</t>
        </is>
      </c>
      <c r="M34" t="inlineStr">
        <is>
          <t>1962</t>
        </is>
      </c>
      <c r="O34" t="inlineStr">
        <is>
          <t>eng</t>
        </is>
      </c>
      <c r="P34" t="inlineStr">
        <is>
          <t>nyu</t>
        </is>
      </c>
      <c r="R34" t="inlineStr">
        <is>
          <t xml:space="preserve">HT </t>
        </is>
      </c>
      <c r="S34" t="n">
        <v>4</v>
      </c>
      <c r="T34" t="n">
        <v>4</v>
      </c>
      <c r="U34" t="inlineStr">
        <is>
          <t>1998-02-24</t>
        </is>
      </c>
      <c r="V34" t="inlineStr">
        <is>
          <t>1998-02-24</t>
        </is>
      </c>
      <c r="W34" t="inlineStr">
        <is>
          <t>1997-08-19</t>
        </is>
      </c>
      <c r="X34" t="inlineStr">
        <is>
          <t>1997-08-19</t>
        </is>
      </c>
      <c r="Y34" t="n">
        <v>1411</v>
      </c>
      <c r="Z34" t="n">
        <v>1311</v>
      </c>
      <c r="AA34" t="n">
        <v>1536</v>
      </c>
      <c r="AB34" t="n">
        <v>10</v>
      </c>
      <c r="AC34" t="n">
        <v>10</v>
      </c>
      <c r="AD34" t="n">
        <v>44</v>
      </c>
      <c r="AE34" t="n">
        <v>50</v>
      </c>
      <c r="AF34" t="n">
        <v>20</v>
      </c>
      <c r="AG34" t="n">
        <v>22</v>
      </c>
      <c r="AH34" t="n">
        <v>4</v>
      </c>
      <c r="AI34" t="n">
        <v>5</v>
      </c>
      <c r="AJ34" t="n">
        <v>20</v>
      </c>
      <c r="AK34" t="n">
        <v>24</v>
      </c>
      <c r="AL34" t="n">
        <v>8</v>
      </c>
      <c r="AM34" t="n">
        <v>8</v>
      </c>
      <c r="AN34" t="n">
        <v>1</v>
      </c>
      <c r="AO34" t="n">
        <v>2</v>
      </c>
      <c r="AP34" t="inlineStr">
        <is>
          <t>No</t>
        </is>
      </c>
      <c r="AQ34" t="inlineStr">
        <is>
          <t>Yes</t>
        </is>
      </c>
      <c r="AR34">
        <f>HYPERLINK("http://catalog.hathitrust.org/Record/001130870","HathiTrust Record")</f>
        <v/>
      </c>
      <c r="AS34">
        <f>HYPERLINK("https://creighton-primo.hosted.exlibrisgroup.com/primo-explore/search?tab=default_tab&amp;search_scope=EVERYTHING&amp;vid=01CRU&amp;lang=en_US&amp;offset=0&amp;query=any,contains,991003428259702656","Catalog Record")</f>
        <v/>
      </c>
      <c r="AT34">
        <f>HYPERLINK("http://www.worldcat.org/oclc/965003","WorldCat Record")</f>
        <v/>
      </c>
      <c r="AU34" t="inlineStr">
        <is>
          <t>373932520:eng</t>
        </is>
      </c>
      <c r="AV34" t="inlineStr">
        <is>
          <t>965003</t>
        </is>
      </c>
      <c r="AW34" t="inlineStr">
        <is>
          <t>991003428259702656</t>
        </is>
      </c>
      <c r="AX34" t="inlineStr">
        <is>
          <t>991003428259702656</t>
        </is>
      </c>
      <c r="AY34" t="inlineStr">
        <is>
          <t>2258346040002656</t>
        </is>
      </c>
      <c r="AZ34" t="inlineStr">
        <is>
          <t>BOOK</t>
        </is>
      </c>
      <c r="BC34" t="inlineStr">
        <is>
          <t>32285003148763</t>
        </is>
      </c>
      <c r="BD34" t="inlineStr">
        <is>
          <t>893592507</t>
        </is>
      </c>
    </row>
    <row r="35">
      <c r="A35" t="inlineStr">
        <is>
          <t>No</t>
        </is>
      </c>
      <c r="B35" t="inlineStr">
        <is>
          <t>HT1049 .S65 1982</t>
        </is>
      </c>
      <c r="C35" t="inlineStr">
        <is>
          <t>0                      HT 1049000S  65          1982</t>
        </is>
      </c>
      <c r="D35" t="inlineStr">
        <is>
          <t>Black slavery in the Americas : an interdisciplinary bibliography, 1865-1980 / compiled by John David Smith ; foreword by Stanley L. Engerman.</t>
        </is>
      </c>
      <c r="E35" t="inlineStr">
        <is>
          <t>V.1</t>
        </is>
      </c>
      <c r="F35" t="inlineStr">
        <is>
          <t>Yes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Smith, John David, 1949-</t>
        </is>
      </c>
      <c r="L35" t="inlineStr">
        <is>
          <t>Westport, Conn. : Greenwood Press, 1982.</t>
        </is>
      </c>
      <c r="M35" t="inlineStr">
        <is>
          <t>1982</t>
        </is>
      </c>
      <c r="O35" t="inlineStr">
        <is>
          <t>eng</t>
        </is>
      </c>
      <c r="P35" t="inlineStr">
        <is>
          <t>ctu</t>
        </is>
      </c>
      <c r="R35" t="inlineStr">
        <is>
          <t xml:space="preserve">HT </t>
        </is>
      </c>
      <c r="S35" t="n">
        <v>1</v>
      </c>
      <c r="T35" t="n">
        <v>1</v>
      </c>
      <c r="U35" t="inlineStr">
        <is>
          <t>2005-04-16</t>
        </is>
      </c>
      <c r="V35" t="inlineStr">
        <is>
          <t>2005-04-16</t>
        </is>
      </c>
      <c r="W35" t="inlineStr">
        <is>
          <t>1990-04-03</t>
        </is>
      </c>
      <c r="X35" t="inlineStr">
        <is>
          <t>1993-05-11</t>
        </is>
      </c>
      <c r="Y35" t="n">
        <v>568</v>
      </c>
      <c r="Z35" t="n">
        <v>504</v>
      </c>
      <c r="AA35" t="n">
        <v>516</v>
      </c>
      <c r="AB35" t="n">
        <v>3</v>
      </c>
      <c r="AC35" t="n">
        <v>3</v>
      </c>
      <c r="AD35" t="n">
        <v>20</v>
      </c>
      <c r="AE35" t="n">
        <v>20</v>
      </c>
      <c r="AF35" t="n">
        <v>6</v>
      </c>
      <c r="AG35" t="n">
        <v>6</v>
      </c>
      <c r="AH35" t="n">
        <v>7</v>
      </c>
      <c r="AI35" t="n">
        <v>7</v>
      </c>
      <c r="AJ35" t="n">
        <v>12</v>
      </c>
      <c r="AK35" t="n">
        <v>12</v>
      </c>
      <c r="AL35" t="n">
        <v>2</v>
      </c>
      <c r="AM35" t="n">
        <v>2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HYPERLINK("http://catalog.hathitrust.org/Record/000107651","HathiTrust Record")</f>
        <v/>
      </c>
      <c r="AS35">
        <f>HYPERLINK("https://creighton-primo.hosted.exlibrisgroup.com/primo-explore/search?tab=default_tab&amp;search_scope=EVERYTHING&amp;vid=01CRU&amp;lang=en_US&amp;offset=0&amp;query=any,contains,991000033829702656","Catalog Record")</f>
        <v/>
      </c>
      <c r="AT35">
        <f>HYPERLINK("http://www.worldcat.org/oclc/8626850","WorldCat Record")</f>
        <v/>
      </c>
      <c r="AU35" t="inlineStr">
        <is>
          <t>446777:eng</t>
        </is>
      </c>
      <c r="AV35" t="inlineStr">
        <is>
          <t>8626850</t>
        </is>
      </c>
      <c r="AW35" t="inlineStr">
        <is>
          <t>991000033829702656</t>
        </is>
      </c>
      <c r="AX35" t="inlineStr">
        <is>
          <t>991000033829702656</t>
        </is>
      </c>
      <c r="AY35" t="inlineStr">
        <is>
          <t>2260989350002656</t>
        </is>
      </c>
      <c r="AZ35" t="inlineStr">
        <is>
          <t>BOOK</t>
        </is>
      </c>
      <c r="BB35" t="inlineStr">
        <is>
          <t>9780313236761</t>
        </is>
      </c>
      <c r="BC35" t="inlineStr">
        <is>
          <t>32285000108356</t>
        </is>
      </c>
      <c r="BD35" t="inlineStr">
        <is>
          <t>893620117</t>
        </is>
      </c>
    </row>
    <row r="36">
      <c r="A36" t="inlineStr">
        <is>
          <t>No</t>
        </is>
      </c>
      <c r="B36" t="inlineStr">
        <is>
          <t>HT1049 .S65 1982</t>
        </is>
      </c>
      <c r="C36" t="inlineStr">
        <is>
          <t>0                      HT 1049000S  65          1982</t>
        </is>
      </c>
      <c r="D36" t="inlineStr">
        <is>
          <t>Black slavery in the Americas : an interdisciplinary bibliography, 1865-1980 / compiled by John David Smith ; foreword by Stanley L. Engerman.</t>
        </is>
      </c>
      <c r="E36" t="inlineStr">
        <is>
          <t>V.2</t>
        </is>
      </c>
      <c r="F36" t="inlineStr">
        <is>
          <t>Yes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Smith, John David, 1949-</t>
        </is>
      </c>
      <c r="L36" t="inlineStr">
        <is>
          <t>Westport, Conn. : Greenwood Press, 1982.</t>
        </is>
      </c>
      <c r="M36" t="inlineStr">
        <is>
          <t>1982</t>
        </is>
      </c>
      <c r="O36" t="inlineStr">
        <is>
          <t>eng</t>
        </is>
      </c>
      <c r="P36" t="inlineStr">
        <is>
          <t>ctu</t>
        </is>
      </c>
      <c r="R36" t="inlineStr">
        <is>
          <t xml:space="preserve">HT </t>
        </is>
      </c>
      <c r="S36" t="n">
        <v>0</v>
      </c>
      <c r="T36" t="n">
        <v>1</v>
      </c>
      <c r="V36" t="inlineStr">
        <is>
          <t>2005-04-16</t>
        </is>
      </c>
      <c r="W36" t="inlineStr">
        <is>
          <t>1993-05-11</t>
        </is>
      </c>
      <c r="X36" t="inlineStr">
        <is>
          <t>1993-05-11</t>
        </is>
      </c>
      <c r="Y36" t="n">
        <v>568</v>
      </c>
      <c r="Z36" t="n">
        <v>504</v>
      </c>
      <c r="AA36" t="n">
        <v>516</v>
      </c>
      <c r="AB36" t="n">
        <v>3</v>
      </c>
      <c r="AC36" t="n">
        <v>3</v>
      </c>
      <c r="AD36" t="n">
        <v>20</v>
      </c>
      <c r="AE36" t="n">
        <v>20</v>
      </c>
      <c r="AF36" t="n">
        <v>6</v>
      </c>
      <c r="AG36" t="n">
        <v>6</v>
      </c>
      <c r="AH36" t="n">
        <v>7</v>
      </c>
      <c r="AI36" t="n">
        <v>7</v>
      </c>
      <c r="AJ36" t="n">
        <v>12</v>
      </c>
      <c r="AK36" t="n">
        <v>12</v>
      </c>
      <c r="AL36" t="n">
        <v>2</v>
      </c>
      <c r="AM36" t="n">
        <v>2</v>
      </c>
      <c r="AN36" t="n">
        <v>0</v>
      </c>
      <c r="AO36" t="n">
        <v>0</v>
      </c>
      <c r="AP36" t="inlineStr">
        <is>
          <t>No</t>
        </is>
      </c>
      <c r="AQ36" t="inlineStr">
        <is>
          <t>Yes</t>
        </is>
      </c>
      <c r="AR36">
        <f>HYPERLINK("http://catalog.hathitrust.org/Record/000107651","HathiTrust Record")</f>
        <v/>
      </c>
      <c r="AS36">
        <f>HYPERLINK("https://creighton-primo.hosted.exlibrisgroup.com/primo-explore/search?tab=default_tab&amp;search_scope=EVERYTHING&amp;vid=01CRU&amp;lang=en_US&amp;offset=0&amp;query=any,contains,991000033829702656","Catalog Record")</f>
        <v/>
      </c>
      <c r="AT36">
        <f>HYPERLINK("http://www.worldcat.org/oclc/8626850","WorldCat Record")</f>
        <v/>
      </c>
      <c r="AU36" t="inlineStr">
        <is>
          <t>446777:eng</t>
        </is>
      </c>
      <c r="AV36" t="inlineStr">
        <is>
          <t>8626850</t>
        </is>
      </c>
      <c r="AW36" t="inlineStr">
        <is>
          <t>991000033829702656</t>
        </is>
      </c>
      <c r="AX36" t="inlineStr">
        <is>
          <t>991000033829702656</t>
        </is>
      </c>
      <c r="AY36" t="inlineStr">
        <is>
          <t>2260989350002656</t>
        </is>
      </c>
      <c r="AZ36" t="inlineStr">
        <is>
          <t>BOOK</t>
        </is>
      </c>
      <c r="BB36" t="inlineStr">
        <is>
          <t>9780313236761</t>
        </is>
      </c>
      <c r="BC36" t="inlineStr">
        <is>
          <t>32285001674984</t>
        </is>
      </c>
      <c r="BD36" t="inlineStr">
        <is>
          <t>893589044</t>
        </is>
      </c>
    </row>
    <row r="37">
      <c r="A37" t="inlineStr">
        <is>
          <t>No</t>
        </is>
      </c>
      <c r="B37" t="inlineStr">
        <is>
          <t>HT1050 .F76 1995</t>
        </is>
      </c>
      <c r="C37" t="inlineStr">
        <is>
          <t>0                      HT 1050000F  76          1995</t>
        </is>
      </c>
      <c r="D37" t="inlineStr">
        <is>
          <t>From chattel slaves to wage slaves : the dynamics of labour bargaining in the Americas / edited by Mary Turner.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L37" t="inlineStr">
        <is>
          <t>Kingston : Ian Randle Publishers ; Bloomington : Indiana University Press, 1995.</t>
        </is>
      </c>
      <c r="M37" t="inlineStr">
        <is>
          <t>1995</t>
        </is>
      </c>
      <c r="O37" t="inlineStr">
        <is>
          <t>eng</t>
        </is>
      </c>
      <c r="P37" t="inlineStr">
        <is>
          <t xml:space="preserve">jm </t>
        </is>
      </c>
      <c r="R37" t="inlineStr">
        <is>
          <t xml:space="preserve">HT </t>
        </is>
      </c>
      <c r="S37" t="n">
        <v>1</v>
      </c>
      <c r="T37" t="n">
        <v>1</v>
      </c>
      <c r="U37" t="inlineStr">
        <is>
          <t>1996-12-03</t>
        </is>
      </c>
      <c r="V37" t="inlineStr">
        <is>
          <t>1996-12-03</t>
        </is>
      </c>
      <c r="W37" t="inlineStr">
        <is>
          <t>1996-06-07</t>
        </is>
      </c>
      <c r="X37" t="inlineStr">
        <is>
          <t>1996-06-07</t>
        </is>
      </c>
      <c r="Y37" t="n">
        <v>489</v>
      </c>
      <c r="Z37" t="n">
        <v>395</v>
      </c>
      <c r="AA37" t="n">
        <v>406</v>
      </c>
      <c r="AB37" t="n">
        <v>3</v>
      </c>
      <c r="AC37" t="n">
        <v>3</v>
      </c>
      <c r="AD37" t="n">
        <v>24</v>
      </c>
      <c r="AE37" t="n">
        <v>24</v>
      </c>
      <c r="AF37" t="n">
        <v>6</v>
      </c>
      <c r="AG37" t="n">
        <v>6</v>
      </c>
      <c r="AH37" t="n">
        <v>9</v>
      </c>
      <c r="AI37" t="n">
        <v>9</v>
      </c>
      <c r="AJ37" t="n">
        <v>15</v>
      </c>
      <c r="AK37" t="n">
        <v>15</v>
      </c>
      <c r="AL37" t="n">
        <v>2</v>
      </c>
      <c r="AM37" t="n">
        <v>2</v>
      </c>
      <c r="AN37" t="n">
        <v>0</v>
      </c>
      <c r="AO37" t="n">
        <v>0</v>
      </c>
      <c r="AP37" t="inlineStr">
        <is>
          <t>No</t>
        </is>
      </c>
      <c r="AQ37" t="inlineStr">
        <is>
          <t>Yes</t>
        </is>
      </c>
      <c r="AR37">
        <f>HYPERLINK("http://catalog.hathitrust.org/Record/003008079","HathiTrust Record")</f>
        <v/>
      </c>
      <c r="AS37">
        <f>HYPERLINK("https://creighton-primo.hosted.exlibrisgroup.com/primo-explore/search?tab=default_tab&amp;search_scope=EVERYTHING&amp;vid=01CRU&amp;lang=en_US&amp;offset=0&amp;query=any,contains,991002479159702656","Catalog Record")</f>
        <v/>
      </c>
      <c r="AT37">
        <f>HYPERLINK("http://www.worldcat.org/oclc/32274249","WorldCat Record")</f>
        <v/>
      </c>
      <c r="AU37" t="inlineStr">
        <is>
          <t>836900117:eng</t>
        </is>
      </c>
      <c r="AV37" t="inlineStr">
        <is>
          <t>32274249</t>
        </is>
      </c>
      <c r="AW37" t="inlineStr">
        <is>
          <t>991002479159702656</t>
        </is>
      </c>
      <c r="AX37" t="inlineStr">
        <is>
          <t>991002479159702656</t>
        </is>
      </c>
      <c r="AY37" t="inlineStr">
        <is>
          <t>2260362730002656</t>
        </is>
      </c>
      <c r="AZ37" t="inlineStr">
        <is>
          <t>BOOK</t>
        </is>
      </c>
      <c r="BB37" t="inlineStr">
        <is>
          <t>9780253210012</t>
        </is>
      </c>
      <c r="BC37" t="inlineStr">
        <is>
          <t>32285002189909</t>
        </is>
      </c>
      <c r="BD37" t="inlineStr">
        <is>
          <t>893792513</t>
        </is>
      </c>
    </row>
    <row r="38">
      <c r="A38" t="inlineStr">
        <is>
          <t>No</t>
        </is>
      </c>
      <c r="B38" t="inlineStr">
        <is>
          <t>HT1052.5 .M4413</t>
        </is>
      </c>
      <c r="C38" t="inlineStr">
        <is>
          <t>0                      HT 1052500M  4413</t>
        </is>
      </c>
      <c r="D38" t="inlineStr">
        <is>
          <t>Negro slavery in Latin America / Roland Mellafe ; translated by J. W. S. Judge.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Mellafe R., Rolando.</t>
        </is>
      </c>
      <c r="L38" t="inlineStr">
        <is>
          <t>Berkeley : University of California Press, c1975.</t>
        </is>
      </c>
      <c r="M38" t="inlineStr">
        <is>
          <t>1975</t>
        </is>
      </c>
      <c r="O38" t="inlineStr">
        <is>
          <t>eng</t>
        </is>
      </c>
      <c r="P38" t="inlineStr">
        <is>
          <t>cau</t>
        </is>
      </c>
      <c r="R38" t="inlineStr">
        <is>
          <t xml:space="preserve">HT </t>
        </is>
      </c>
      <c r="S38" t="n">
        <v>5</v>
      </c>
      <c r="T38" t="n">
        <v>5</v>
      </c>
      <c r="U38" t="inlineStr">
        <is>
          <t>2002-03-01</t>
        </is>
      </c>
      <c r="V38" t="inlineStr">
        <is>
          <t>2002-03-01</t>
        </is>
      </c>
      <c r="W38" t="inlineStr">
        <is>
          <t>1997-08-19</t>
        </is>
      </c>
      <c r="X38" t="inlineStr">
        <is>
          <t>1997-08-19</t>
        </is>
      </c>
      <c r="Y38" t="n">
        <v>745</v>
      </c>
      <c r="Z38" t="n">
        <v>643</v>
      </c>
      <c r="AA38" t="n">
        <v>645</v>
      </c>
      <c r="AB38" t="n">
        <v>4</v>
      </c>
      <c r="AC38" t="n">
        <v>4</v>
      </c>
      <c r="AD38" t="n">
        <v>31</v>
      </c>
      <c r="AE38" t="n">
        <v>31</v>
      </c>
      <c r="AF38" t="n">
        <v>14</v>
      </c>
      <c r="AG38" t="n">
        <v>14</v>
      </c>
      <c r="AH38" t="n">
        <v>10</v>
      </c>
      <c r="AI38" t="n">
        <v>10</v>
      </c>
      <c r="AJ38" t="n">
        <v>14</v>
      </c>
      <c r="AK38" t="n">
        <v>14</v>
      </c>
      <c r="AL38" t="n">
        <v>3</v>
      </c>
      <c r="AM38" t="n">
        <v>3</v>
      </c>
      <c r="AN38" t="n">
        <v>0</v>
      </c>
      <c r="AO38" t="n">
        <v>0</v>
      </c>
      <c r="AP38" t="inlineStr">
        <is>
          <t>No</t>
        </is>
      </c>
      <c r="AQ38" t="inlineStr">
        <is>
          <t>Yes</t>
        </is>
      </c>
      <c r="AR38">
        <f>HYPERLINK("http://catalog.hathitrust.org/Record/000262422","HathiTrust Record")</f>
        <v/>
      </c>
      <c r="AS38">
        <f>HYPERLINK("https://creighton-primo.hosted.exlibrisgroup.com/primo-explore/search?tab=default_tab&amp;search_scope=EVERYTHING&amp;vid=01CRU&amp;lang=en_US&amp;offset=0&amp;query=any,contains,991004255479702656","Catalog Record")</f>
        <v/>
      </c>
      <c r="AT38">
        <f>HYPERLINK("http://www.worldcat.org/oclc/2822364","WorldCat Record")</f>
        <v/>
      </c>
      <c r="AU38" t="inlineStr">
        <is>
          <t>4757738821:eng</t>
        </is>
      </c>
      <c r="AV38" t="inlineStr">
        <is>
          <t>2822364</t>
        </is>
      </c>
      <c r="AW38" t="inlineStr">
        <is>
          <t>991004255479702656</t>
        </is>
      </c>
      <c r="AX38" t="inlineStr">
        <is>
          <t>991004255479702656</t>
        </is>
      </c>
      <c r="AY38" t="inlineStr">
        <is>
          <t>2263793490002656</t>
        </is>
      </c>
      <c r="AZ38" t="inlineStr">
        <is>
          <t>BOOK</t>
        </is>
      </c>
      <c r="BB38" t="inlineStr">
        <is>
          <t>9780520021068</t>
        </is>
      </c>
      <c r="BC38" t="inlineStr">
        <is>
          <t>32285003148789</t>
        </is>
      </c>
      <c r="BD38" t="inlineStr">
        <is>
          <t>893700030</t>
        </is>
      </c>
    </row>
    <row r="39">
      <c r="A39" t="inlineStr">
        <is>
          <t>No</t>
        </is>
      </c>
      <c r="B39" t="inlineStr">
        <is>
          <t>HT1052.5 .T66</t>
        </is>
      </c>
      <c r="C39" t="inlineStr">
        <is>
          <t>0                      HT 1052500T  66</t>
        </is>
      </c>
      <c r="D39" t="inlineStr">
        <is>
          <t>Slavery and race relations in Latin America. Edited with an introd. by Robert Brent Toplin.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Toplin, Robert Brent, 1940-</t>
        </is>
      </c>
      <c r="L39" t="inlineStr">
        <is>
          <t>Westport, Conn., Greenwood Press [1974]</t>
        </is>
      </c>
      <c r="M39" t="inlineStr">
        <is>
          <t>1974</t>
        </is>
      </c>
      <c r="O39" t="inlineStr">
        <is>
          <t>eng</t>
        </is>
      </c>
      <c r="P39" t="inlineStr">
        <is>
          <t>ctu</t>
        </is>
      </c>
      <c r="Q39" t="inlineStr">
        <is>
          <t>Contributions in Afro-American and African studies ; no. 17</t>
        </is>
      </c>
      <c r="R39" t="inlineStr">
        <is>
          <t xml:space="preserve">HT </t>
        </is>
      </c>
      <c r="S39" t="n">
        <v>4</v>
      </c>
      <c r="T39" t="n">
        <v>4</v>
      </c>
      <c r="U39" t="inlineStr">
        <is>
          <t>2002-03-01</t>
        </is>
      </c>
      <c r="V39" t="inlineStr">
        <is>
          <t>2002-03-01</t>
        </is>
      </c>
      <c r="W39" t="inlineStr">
        <is>
          <t>1997-08-19</t>
        </is>
      </c>
      <c r="X39" t="inlineStr">
        <is>
          <t>1997-08-19</t>
        </is>
      </c>
      <c r="Y39" t="n">
        <v>816</v>
      </c>
      <c r="Z39" t="n">
        <v>701</v>
      </c>
      <c r="AA39" t="n">
        <v>721</v>
      </c>
      <c r="AB39" t="n">
        <v>7</v>
      </c>
      <c r="AC39" t="n">
        <v>7</v>
      </c>
      <c r="AD39" t="n">
        <v>33</v>
      </c>
      <c r="AE39" t="n">
        <v>34</v>
      </c>
      <c r="AF39" t="n">
        <v>11</v>
      </c>
      <c r="AG39" t="n">
        <v>11</v>
      </c>
      <c r="AH39" t="n">
        <v>8</v>
      </c>
      <c r="AI39" t="n">
        <v>9</v>
      </c>
      <c r="AJ39" t="n">
        <v>17</v>
      </c>
      <c r="AK39" t="n">
        <v>17</v>
      </c>
      <c r="AL39" t="n">
        <v>6</v>
      </c>
      <c r="AM39" t="n">
        <v>6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HYPERLINK("http://catalog.hathitrust.org/Record/000015798","HathiTrust Record")</f>
        <v/>
      </c>
      <c r="AS39">
        <f>HYPERLINK("https://creighton-primo.hosted.exlibrisgroup.com/primo-explore/search?tab=default_tab&amp;search_scope=EVERYTHING&amp;vid=01CRU&amp;lang=en_US&amp;offset=0&amp;query=any,contains,991003442979702656","Catalog Record")</f>
        <v/>
      </c>
      <c r="AT39">
        <f>HYPERLINK("http://www.worldcat.org/oclc/979154","WorldCat Record")</f>
        <v/>
      </c>
      <c r="AU39" t="inlineStr">
        <is>
          <t>352802693:eng</t>
        </is>
      </c>
      <c r="AV39" t="inlineStr">
        <is>
          <t>979154</t>
        </is>
      </c>
      <c r="AW39" t="inlineStr">
        <is>
          <t>991003442979702656</t>
        </is>
      </c>
      <c r="AX39" t="inlineStr">
        <is>
          <t>991003442979702656</t>
        </is>
      </c>
      <c r="AY39" t="inlineStr">
        <is>
          <t>2261760220002656</t>
        </is>
      </c>
      <c r="AZ39" t="inlineStr">
        <is>
          <t>BOOK</t>
        </is>
      </c>
      <c r="BB39" t="inlineStr">
        <is>
          <t>9780837173740</t>
        </is>
      </c>
      <c r="BC39" t="inlineStr">
        <is>
          <t>32285003148797</t>
        </is>
      </c>
      <c r="BD39" t="inlineStr">
        <is>
          <t>893505572</t>
        </is>
      </c>
    </row>
    <row r="40">
      <c r="A40" t="inlineStr">
        <is>
          <t>No</t>
        </is>
      </c>
      <c r="B40" t="inlineStr">
        <is>
          <t>HT107 .M35 1995</t>
        </is>
      </c>
      <c r="C40" t="inlineStr">
        <is>
          <t>0                      HT 0107000M  35          1995</t>
        </is>
      </c>
      <c r="D40" t="inlineStr">
        <is>
          <t>Managing cities : the new urban context / edited by Patsy Healey ... [et al.].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L40" t="inlineStr">
        <is>
          <t>Chichester ; New York : J. Wiley, 1995.</t>
        </is>
      </c>
      <c r="M40" t="inlineStr">
        <is>
          <t>1995</t>
        </is>
      </c>
      <c r="O40" t="inlineStr">
        <is>
          <t>eng</t>
        </is>
      </c>
      <c r="P40" t="inlineStr">
        <is>
          <t>enk</t>
        </is>
      </c>
      <c r="R40" t="inlineStr">
        <is>
          <t xml:space="preserve">HT </t>
        </is>
      </c>
      <c r="S40" t="n">
        <v>7</v>
      </c>
      <c r="T40" t="n">
        <v>7</v>
      </c>
      <c r="U40" t="inlineStr">
        <is>
          <t>2003-03-31</t>
        </is>
      </c>
      <c r="V40" t="inlineStr">
        <is>
          <t>2003-03-31</t>
        </is>
      </c>
      <c r="W40" t="inlineStr">
        <is>
          <t>1997-04-17</t>
        </is>
      </c>
      <c r="X40" t="inlineStr">
        <is>
          <t>1997-04-17</t>
        </is>
      </c>
      <c r="Y40" t="n">
        <v>412</v>
      </c>
      <c r="Z40" t="n">
        <v>246</v>
      </c>
      <c r="AA40" t="n">
        <v>248</v>
      </c>
      <c r="AB40" t="n">
        <v>3</v>
      </c>
      <c r="AC40" t="n">
        <v>3</v>
      </c>
      <c r="AD40" t="n">
        <v>13</v>
      </c>
      <c r="AE40" t="n">
        <v>13</v>
      </c>
      <c r="AF40" t="n">
        <v>5</v>
      </c>
      <c r="AG40" t="n">
        <v>5</v>
      </c>
      <c r="AH40" t="n">
        <v>2</v>
      </c>
      <c r="AI40" t="n">
        <v>2</v>
      </c>
      <c r="AJ40" t="n">
        <v>9</v>
      </c>
      <c r="AK40" t="n">
        <v>9</v>
      </c>
      <c r="AL40" t="n">
        <v>2</v>
      </c>
      <c r="AM40" t="n">
        <v>2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HYPERLINK("http://catalog.hathitrust.org/Record/002997556","HathiTrust Record")</f>
        <v/>
      </c>
      <c r="AS40">
        <f>HYPERLINK("https://creighton-primo.hosted.exlibrisgroup.com/primo-explore/search?tab=default_tab&amp;search_scope=EVERYTHING&amp;vid=01CRU&amp;lang=en_US&amp;offset=0&amp;query=any,contains,991002408279702656","Catalog Record")</f>
        <v/>
      </c>
      <c r="AT40">
        <f>HYPERLINK("http://www.worldcat.org/oclc/31330549","WorldCat Record")</f>
        <v/>
      </c>
      <c r="AU40" t="inlineStr">
        <is>
          <t>836974492:eng</t>
        </is>
      </c>
      <c r="AV40" t="inlineStr">
        <is>
          <t>31330549</t>
        </is>
      </c>
      <c r="AW40" t="inlineStr">
        <is>
          <t>991002408279702656</t>
        </is>
      </c>
      <c r="AX40" t="inlineStr">
        <is>
          <t>991002408279702656</t>
        </is>
      </c>
      <c r="AY40" t="inlineStr">
        <is>
          <t>2255841780002656</t>
        </is>
      </c>
      <c r="AZ40" t="inlineStr">
        <is>
          <t>BOOK</t>
        </is>
      </c>
      <c r="BB40" t="inlineStr">
        <is>
          <t>9780471949220</t>
        </is>
      </c>
      <c r="BC40" t="inlineStr">
        <is>
          <t>32285002498169</t>
        </is>
      </c>
      <c r="BD40" t="inlineStr">
        <is>
          <t>893510696</t>
        </is>
      </c>
    </row>
    <row r="41">
      <c r="A41" t="inlineStr">
        <is>
          <t>No</t>
        </is>
      </c>
      <c r="B41" t="inlineStr">
        <is>
          <t>HT1071 .C34 1991</t>
        </is>
      </c>
      <c r="C41" t="inlineStr">
        <is>
          <t>0                      HT 1071000C  34          1991</t>
        </is>
      </c>
      <c r="D41" t="inlineStr">
        <is>
          <t>Caribbean slave society and economy : a student reader / editors, Hilary Beckles &amp; Verene Shepherd.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L41" t="inlineStr">
        <is>
          <t>New York : New Press : Distributed by W.W. Norton &amp; Co., c1991.</t>
        </is>
      </c>
      <c r="M41" t="inlineStr">
        <is>
          <t>1991</t>
        </is>
      </c>
      <c r="O41" t="inlineStr">
        <is>
          <t>eng</t>
        </is>
      </c>
      <c r="P41" t="inlineStr">
        <is>
          <t>nyu</t>
        </is>
      </c>
      <c r="R41" t="inlineStr">
        <is>
          <t xml:space="preserve">HT </t>
        </is>
      </c>
      <c r="S41" t="n">
        <v>6</v>
      </c>
      <c r="T41" t="n">
        <v>6</v>
      </c>
      <c r="U41" t="inlineStr">
        <is>
          <t>2007-09-23</t>
        </is>
      </c>
      <c r="V41" t="inlineStr">
        <is>
          <t>2007-09-23</t>
        </is>
      </c>
      <c r="W41" t="inlineStr">
        <is>
          <t>1997-03-10</t>
        </is>
      </c>
      <c r="X41" t="inlineStr">
        <is>
          <t>1997-03-10</t>
        </is>
      </c>
      <c r="Y41" t="n">
        <v>275</v>
      </c>
      <c r="Z41" t="n">
        <v>242</v>
      </c>
      <c r="AA41" t="n">
        <v>283</v>
      </c>
      <c r="AB41" t="n">
        <v>1</v>
      </c>
      <c r="AC41" t="n">
        <v>1</v>
      </c>
      <c r="AD41" t="n">
        <v>9</v>
      </c>
      <c r="AE41" t="n">
        <v>10</v>
      </c>
      <c r="AF41" t="n">
        <v>3</v>
      </c>
      <c r="AG41" t="n">
        <v>3</v>
      </c>
      <c r="AH41" t="n">
        <v>4</v>
      </c>
      <c r="AI41" t="n">
        <v>4</v>
      </c>
      <c r="AJ41" t="n">
        <v>6</v>
      </c>
      <c r="AK41" t="n">
        <v>7</v>
      </c>
      <c r="AL41" t="n">
        <v>0</v>
      </c>
      <c r="AM41" t="n">
        <v>0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HYPERLINK("https://creighton-primo.hosted.exlibrisgroup.com/primo-explore/search?tab=default_tab&amp;search_scope=EVERYTHING&amp;vid=01CRU&amp;lang=en_US&amp;offset=0&amp;query=any,contains,991002140639702656","Catalog Record")</f>
        <v/>
      </c>
      <c r="AT41">
        <f>HYPERLINK("http://www.worldcat.org/oclc/27431623","WorldCat Record")</f>
        <v/>
      </c>
      <c r="AU41" t="inlineStr">
        <is>
          <t>793333938:eng</t>
        </is>
      </c>
      <c r="AV41" t="inlineStr">
        <is>
          <t>27431623</t>
        </is>
      </c>
      <c r="AW41" t="inlineStr">
        <is>
          <t>991002140639702656</t>
        </is>
      </c>
      <c r="AX41" t="inlineStr">
        <is>
          <t>991002140639702656</t>
        </is>
      </c>
      <c r="AY41" t="inlineStr">
        <is>
          <t>2264430380002656</t>
        </is>
      </c>
      <c r="AZ41" t="inlineStr">
        <is>
          <t>BOOK</t>
        </is>
      </c>
      <c r="BB41" t="inlineStr">
        <is>
          <t>9781565840867</t>
        </is>
      </c>
      <c r="BC41" t="inlineStr">
        <is>
          <t>32285002441094</t>
        </is>
      </c>
      <c r="BD41" t="inlineStr">
        <is>
          <t>893792070</t>
        </is>
      </c>
    </row>
    <row r="42">
      <c r="A42" t="inlineStr">
        <is>
          <t>No</t>
        </is>
      </c>
      <c r="B42" t="inlineStr">
        <is>
          <t>HT1071 .M56</t>
        </is>
      </c>
      <c r="C42" t="inlineStr">
        <is>
          <t>0                      HT 1071000M  56</t>
        </is>
      </c>
      <c r="D42" t="inlineStr">
        <is>
          <t>Caribbean transformations / Sidney W. Mintz.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Mintz, Sidney W. (Sidney Wilfred), 1922-2015.</t>
        </is>
      </c>
      <c r="L42" t="inlineStr">
        <is>
          <t>Chicago : Aldine Pub. Co., 1974.</t>
        </is>
      </c>
      <c r="M42" t="inlineStr">
        <is>
          <t>1974</t>
        </is>
      </c>
      <c r="O42" t="inlineStr">
        <is>
          <t>eng</t>
        </is>
      </c>
      <c r="P42" t="inlineStr">
        <is>
          <t>ilu</t>
        </is>
      </c>
      <c r="R42" t="inlineStr">
        <is>
          <t xml:space="preserve">HT </t>
        </is>
      </c>
      <c r="S42" t="n">
        <v>2</v>
      </c>
      <c r="T42" t="n">
        <v>2</v>
      </c>
      <c r="U42" t="inlineStr">
        <is>
          <t>2007-09-29</t>
        </is>
      </c>
      <c r="V42" t="inlineStr">
        <is>
          <t>2007-09-29</t>
        </is>
      </c>
      <c r="W42" t="inlineStr">
        <is>
          <t>1997-08-19</t>
        </is>
      </c>
      <c r="X42" t="inlineStr">
        <is>
          <t>1997-08-19</t>
        </is>
      </c>
      <c r="Y42" t="n">
        <v>636</v>
      </c>
      <c r="Z42" t="n">
        <v>515</v>
      </c>
      <c r="AA42" t="n">
        <v>708</v>
      </c>
      <c r="AB42" t="n">
        <v>4</v>
      </c>
      <c r="AC42" t="n">
        <v>4</v>
      </c>
      <c r="AD42" t="n">
        <v>20</v>
      </c>
      <c r="AE42" t="n">
        <v>31</v>
      </c>
      <c r="AF42" t="n">
        <v>8</v>
      </c>
      <c r="AG42" t="n">
        <v>15</v>
      </c>
      <c r="AH42" t="n">
        <v>5</v>
      </c>
      <c r="AI42" t="n">
        <v>8</v>
      </c>
      <c r="AJ42" t="n">
        <v>8</v>
      </c>
      <c r="AK42" t="n">
        <v>16</v>
      </c>
      <c r="AL42" t="n">
        <v>3</v>
      </c>
      <c r="AM42" t="n">
        <v>3</v>
      </c>
      <c r="AN42" t="n">
        <v>0</v>
      </c>
      <c r="AO42" t="n">
        <v>0</v>
      </c>
      <c r="AP42" t="inlineStr">
        <is>
          <t>No</t>
        </is>
      </c>
      <c r="AQ42" t="inlineStr">
        <is>
          <t>No</t>
        </is>
      </c>
      <c r="AS42">
        <f>HYPERLINK("https://creighton-primo.hosted.exlibrisgroup.com/primo-explore/search?tab=default_tab&amp;search_scope=EVERYTHING&amp;vid=01CRU&amp;lang=en_US&amp;offset=0&amp;query=any,contains,991003522409702656","Catalog Record")</f>
        <v/>
      </c>
      <c r="AT42">
        <f>HYPERLINK("http://www.worldcat.org/oclc/1084426","WorldCat Record")</f>
        <v/>
      </c>
      <c r="AU42" t="inlineStr">
        <is>
          <t>1061741:eng</t>
        </is>
      </c>
      <c r="AV42" t="inlineStr">
        <is>
          <t>1084426</t>
        </is>
      </c>
      <c r="AW42" t="inlineStr">
        <is>
          <t>991003522409702656</t>
        </is>
      </c>
      <c r="AX42" t="inlineStr">
        <is>
          <t>991003522409702656</t>
        </is>
      </c>
      <c r="AY42" t="inlineStr">
        <is>
          <t>2268910510002656</t>
        </is>
      </c>
      <c r="AZ42" t="inlineStr">
        <is>
          <t>BOOK</t>
        </is>
      </c>
      <c r="BB42" t="inlineStr">
        <is>
          <t>9780202011257</t>
        </is>
      </c>
      <c r="BC42" t="inlineStr">
        <is>
          <t>32285003148813</t>
        </is>
      </c>
      <c r="BD42" t="inlineStr">
        <is>
          <t>893416468</t>
        </is>
      </c>
    </row>
    <row r="43">
      <c r="A43" t="inlineStr">
        <is>
          <t>No</t>
        </is>
      </c>
      <c r="B43" t="inlineStr">
        <is>
          <t>HT1073 .B48 1985</t>
        </is>
      </c>
      <c r="C43" t="inlineStr">
        <is>
          <t>0                      HT 1073000B  48          1985</t>
        </is>
      </c>
      <c r="D43" t="inlineStr">
        <is>
          <t>Between slavery and free labor : the Spanish-speaking Caribbean in the nineteenth century / edited by Manuel Moreno Fraginals, Frank Moya Pons, and Stanley L. Engerman.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L43" t="inlineStr">
        <is>
          <t>Baltimore : Johns Hopkins University Press, c1985.</t>
        </is>
      </c>
      <c r="M43" t="inlineStr">
        <is>
          <t>1985</t>
        </is>
      </c>
      <c r="O43" t="inlineStr">
        <is>
          <t>eng</t>
        </is>
      </c>
      <c r="P43" t="inlineStr">
        <is>
          <t>mdu</t>
        </is>
      </c>
      <c r="Q43" t="inlineStr">
        <is>
          <t>Johns Hopkins studies in Atlantic history and culture</t>
        </is>
      </c>
      <c r="R43" t="inlineStr">
        <is>
          <t xml:space="preserve">HT </t>
        </is>
      </c>
      <c r="S43" t="n">
        <v>1</v>
      </c>
      <c r="T43" t="n">
        <v>1</v>
      </c>
      <c r="U43" t="inlineStr">
        <is>
          <t>2005-04-11</t>
        </is>
      </c>
      <c r="V43" t="inlineStr">
        <is>
          <t>2005-04-11</t>
        </is>
      </c>
      <c r="W43" t="inlineStr">
        <is>
          <t>1999-03-03</t>
        </is>
      </c>
      <c r="X43" t="inlineStr">
        <is>
          <t>1999-03-03</t>
        </is>
      </c>
      <c r="Y43" t="n">
        <v>517</v>
      </c>
      <c r="Z43" t="n">
        <v>430</v>
      </c>
      <c r="AA43" t="n">
        <v>439</v>
      </c>
      <c r="AB43" t="n">
        <v>3</v>
      </c>
      <c r="AC43" t="n">
        <v>3</v>
      </c>
      <c r="AD43" t="n">
        <v>20</v>
      </c>
      <c r="AE43" t="n">
        <v>20</v>
      </c>
      <c r="AF43" t="n">
        <v>5</v>
      </c>
      <c r="AG43" t="n">
        <v>5</v>
      </c>
      <c r="AH43" t="n">
        <v>7</v>
      </c>
      <c r="AI43" t="n">
        <v>7</v>
      </c>
      <c r="AJ43" t="n">
        <v>11</v>
      </c>
      <c r="AK43" t="n">
        <v>11</v>
      </c>
      <c r="AL43" t="n">
        <v>2</v>
      </c>
      <c r="AM43" t="n">
        <v>2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HYPERLINK("https://creighton-primo.hosted.exlibrisgroup.com/primo-explore/search?tab=default_tab&amp;search_scope=EVERYTHING&amp;vid=01CRU&amp;lang=en_US&amp;offset=0&amp;query=any,contains,991000519959702656","Catalog Record")</f>
        <v/>
      </c>
      <c r="AT43">
        <f>HYPERLINK("http://www.worldcat.org/oclc/11318116","WorldCat Record")</f>
        <v/>
      </c>
      <c r="AU43" t="inlineStr">
        <is>
          <t>354147106:eng</t>
        </is>
      </c>
      <c r="AV43" t="inlineStr">
        <is>
          <t>11318116</t>
        </is>
      </c>
      <c r="AW43" t="inlineStr">
        <is>
          <t>991000519959702656</t>
        </is>
      </c>
      <c r="AX43" t="inlineStr">
        <is>
          <t>991000519959702656</t>
        </is>
      </c>
      <c r="AY43" t="inlineStr">
        <is>
          <t>2256092160002656</t>
        </is>
      </c>
      <c r="AZ43" t="inlineStr">
        <is>
          <t>BOOK</t>
        </is>
      </c>
      <c r="BB43" t="inlineStr">
        <is>
          <t>9780801832246</t>
        </is>
      </c>
      <c r="BC43" t="inlineStr">
        <is>
          <t>32285003528931</t>
        </is>
      </c>
      <c r="BD43" t="inlineStr">
        <is>
          <t>893589515</t>
        </is>
      </c>
    </row>
    <row r="44">
      <c r="A44" t="inlineStr">
        <is>
          <t>No</t>
        </is>
      </c>
      <c r="B44" t="inlineStr">
        <is>
          <t>HT1077 .B47 1995</t>
        </is>
      </c>
      <c r="C44" t="inlineStr">
        <is>
          <t>0                      HT 1077000B  47          1995</t>
        </is>
      </c>
      <c r="D44" t="inlineStr">
        <is>
          <t>The Cuban slave market, 1790-1880 / Laird W. Bergad, Fe Iglesias García, María del Carmen Barcia.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Bergad, Laird W., 1948-</t>
        </is>
      </c>
      <c r="L44" t="inlineStr">
        <is>
          <t>Cambridge [England] ; New York : Cambridge University Press, 1995.</t>
        </is>
      </c>
      <c r="M44" t="inlineStr">
        <is>
          <t>1995</t>
        </is>
      </c>
      <c r="O44" t="inlineStr">
        <is>
          <t>eng</t>
        </is>
      </c>
      <c r="P44" t="inlineStr">
        <is>
          <t>enk</t>
        </is>
      </c>
      <c r="Q44" t="inlineStr">
        <is>
          <t>Cambridge Latin American studies ; 79</t>
        </is>
      </c>
      <c r="R44" t="inlineStr">
        <is>
          <t xml:space="preserve">HT </t>
        </is>
      </c>
      <c r="S44" t="n">
        <v>0</v>
      </c>
      <c r="T44" t="n">
        <v>0</v>
      </c>
      <c r="U44" t="inlineStr">
        <is>
          <t>2002-02-25</t>
        </is>
      </c>
      <c r="V44" t="inlineStr">
        <is>
          <t>2002-02-25</t>
        </is>
      </c>
      <c r="W44" t="inlineStr">
        <is>
          <t>1996-07-10</t>
        </is>
      </c>
      <c r="X44" t="inlineStr">
        <is>
          <t>1996-07-10</t>
        </is>
      </c>
      <c r="Y44" t="n">
        <v>419</v>
      </c>
      <c r="Z44" t="n">
        <v>342</v>
      </c>
      <c r="AA44" t="n">
        <v>357</v>
      </c>
      <c r="AB44" t="n">
        <v>3</v>
      </c>
      <c r="AC44" t="n">
        <v>3</v>
      </c>
      <c r="AD44" t="n">
        <v>16</v>
      </c>
      <c r="AE44" t="n">
        <v>16</v>
      </c>
      <c r="AF44" t="n">
        <v>3</v>
      </c>
      <c r="AG44" t="n">
        <v>3</v>
      </c>
      <c r="AH44" t="n">
        <v>6</v>
      </c>
      <c r="AI44" t="n">
        <v>6</v>
      </c>
      <c r="AJ44" t="n">
        <v>8</v>
      </c>
      <c r="AK44" t="n">
        <v>8</v>
      </c>
      <c r="AL44" t="n">
        <v>2</v>
      </c>
      <c r="AM44" t="n">
        <v>2</v>
      </c>
      <c r="AN44" t="n">
        <v>0</v>
      </c>
      <c r="AO44" t="n">
        <v>0</v>
      </c>
      <c r="AP44" t="inlineStr">
        <is>
          <t>No</t>
        </is>
      </c>
      <c r="AQ44" t="inlineStr">
        <is>
          <t>No</t>
        </is>
      </c>
      <c r="AS44">
        <f>HYPERLINK("https://creighton-primo.hosted.exlibrisgroup.com/primo-explore/search?tab=default_tab&amp;search_scope=EVERYTHING&amp;vid=01CRU&amp;lang=en_US&amp;offset=0&amp;query=any,contains,991002402989702656","Catalog Record")</f>
        <v/>
      </c>
      <c r="AT44">
        <f>HYPERLINK("http://www.worldcat.org/oclc/31241517","WorldCat Record")</f>
        <v/>
      </c>
      <c r="AU44" t="inlineStr">
        <is>
          <t>708598:eng</t>
        </is>
      </c>
      <c r="AV44" t="inlineStr">
        <is>
          <t>31241517</t>
        </is>
      </c>
      <c r="AW44" t="inlineStr">
        <is>
          <t>991002402989702656</t>
        </is>
      </c>
      <c r="AX44" t="inlineStr">
        <is>
          <t>991002402989702656</t>
        </is>
      </c>
      <c r="AY44" t="inlineStr">
        <is>
          <t>2258867570002656</t>
        </is>
      </c>
      <c r="AZ44" t="inlineStr">
        <is>
          <t>BOOK</t>
        </is>
      </c>
      <c r="BB44" t="inlineStr">
        <is>
          <t>9780521480598</t>
        </is>
      </c>
      <c r="BC44" t="inlineStr">
        <is>
          <t>32285002210929</t>
        </is>
      </c>
      <c r="BD44" t="inlineStr">
        <is>
          <t>893257252</t>
        </is>
      </c>
    </row>
    <row r="45">
      <c r="A45" t="inlineStr">
        <is>
          <t>No</t>
        </is>
      </c>
      <c r="B45" t="inlineStr">
        <is>
          <t>HT1079.E4 D53 2000</t>
        </is>
      </c>
      <c r="C45" t="inlineStr">
        <is>
          <t>0                      HT 1079000E  4                  D  53          2000</t>
        </is>
      </c>
      <c r="D45" t="inlineStr">
        <is>
          <t>The Virgin, the king, and the royal slaves of El Cobre : negotiating freedom in colonial Cuba, 1670-1780 / María Elena Díaz.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Díaz, María Elena, 1955-</t>
        </is>
      </c>
      <c r="L45" t="inlineStr">
        <is>
          <t>Stanford, Calif. : Stanford University Press, 2000.</t>
        </is>
      </c>
      <c r="M45" t="inlineStr">
        <is>
          <t>2000</t>
        </is>
      </c>
      <c r="O45" t="inlineStr">
        <is>
          <t>eng</t>
        </is>
      </c>
      <c r="P45" t="inlineStr">
        <is>
          <t>cau</t>
        </is>
      </c>
      <c r="Q45" t="inlineStr">
        <is>
          <t>Cultural sitings</t>
        </is>
      </c>
      <c r="R45" t="inlineStr">
        <is>
          <t xml:space="preserve">HT </t>
        </is>
      </c>
      <c r="S45" t="n">
        <v>2</v>
      </c>
      <c r="T45" t="n">
        <v>2</v>
      </c>
      <c r="U45" t="inlineStr">
        <is>
          <t>2002-02-13</t>
        </is>
      </c>
      <c r="V45" t="inlineStr">
        <is>
          <t>2002-02-13</t>
        </is>
      </c>
      <c r="W45" t="inlineStr">
        <is>
          <t>2002-01-15</t>
        </is>
      </c>
      <c r="X45" t="inlineStr">
        <is>
          <t>2002-01-15</t>
        </is>
      </c>
      <c r="Y45" t="n">
        <v>413</v>
      </c>
      <c r="Z45" t="n">
        <v>342</v>
      </c>
      <c r="AA45" t="n">
        <v>505</v>
      </c>
      <c r="AB45" t="n">
        <v>2</v>
      </c>
      <c r="AC45" t="n">
        <v>4</v>
      </c>
      <c r="AD45" t="n">
        <v>23</v>
      </c>
      <c r="AE45" t="n">
        <v>32</v>
      </c>
      <c r="AF45" t="n">
        <v>9</v>
      </c>
      <c r="AG45" t="n">
        <v>13</v>
      </c>
      <c r="AH45" t="n">
        <v>8</v>
      </c>
      <c r="AI45" t="n">
        <v>10</v>
      </c>
      <c r="AJ45" t="n">
        <v>10</v>
      </c>
      <c r="AK45" t="n">
        <v>13</v>
      </c>
      <c r="AL45" t="n">
        <v>1</v>
      </c>
      <c r="AM45" t="n">
        <v>3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HYPERLINK("https://creighton-primo.hosted.exlibrisgroup.com/primo-explore/search?tab=default_tab&amp;search_scope=EVERYTHING&amp;vid=01CRU&amp;lang=en_US&amp;offset=0&amp;query=any,contains,991003692089702656","Catalog Record")</f>
        <v/>
      </c>
      <c r="AT45">
        <f>HYPERLINK("http://www.worldcat.org/oclc/43936863","WorldCat Record")</f>
        <v/>
      </c>
      <c r="AU45" t="inlineStr">
        <is>
          <t>793901874:eng</t>
        </is>
      </c>
      <c r="AV45" t="inlineStr">
        <is>
          <t>43936863</t>
        </is>
      </c>
      <c r="AW45" t="inlineStr">
        <is>
          <t>991003692089702656</t>
        </is>
      </c>
      <c r="AX45" t="inlineStr">
        <is>
          <t>991003692089702656</t>
        </is>
      </c>
      <c r="AY45" t="inlineStr">
        <is>
          <t>2257860670002656</t>
        </is>
      </c>
      <c r="AZ45" t="inlineStr">
        <is>
          <t>BOOK</t>
        </is>
      </c>
      <c r="BB45" t="inlineStr">
        <is>
          <t>9780804737180</t>
        </is>
      </c>
      <c r="BC45" t="inlineStr">
        <is>
          <t>32285004448493</t>
        </is>
      </c>
      <c r="BD45" t="inlineStr">
        <is>
          <t>893717978</t>
        </is>
      </c>
    </row>
    <row r="46">
      <c r="A46" t="inlineStr">
        <is>
          <t>No</t>
        </is>
      </c>
      <c r="B46" t="inlineStr">
        <is>
          <t>HT108 .U7 v.10</t>
        </is>
      </c>
      <c r="C46" t="inlineStr">
        <is>
          <t>0                      HT 0108000U  7                                                       v.10</t>
        </is>
      </c>
      <c r="D46" t="inlineStr">
        <is>
          <t>The Delivery of urban services : outcomes of change / edited by Elinor Ostrom.</t>
        </is>
      </c>
      <c r="E46" t="inlineStr">
        <is>
          <t>V.10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L46" t="inlineStr">
        <is>
          <t>Beverly Hills, Calif. : Sage Publications, c1976.</t>
        </is>
      </c>
      <c r="M46" t="inlineStr">
        <is>
          <t>1976</t>
        </is>
      </c>
      <c r="O46" t="inlineStr">
        <is>
          <t>eng</t>
        </is>
      </c>
      <c r="P46" t="inlineStr">
        <is>
          <t>cau</t>
        </is>
      </c>
      <c r="Q46" t="inlineStr">
        <is>
          <t>Urban affairs annual reviews ; v. 10</t>
        </is>
      </c>
      <c r="R46" t="inlineStr">
        <is>
          <t xml:space="preserve">HT </t>
        </is>
      </c>
      <c r="S46" t="n">
        <v>6</v>
      </c>
      <c r="T46" t="n">
        <v>6</v>
      </c>
      <c r="U46" t="inlineStr">
        <is>
          <t>1997-04-13</t>
        </is>
      </c>
      <c r="V46" t="inlineStr">
        <is>
          <t>1997-04-13</t>
        </is>
      </c>
      <c r="W46" t="inlineStr">
        <is>
          <t>1993-04-29</t>
        </is>
      </c>
      <c r="X46" t="inlineStr">
        <is>
          <t>1993-04-29</t>
        </is>
      </c>
      <c r="Y46" t="n">
        <v>567</v>
      </c>
      <c r="Z46" t="n">
        <v>460</v>
      </c>
      <c r="AA46" t="n">
        <v>466</v>
      </c>
      <c r="AB46" t="n">
        <v>4</v>
      </c>
      <c r="AC46" t="n">
        <v>4</v>
      </c>
      <c r="AD46" t="n">
        <v>28</v>
      </c>
      <c r="AE46" t="n">
        <v>28</v>
      </c>
      <c r="AF46" t="n">
        <v>10</v>
      </c>
      <c r="AG46" t="n">
        <v>10</v>
      </c>
      <c r="AH46" t="n">
        <v>4</v>
      </c>
      <c r="AI46" t="n">
        <v>4</v>
      </c>
      <c r="AJ46" t="n">
        <v>12</v>
      </c>
      <c r="AK46" t="n">
        <v>12</v>
      </c>
      <c r="AL46" t="n">
        <v>3</v>
      </c>
      <c r="AM46" t="n">
        <v>3</v>
      </c>
      <c r="AN46" t="n">
        <v>4</v>
      </c>
      <c r="AO46" t="n">
        <v>4</v>
      </c>
      <c r="AP46" t="inlineStr">
        <is>
          <t>No</t>
        </is>
      </c>
      <c r="AQ46" t="inlineStr">
        <is>
          <t>Yes</t>
        </is>
      </c>
      <c r="AR46">
        <f>HYPERLINK("http://catalog.hathitrust.org/Record/000733316","HathiTrust Record")</f>
        <v/>
      </c>
      <c r="AS46">
        <f>HYPERLINK("https://creighton-primo.hosted.exlibrisgroup.com/primo-explore/search?tab=default_tab&amp;search_scope=EVERYTHING&amp;vid=01CRU&amp;lang=en_US&amp;offset=0&amp;query=any,contains,991004078959702656","Catalog Record")</f>
        <v/>
      </c>
      <c r="AT46">
        <f>HYPERLINK("http://www.worldcat.org/oclc/2322163","WorldCat Record")</f>
        <v/>
      </c>
      <c r="AU46" t="inlineStr">
        <is>
          <t>864928674:eng</t>
        </is>
      </c>
      <c r="AV46" t="inlineStr">
        <is>
          <t>2322163</t>
        </is>
      </c>
      <c r="AW46" t="inlineStr">
        <is>
          <t>991004078959702656</t>
        </is>
      </c>
      <c r="AX46" t="inlineStr">
        <is>
          <t>991004078959702656</t>
        </is>
      </c>
      <c r="AY46" t="inlineStr">
        <is>
          <t>2259162830002656</t>
        </is>
      </c>
      <c r="AZ46" t="inlineStr">
        <is>
          <t>BOOK</t>
        </is>
      </c>
      <c r="BB46" t="inlineStr">
        <is>
          <t>9780803904699</t>
        </is>
      </c>
      <c r="BC46" t="inlineStr">
        <is>
          <t>32285001631687</t>
        </is>
      </c>
      <c r="BD46" t="inlineStr">
        <is>
          <t>893687342</t>
        </is>
      </c>
    </row>
    <row r="47">
      <c r="A47" t="inlineStr">
        <is>
          <t>No</t>
        </is>
      </c>
      <c r="B47" t="inlineStr">
        <is>
          <t>HT108 .U7 v.14</t>
        </is>
      </c>
      <c r="C47" t="inlineStr">
        <is>
          <t>0                      HT 0108000U  7                                                       v.14</t>
        </is>
      </c>
      <c r="D47" t="inlineStr">
        <is>
          <t>The Rise of the Sunbelt cities / edited by David C. Perry and Alfred J. Watkins.</t>
        </is>
      </c>
      <c r="E47" t="inlineStr">
        <is>
          <t>V.14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L47" t="inlineStr">
        <is>
          <t>Beverly Hills, Calif. : Sage Publications, c1977.</t>
        </is>
      </c>
      <c r="M47" t="inlineStr">
        <is>
          <t>1977</t>
        </is>
      </c>
      <c r="O47" t="inlineStr">
        <is>
          <t>eng</t>
        </is>
      </c>
      <c r="P47" t="inlineStr">
        <is>
          <t>cau</t>
        </is>
      </c>
      <c r="Q47" t="inlineStr">
        <is>
          <t>Urban affairs annual reviews ; v. 14</t>
        </is>
      </c>
      <c r="R47" t="inlineStr">
        <is>
          <t xml:space="preserve">HT </t>
        </is>
      </c>
      <c r="S47" t="n">
        <v>5</v>
      </c>
      <c r="T47" t="n">
        <v>5</v>
      </c>
      <c r="U47" t="inlineStr">
        <is>
          <t>2000-12-05</t>
        </is>
      </c>
      <c r="V47" t="inlineStr">
        <is>
          <t>2000-12-05</t>
        </is>
      </c>
      <c r="W47" t="inlineStr">
        <is>
          <t>1993-04-29</t>
        </is>
      </c>
      <c r="X47" t="inlineStr">
        <is>
          <t>1993-04-29</t>
        </is>
      </c>
      <c r="Y47" t="n">
        <v>719</v>
      </c>
      <c r="Z47" t="n">
        <v>599</v>
      </c>
      <c r="AA47" t="n">
        <v>603</v>
      </c>
      <c r="AB47" t="n">
        <v>3</v>
      </c>
      <c r="AC47" t="n">
        <v>3</v>
      </c>
      <c r="AD47" t="n">
        <v>29</v>
      </c>
      <c r="AE47" t="n">
        <v>29</v>
      </c>
      <c r="AF47" t="n">
        <v>10</v>
      </c>
      <c r="AG47" t="n">
        <v>10</v>
      </c>
      <c r="AH47" t="n">
        <v>6</v>
      </c>
      <c r="AI47" t="n">
        <v>6</v>
      </c>
      <c r="AJ47" t="n">
        <v>15</v>
      </c>
      <c r="AK47" t="n">
        <v>15</v>
      </c>
      <c r="AL47" t="n">
        <v>2</v>
      </c>
      <c r="AM47" t="n">
        <v>2</v>
      </c>
      <c r="AN47" t="n">
        <v>3</v>
      </c>
      <c r="AO47" t="n">
        <v>3</v>
      </c>
      <c r="AP47" t="inlineStr">
        <is>
          <t>No</t>
        </is>
      </c>
      <c r="AQ47" t="inlineStr">
        <is>
          <t>Yes</t>
        </is>
      </c>
      <c r="AR47">
        <f>HYPERLINK("http://catalog.hathitrust.org/Record/000133766","HathiTrust Record")</f>
        <v/>
      </c>
      <c r="AS47">
        <f>HYPERLINK("https://creighton-primo.hosted.exlibrisgroup.com/primo-explore/search?tab=default_tab&amp;search_scope=EVERYTHING&amp;vid=01CRU&amp;lang=en_US&amp;offset=0&amp;query=any,contains,991004514369702656","Catalog Record")</f>
        <v/>
      </c>
      <c r="AT47">
        <f>HYPERLINK("http://www.worldcat.org/oclc/3778881","WorldCat Record")</f>
        <v/>
      </c>
      <c r="AU47" t="inlineStr">
        <is>
          <t>572721234:eng</t>
        </is>
      </c>
      <c r="AV47" t="inlineStr">
        <is>
          <t>3778881</t>
        </is>
      </c>
      <c r="AW47" t="inlineStr">
        <is>
          <t>991004514369702656</t>
        </is>
      </c>
      <c r="AX47" t="inlineStr">
        <is>
          <t>991004514369702656</t>
        </is>
      </c>
      <c r="AY47" t="inlineStr">
        <is>
          <t>2259378560002656</t>
        </is>
      </c>
      <c r="AZ47" t="inlineStr">
        <is>
          <t>BOOK</t>
        </is>
      </c>
      <c r="BB47" t="inlineStr">
        <is>
          <t>9780803910294</t>
        </is>
      </c>
      <c r="BC47" t="inlineStr">
        <is>
          <t>32285001631711</t>
        </is>
      </c>
      <c r="BD47" t="inlineStr">
        <is>
          <t>893782326</t>
        </is>
      </c>
    </row>
    <row r="48">
      <c r="A48" t="inlineStr">
        <is>
          <t>No</t>
        </is>
      </c>
      <c r="B48" t="inlineStr">
        <is>
          <t>HT108 .U7 v.21</t>
        </is>
      </c>
      <c r="C48" t="inlineStr">
        <is>
          <t>0                      HT 0108000U  7                                                       v.21</t>
        </is>
      </c>
      <c r="D48" t="inlineStr">
        <is>
          <t>Urban policy analysis : directions for future research / edited by Terry Nichols Clark.</t>
        </is>
      </c>
      <c r="E48" t="inlineStr">
        <is>
          <t>V.21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L48" t="inlineStr">
        <is>
          <t>Beverly Hills, Calif. : Sage Publications, c1981.</t>
        </is>
      </c>
      <c r="M48" t="inlineStr">
        <is>
          <t>1981</t>
        </is>
      </c>
      <c r="O48" t="inlineStr">
        <is>
          <t>eng</t>
        </is>
      </c>
      <c r="P48" t="inlineStr">
        <is>
          <t>cau</t>
        </is>
      </c>
      <c r="Q48" t="inlineStr">
        <is>
          <t>Urban affairs annual reviews ; v. 21</t>
        </is>
      </c>
      <c r="R48" t="inlineStr">
        <is>
          <t xml:space="preserve">HT </t>
        </is>
      </c>
      <c r="S48" t="n">
        <v>2</v>
      </c>
      <c r="T48" t="n">
        <v>2</v>
      </c>
      <c r="U48" t="inlineStr">
        <is>
          <t>1997-04-13</t>
        </is>
      </c>
      <c r="V48" t="inlineStr">
        <is>
          <t>1997-04-13</t>
        </is>
      </c>
      <c r="W48" t="inlineStr">
        <is>
          <t>1993-04-29</t>
        </is>
      </c>
      <c r="X48" t="inlineStr">
        <is>
          <t>1993-04-29</t>
        </is>
      </c>
      <c r="Y48" t="n">
        <v>553</v>
      </c>
      <c r="Z48" t="n">
        <v>428</v>
      </c>
      <c r="AA48" t="n">
        <v>434</v>
      </c>
      <c r="AB48" t="n">
        <v>4</v>
      </c>
      <c r="AC48" t="n">
        <v>4</v>
      </c>
      <c r="AD48" t="n">
        <v>28</v>
      </c>
      <c r="AE48" t="n">
        <v>28</v>
      </c>
      <c r="AF48" t="n">
        <v>12</v>
      </c>
      <c r="AG48" t="n">
        <v>12</v>
      </c>
      <c r="AH48" t="n">
        <v>6</v>
      </c>
      <c r="AI48" t="n">
        <v>6</v>
      </c>
      <c r="AJ48" t="n">
        <v>14</v>
      </c>
      <c r="AK48" t="n">
        <v>14</v>
      </c>
      <c r="AL48" t="n">
        <v>2</v>
      </c>
      <c r="AM48" t="n">
        <v>2</v>
      </c>
      <c r="AN48" t="n">
        <v>3</v>
      </c>
      <c r="AO48" t="n">
        <v>3</v>
      </c>
      <c r="AP48" t="inlineStr">
        <is>
          <t>No</t>
        </is>
      </c>
      <c r="AQ48" t="inlineStr">
        <is>
          <t>Yes</t>
        </is>
      </c>
      <c r="AR48">
        <f>HYPERLINK("http://catalog.hathitrust.org/Record/000227493","HathiTrust Record")</f>
        <v/>
      </c>
      <c r="AS48">
        <f>HYPERLINK("https://creighton-primo.hosted.exlibrisgroup.com/primo-explore/search?tab=default_tab&amp;search_scope=EVERYTHING&amp;vid=01CRU&amp;lang=en_US&amp;offset=0&amp;query=any,contains,991005159989702656","Catalog Record")</f>
        <v/>
      </c>
      <c r="AT48">
        <f>HYPERLINK("http://www.worldcat.org/oclc/7774450","WorldCat Record")</f>
        <v/>
      </c>
      <c r="AU48" t="inlineStr">
        <is>
          <t>836677408:eng</t>
        </is>
      </c>
      <c r="AV48" t="inlineStr">
        <is>
          <t>7774450</t>
        </is>
      </c>
      <c r="AW48" t="inlineStr">
        <is>
          <t>991005159989702656</t>
        </is>
      </c>
      <c r="AX48" t="inlineStr">
        <is>
          <t>991005159989702656</t>
        </is>
      </c>
      <c r="AY48" t="inlineStr">
        <is>
          <t>2267069660002656</t>
        </is>
      </c>
      <c r="AZ48" t="inlineStr">
        <is>
          <t>BOOK</t>
        </is>
      </c>
      <c r="BB48" t="inlineStr">
        <is>
          <t>9780803916272</t>
        </is>
      </c>
      <c r="BC48" t="inlineStr">
        <is>
          <t>32285001631778</t>
        </is>
      </c>
      <c r="BD48" t="inlineStr">
        <is>
          <t>893338619</t>
        </is>
      </c>
    </row>
    <row r="49">
      <c r="A49" t="inlineStr">
        <is>
          <t>No</t>
        </is>
      </c>
      <c r="B49" t="inlineStr">
        <is>
          <t>HT108 .U7 v.23</t>
        </is>
      </c>
      <c r="C49" t="inlineStr">
        <is>
          <t>0                      HT 0108000U  7                                                       v.23</t>
        </is>
      </c>
      <c r="D49" t="inlineStr">
        <is>
          <t>Cities in the 21st century / edited by Gary Gappert and Richard V. Knight.</t>
        </is>
      </c>
      <c r="E49" t="inlineStr">
        <is>
          <t>V.23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L49" t="inlineStr">
        <is>
          <t>Beverly Hills : Sage Publications, c1982, 1983 printing.</t>
        </is>
      </c>
      <c r="M49" t="inlineStr">
        <is>
          <t>1982</t>
        </is>
      </c>
      <c r="O49" t="inlineStr">
        <is>
          <t>eng</t>
        </is>
      </c>
      <c r="P49" t="inlineStr">
        <is>
          <t>cau</t>
        </is>
      </c>
      <c r="Q49" t="inlineStr">
        <is>
          <t>Urban affairs annual reviews ; v. 23</t>
        </is>
      </c>
      <c r="R49" t="inlineStr">
        <is>
          <t xml:space="preserve">HT </t>
        </is>
      </c>
      <c r="S49" t="n">
        <v>3</v>
      </c>
      <c r="T49" t="n">
        <v>3</v>
      </c>
      <c r="U49" t="inlineStr">
        <is>
          <t>1997-04-13</t>
        </is>
      </c>
      <c r="V49" t="inlineStr">
        <is>
          <t>1997-04-13</t>
        </is>
      </c>
      <c r="W49" t="inlineStr">
        <is>
          <t>1992-11-10</t>
        </is>
      </c>
      <c r="X49" t="inlineStr">
        <is>
          <t>1992-11-10</t>
        </is>
      </c>
      <c r="Y49" t="n">
        <v>626</v>
      </c>
      <c r="Z49" t="n">
        <v>481</v>
      </c>
      <c r="AA49" t="n">
        <v>489</v>
      </c>
      <c r="AB49" t="n">
        <v>4</v>
      </c>
      <c r="AC49" t="n">
        <v>4</v>
      </c>
      <c r="AD49" t="n">
        <v>27</v>
      </c>
      <c r="AE49" t="n">
        <v>27</v>
      </c>
      <c r="AF49" t="n">
        <v>10</v>
      </c>
      <c r="AG49" t="n">
        <v>10</v>
      </c>
      <c r="AH49" t="n">
        <v>5</v>
      </c>
      <c r="AI49" t="n">
        <v>5</v>
      </c>
      <c r="AJ49" t="n">
        <v>12</v>
      </c>
      <c r="AK49" t="n">
        <v>12</v>
      </c>
      <c r="AL49" t="n">
        <v>2</v>
      </c>
      <c r="AM49" t="n">
        <v>2</v>
      </c>
      <c r="AN49" t="n">
        <v>3</v>
      </c>
      <c r="AO49" t="n">
        <v>3</v>
      </c>
      <c r="AP49" t="inlineStr">
        <is>
          <t>No</t>
        </is>
      </c>
      <c r="AQ49" t="inlineStr">
        <is>
          <t>Yes</t>
        </is>
      </c>
      <c r="AR49">
        <f>HYPERLINK("http://catalog.hathitrust.org/Record/000310848","HathiTrust Record")</f>
        <v/>
      </c>
      <c r="AS49">
        <f>HYPERLINK("https://creighton-primo.hosted.exlibrisgroup.com/primo-explore/search?tab=default_tab&amp;search_scope=EVERYTHING&amp;vid=01CRU&amp;lang=en_US&amp;offset=0&amp;query=any,contains,991000071679702656","Catalog Record")</f>
        <v/>
      </c>
      <c r="AT49">
        <f>HYPERLINK("http://www.worldcat.org/oclc/8785315","WorldCat Record")</f>
        <v/>
      </c>
      <c r="AU49" t="inlineStr">
        <is>
          <t>353795096:eng</t>
        </is>
      </c>
      <c r="AV49" t="inlineStr">
        <is>
          <t>8785315</t>
        </is>
      </c>
      <c r="AW49" t="inlineStr">
        <is>
          <t>991000071679702656</t>
        </is>
      </c>
      <c r="AX49" t="inlineStr">
        <is>
          <t>991000071679702656</t>
        </is>
      </c>
      <c r="AY49" t="inlineStr">
        <is>
          <t>2266890000002656</t>
        </is>
      </c>
      <c r="AZ49" t="inlineStr">
        <is>
          <t>BOOK</t>
        </is>
      </c>
      <c r="BB49" t="inlineStr">
        <is>
          <t>9780803919112</t>
        </is>
      </c>
      <c r="BC49" t="inlineStr">
        <is>
          <t>32285001384162</t>
        </is>
      </c>
      <c r="BD49" t="inlineStr">
        <is>
          <t>893255154</t>
        </is>
      </c>
    </row>
    <row r="50">
      <c r="A50" t="inlineStr">
        <is>
          <t>No</t>
        </is>
      </c>
      <c r="B50" t="inlineStr">
        <is>
          <t>HT108 .U7 v.26</t>
        </is>
      </c>
      <c r="C50" t="inlineStr">
        <is>
          <t>0                      HT 0108000U  7                                                       v.26</t>
        </is>
      </c>
      <c r="D50" t="inlineStr">
        <is>
          <t>Cities in transformation : class, capital, and the state / edited by Michael Peter Smith.</t>
        </is>
      </c>
      <c r="E50" t="inlineStr">
        <is>
          <t>V.26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Beverly Hills, Calif. : Sage Publications, c1984.</t>
        </is>
      </c>
      <c r="M50" t="inlineStr">
        <is>
          <t>1984</t>
        </is>
      </c>
      <c r="O50" t="inlineStr">
        <is>
          <t>eng</t>
        </is>
      </c>
      <c r="P50" t="inlineStr">
        <is>
          <t>cau</t>
        </is>
      </c>
      <c r="Q50" t="inlineStr">
        <is>
          <t>Urban affairs annual reviews ; v. 26</t>
        </is>
      </c>
      <c r="R50" t="inlineStr">
        <is>
          <t xml:space="preserve">HT </t>
        </is>
      </c>
      <c r="S50" t="n">
        <v>3</v>
      </c>
      <c r="T50" t="n">
        <v>3</v>
      </c>
      <c r="U50" t="inlineStr">
        <is>
          <t>1998-11-23</t>
        </is>
      </c>
      <c r="V50" t="inlineStr">
        <is>
          <t>1998-11-23</t>
        </is>
      </c>
      <c r="W50" t="inlineStr">
        <is>
          <t>1993-04-29</t>
        </is>
      </c>
      <c r="X50" t="inlineStr">
        <is>
          <t>1993-04-29</t>
        </is>
      </c>
      <c r="Y50" t="n">
        <v>537</v>
      </c>
      <c r="Z50" t="n">
        <v>418</v>
      </c>
      <c r="AA50" t="n">
        <v>424</v>
      </c>
      <c r="AB50" t="n">
        <v>4</v>
      </c>
      <c r="AC50" t="n">
        <v>4</v>
      </c>
      <c r="AD50" t="n">
        <v>25</v>
      </c>
      <c r="AE50" t="n">
        <v>25</v>
      </c>
      <c r="AF50" t="n">
        <v>8</v>
      </c>
      <c r="AG50" t="n">
        <v>8</v>
      </c>
      <c r="AH50" t="n">
        <v>5</v>
      </c>
      <c r="AI50" t="n">
        <v>5</v>
      </c>
      <c r="AJ50" t="n">
        <v>13</v>
      </c>
      <c r="AK50" t="n">
        <v>13</v>
      </c>
      <c r="AL50" t="n">
        <v>2</v>
      </c>
      <c r="AM50" t="n">
        <v>2</v>
      </c>
      <c r="AN50" t="n">
        <v>3</v>
      </c>
      <c r="AO50" t="n">
        <v>3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HYPERLINK("http://catalog.hathitrust.org/Record/000282160","HathiTrust Record")</f>
        <v/>
      </c>
      <c r="AS50">
        <f>HYPERLINK("https://creighton-primo.hosted.exlibrisgroup.com/primo-explore/search?tab=default_tab&amp;search_scope=EVERYTHING&amp;vid=01CRU&amp;lang=en_US&amp;offset=0&amp;query=any,contains,991000341029702656","Catalog Record")</f>
        <v/>
      </c>
      <c r="AT50">
        <f>HYPERLINK("http://www.worldcat.org/oclc/10272669","WorldCat Record")</f>
        <v/>
      </c>
      <c r="AU50" t="inlineStr">
        <is>
          <t>836647541:eng</t>
        </is>
      </c>
      <c r="AV50" t="inlineStr">
        <is>
          <t>10272669</t>
        </is>
      </c>
      <c r="AW50" t="inlineStr">
        <is>
          <t>991000341029702656</t>
        </is>
      </c>
      <c r="AX50" t="inlineStr">
        <is>
          <t>991000341029702656</t>
        </is>
      </c>
      <c r="AY50" t="inlineStr">
        <is>
          <t>2271556010002656</t>
        </is>
      </c>
      <c r="AZ50" t="inlineStr">
        <is>
          <t>BOOK</t>
        </is>
      </c>
      <c r="BB50" t="inlineStr">
        <is>
          <t>9780803920668</t>
        </is>
      </c>
      <c r="BC50" t="inlineStr">
        <is>
          <t>32285001631810</t>
        </is>
      </c>
      <c r="BD50" t="inlineStr">
        <is>
          <t>893771550</t>
        </is>
      </c>
    </row>
    <row r="51">
      <c r="A51" t="inlineStr">
        <is>
          <t>No</t>
        </is>
      </c>
      <c r="B51" t="inlineStr">
        <is>
          <t>HT108 .U7 v.27</t>
        </is>
      </c>
      <c r="C51" t="inlineStr">
        <is>
          <t>0                      HT 0108000U  7                                                       v.27</t>
        </is>
      </c>
      <c r="D51" t="inlineStr">
        <is>
          <t>Urban economic development / edited by Richard D. Bingham and John P. Blair.</t>
        </is>
      </c>
      <c r="E51" t="inlineStr">
        <is>
          <t>V.27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L51" t="inlineStr">
        <is>
          <t>Beverly Hills : Sage Publications, c1984.</t>
        </is>
      </c>
      <c r="M51" t="inlineStr">
        <is>
          <t>1984</t>
        </is>
      </c>
      <c r="O51" t="inlineStr">
        <is>
          <t>eng</t>
        </is>
      </c>
      <c r="P51" t="inlineStr">
        <is>
          <t>cau</t>
        </is>
      </c>
      <c r="Q51" t="inlineStr">
        <is>
          <t>Urban affairs annual reviews ; v. 27</t>
        </is>
      </c>
      <c r="R51" t="inlineStr">
        <is>
          <t xml:space="preserve">HT </t>
        </is>
      </c>
      <c r="S51" t="n">
        <v>4</v>
      </c>
      <c r="T51" t="n">
        <v>4</v>
      </c>
      <c r="U51" t="inlineStr">
        <is>
          <t>1995-11-19</t>
        </is>
      </c>
      <c r="V51" t="inlineStr">
        <is>
          <t>1995-11-19</t>
        </is>
      </c>
      <c r="W51" t="inlineStr">
        <is>
          <t>1993-04-29</t>
        </is>
      </c>
      <c r="X51" t="inlineStr">
        <is>
          <t>1993-04-29</t>
        </is>
      </c>
      <c r="Y51" t="n">
        <v>513</v>
      </c>
      <c r="Z51" t="n">
        <v>404</v>
      </c>
      <c r="AA51" t="n">
        <v>406</v>
      </c>
      <c r="AB51" t="n">
        <v>3</v>
      </c>
      <c r="AC51" t="n">
        <v>3</v>
      </c>
      <c r="AD51" t="n">
        <v>24</v>
      </c>
      <c r="AE51" t="n">
        <v>24</v>
      </c>
      <c r="AF51" t="n">
        <v>9</v>
      </c>
      <c r="AG51" t="n">
        <v>9</v>
      </c>
      <c r="AH51" t="n">
        <v>5</v>
      </c>
      <c r="AI51" t="n">
        <v>5</v>
      </c>
      <c r="AJ51" t="n">
        <v>13</v>
      </c>
      <c r="AK51" t="n">
        <v>13</v>
      </c>
      <c r="AL51" t="n">
        <v>2</v>
      </c>
      <c r="AM51" t="n">
        <v>2</v>
      </c>
      <c r="AN51" t="n">
        <v>2</v>
      </c>
      <c r="AO51" t="n">
        <v>2</v>
      </c>
      <c r="AP51" t="inlineStr">
        <is>
          <t>No</t>
        </is>
      </c>
      <c r="AQ51" t="inlineStr">
        <is>
          <t>Yes</t>
        </is>
      </c>
      <c r="AR51">
        <f>HYPERLINK("http://catalog.hathitrust.org/Record/000329704","HathiTrust Record")</f>
        <v/>
      </c>
      <c r="AS51">
        <f>HYPERLINK("https://creighton-primo.hosted.exlibrisgroup.com/primo-explore/search?tab=default_tab&amp;search_scope=EVERYTHING&amp;vid=01CRU&amp;lang=en_US&amp;offset=0&amp;query=any,contains,991000430419702656","Catalog Record")</f>
        <v/>
      </c>
      <c r="AT51">
        <f>HYPERLINK("http://www.worldcat.org/oclc/10778503","WorldCat Record")</f>
        <v/>
      </c>
      <c r="AU51" t="inlineStr">
        <is>
          <t>351987288:eng</t>
        </is>
      </c>
      <c r="AV51" t="inlineStr">
        <is>
          <t>10778503</t>
        </is>
      </c>
      <c r="AW51" t="inlineStr">
        <is>
          <t>991000430419702656</t>
        </is>
      </c>
      <c r="AX51" t="inlineStr">
        <is>
          <t>991000430419702656</t>
        </is>
      </c>
      <c r="AY51" t="inlineStr">
        <is>
          <t>2268073310002656</t>
        </is>
      </c>
      <c r="AZ51" t="inlineStr">
        <is>
          <t>BOOK</t>
        </is>
      </c>
      <c r="BB51" t="inlineStr">
        <is>
          <t>9780803919990</t>
        </is>
      </c>
      <c r="BC51" t="inlineStr">
        <is>
          <t>32285001631828</t>
        </is>
      </c>
      <c r="BD51" t="inlineStr">
        <is>
          <t>893425695</t>
        </is>
      </c>
    </row>
    <row r="52">
      <c r="A52" t="inlineStr">
        <is>
          <t>No</t>
        </is>
      </c>
      <c r="B52" t="inlineStr">
        <is>
          <t>HT108 .U7 v.28</t>
        </is>
      </c>
      <c r="C52" t="inlineStr">
        <is>
          <t>0                      HT 0108000U  7                                                       v.28</t>
        </is>
      </c>
      <c r="D52" t="inlineStr">
        <is>
          <t>High technology, space, and society / edited by Manuel Castells.</t>
        </is>
      </c>
      <c r="E52" t="inlineStr">
        <is>
          <t>V.28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L52" t="inlineStr">
        <is>
          <t>Beverly Hills, Calif. : Sage Publications, c1985.</t>
        </is>
      </c>
      <c r="M52" t="inlineStr">
        <is>
          <t>1985</t>
        </is>
      </c>
      <c r="O52" t="inlineStr">
        <is>
          <t>eng</t>
        </is>
      </c>
      <c r="P52" t="inlineStr">
        <is>
          <t>cau</t>
        </is>
      </c>
      <c r="Q52" t="inlineStr">
        <is>
          <t>Urban affairs annual reviews ; v. 28</t>
        </is>
      </c>
      <c r="R52" t="inlineStr">
        <is>
          <t xml:space="preserve">HT </t>
        </is>
      </c>
      <c r="S52" t="n">
        <v>4</v>
      </c>
      <c r="T52" t="n">
        <v>4</v>
      </c>
      <c r="U52" t="inlineStr">
        <is>
          <t>2000-04-11</t>
        </is>
      </c>
      <c r="V52" t="inlineStr">
        <is>
          <t>2000-04-11</t>
        </is>
      </c>
      <c r="W52" t="inlineStr">
        <is>
          <t>1993-04-29</t>
        </is>
      </c>
      <c r="X52" t="inlineStr">
        <is>
          <t>1993-04-29</t>
        </is>
      </c>
      <c r="Y52" t="n">
        <v>592</v>
      </c>
      <c r="Z52" t="n">
        <v>432</v>
      </c>
      <c r="AA52" t="n">
        <v>448</v>
      </c>
      <c r="AB52" t="n">
        <v>4</v>
      </c>
      <c r="AC52" t="n">
        <v>4</v>
      </c>
      <c r="AD52" t="n">
        <v>23</v>
      </c>
      <c r="AE52" t="n">
        <v>25</v>
      </c>
      <c r="AF52" t="n">
        <v>6</v>
      </c>
      <c r="AG52" t="n">
        <v>7</v>
      </c>
      <c r="AH52" t="n">
        <v>6</v>
      </c>
      <c r="AI52" t="n">
        <v>7</v>
      </c>
      <c r="AJ52" t="n">
        <v>12</v>
      </c>
      <c r="AK52" t="n">
        <v>12</v>
      </c>
      <c r="AL52" t="n">
        <v>2</v>
      </c>
      <c r="AM52" t="n">
        <v>2</v>
      </c>
      <c r="AN52" t="n">
        <v>3</v>
      </c>
      <c r="AO52" t="n">
        <v>3</v>
      </c>
      <c r="AP52" t="inlineStr">
        <is>
          <t>No</t>
        </is>
      </c>
      <c r="AQ52" t="inlineStr">
        <is>
          <t>Yes</t>
        </is>
      </c>
      <c r="AR52">
        <f>HYPERLINK("http://catalog.hathitrust.org/Record/000611160","HathiTrust Record")</f>
        <v/>
      </c>
      <c r="AS52">
        <f>HYPERLINK("https://creighton-primo.hosted.exlibrisgroup.com/primo-explore/search?tab=default_tab&amp;search_scope=EVERYTHING&amp;vid=01CRU&amp;lang=en_US&amp;offset=0&amp;query=any,contains,991000527339702656","Catalog Record")</f>
        <v/>
      </c>
      <c r="AT52">
        <f>HYPERLINK("http://www.worldcat.org/oclc/11371510","WorldCat Record")</f>
        <v/>
      </c>
      <c r="AU52" t="inlineStr">
        <is>
          <t>3920721:eng</t>
        </is>
      </c>
      <c r="AV52" t="inlineStr">
        <is>
          <t>11371510</t>
        </is>
      </c>
      <c r="AW52" t="inlineStr">
        <is>
          <t>991000527339702656</t>
        </is>
      </c>
      <c r="AX52" t="inlineStr">
        <is>
          <t>991000527339702656</t>
        </is>
      </c>
      <c r="AY52" t="inlineStr">
        <is>
          <t>2258816610002656</t>
        </is>
      </c>
      <c r="AZ52" t="inlineStr">
        <is>
          <t>BOOK</t>
        </is>
      </c>
      <c r="BB52" t="inlineStr">
        <is>
          <t>9780803924147</t>
        </is>
      </c>
      <c r="BC52" t="inlineStr">
        <is>
          <t>32285001631836</t>
        </is>
      </c>
      <c r="BD52" t="inlineStr">
        <is>
          <t>893595629</t>
        </is>
      </c>
    </row>
    <row r="53">
      <c r="A53" t="inlineStr">
        <is>
          <t>No</t>
        </is>
      </c>
      <c r="B53" t="inlineStr">
        <is>
          <t>HT108 .U7 v.41</t>
        </is>
      </c>
      <c r="C53" t="inlineStr">
        <is>
          <t>0                      HT 0108000U  7                                                       v.41</t>
        </is>
      </c>
      <c r="D53" t="inlineStr">
        <is>
          <t>Mobilizing the community : local politics in the era of the global city / edited by Robert Fisher, Joseph Kling.</t>
        </is>
      </c>
      <c r="E53" t="inlineStr">
        <is>
          <t>V.41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L53" t="inlineStr">
        <is>
          <t>Newbury Park ; London : Sage, c1993.</t>
        </is>
      </c>
      <c r="M53" t="inlineStr">
        <is>
          <t>1993</t>
        </is>
      </c>
      <c r="O53" t="inlineStr">
        <is>
          <t>eng</t>
        </is>
      </c>
      <c r="P53" t="inlineStr">
        <is>
          <t>enk</t>
        </is>
      </c>
      <c r="Q53" t="inlineStr">
        <is>
          <t>Urban affairs annual review ; 41</t>
        </is>
      </c>
      <c r="R53" t="inlineStr">
        <is>
          <t xml:space="preserve">HT </t>
        </is>
      </c>
      <c r="S53" t="n">
        <v>8</v>
      </c>
      <c r="T53" t="n">
        <v>8</v>
      </c>
      <c r="U53" t="inlineStr">
        <is>
          <t>2001-11-26</t>
        </is>
      </c>
      <c r="V53" t="inlineStr">
        <is>
          <t>2001-11-26</t>
        </is>
      </c>
      <c r="W53" t="inlineStr">
        <is>
          <t>1996-10-17</t>
        </is>
      </c>
      <c r="X53" t="inlineStr">
        <is>
          <t>1996-10-17</t>
        </is>
      </c>
      <c r="Y53" t="n">
        <v>480</v>
      </c>
      <c r="Z53" t="n">
        <v>377</v>
      </c>
      <c r="AA53" t="n">
        <v>397</v>
      </c>
      <c r="AB53" t="n">
        <v>4</v>
      </c>
      <c r="AC53" t="n">
        <v>4</v>
      </c>
      <c r="AD53" t="n">
        <v>27</v>
      </c>
      <c r="AE53" t="n">
        <v>27</v>
      </c>
      <c r="AF53" t="n">
        <v>9</v>
      </c>
      <c r="AG53" t="n">
        <v>9</v>
      </c>
      <c r="AH53" t="n">
        <v>5</v>
      </c>
      <c r="AI53" t="n">
        <v>5</v>
      </c>
      <c r="AJ53" t="n">
        <v>17</v>
      </c>
      <c r="AK53" t="n">
        <v>17</v>
      </c>
      <c r="AL53" t="n">
        <v>3</v>
      </c>
      <c r="AM53" t="n">
        <v>3</v>
      </c>
      <c r="AN53" t="n">
        <v>1</v>
      </c>
      <c r="AO53" t="n">
        <v>1</v>
      </c>
      <c r="AP53" t="inlineStr">
        <is>
          <t>No</t>
        </is>
      </c>
      <c r="AQ53" t="inlineStr">
        <is>
          <t>Yes</t>
        </is>
      </c>
      <c r="AR53">
        <f>HYPERLINK("http://catalog.hathitrust.org/Record/002753825","HathiTrust Record")</f>
        <v/>
      </c>
      <c r="AS53">
        <f>HYPERLINK("https://creighton-primo.hosted.exlibrisgroup.com/primo-explore/search?tab=default_tab&amp;search_scope=EVERYTHING&amp;vid=01CRU&amp;lang=en_US&amp;offset=0&amp;query=any,contains,991002342659702656","Catalog Record")</f>
        <v/>
      </c>
      <c r="AT53">
        <f>HYPERLINK("http://www.worldcat.org/oclc/30509535","WorldCat Record")</f>
        <v/>
      </c>
      <c r="AU53" t="inlineStr">
        <is>
          <t>836890152:eng</t>
        </is>
      </c>
      <c r="AV53" t="inlineStr">
        <is>
          <t>30509535</t>
        </is>
      </c>
      <c r="AW53" t="inlineStr">
        <is>
          <t>991002342659702656</t>
        </is>
      </c>
      <c r="AX53" t="inlineStr">
        <is>
          <t>991002342659702656</t>
        </is>
      </c>
      <c r="AY53" t="inlineStr">
        <is>
          <t>2271993820002656</t>
        </is>
      </c>
      <c r="AZ53" t="inlineStr">
        <is>
          <t>BOOK</t>
        </is>
      </c>
      <c r="BB53" t="inlineStr">
        <is>
          <t>9780803942479</t>
        </is>
      </c>
      <c r="BC53" t="inlineStr">
        <is>
          <t>32285002366499</t>
        </is>
      </c>
      <c r="BD53" t="inlineStr">
        <is>
          <t>893691506</t>
        </is>
      </c>
    </row>
    <row r="54">
      <c r="A54" t="inlineStr">
        <is>
          <t>No</t>
        </is>
      </c>
      <c r="B54" t="inlineStr">
        <is>
          <t>HT108 .U7 v.42</t>
        </is>
      </c>
      <c r="C54" t="inlineStr">
        <is>
          <t>0                      HT 0108000U  7                                                       v.42</t>
        </is>
      </c>
      <c r="D54" t="inlineStr">
        <is>
          <t>Gender in urban research / edited by Judith A. Garber, Robyne S. Turner.</t>
        </is>
      </c>
      <c r="E54" t="inlineStr">
        <is>
          <t>V.42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Thousand Oaks, Calif. : Sage Publications, c1995.</t>
        </is>
      </c>
      <c r="M54" t="inlineStr">
        <is>
          <t>1995</t>
        </is>
      </c>
      <c r="O54" t="inlineStr">
        <is>
          <t>eng</t>
        </is>
      </c>
      <c r="P54" t="inlineStr">
        <is>
          <t>cau</t>
        </is>
      </c>
      <c r="Q54" t="inlineStr">
        <is>
          <t>Urban affairs annual review ; 42</t>
        </is>
      </c>
      <c r="R54" t="inlineStr">
        <is>
          <t xml:space="preserve">HT </t>
        </is>
      </c>
      <c r="S54" t="n">
        <v>7</v>
      </c>
      <c r="T54" t="n">
        <v>7</v>
      </c>
      <c r="U54" t="inlineStr">
        <is>
          <t>2006-11-12</t>
        </is>
      </c>
      <c r="V54" t="inlineStr">
        <is>
          <t>2006-11-12</t>
        </is>
      </c>
      <c r="W54" t="inlineStr">
        <is>
          <t>1996-01-22</t>
        </is>
      </c>
      <c r="X54" t="inlineStr">
        <is>
          <t>1996-01-22</t>
        </is>
      </c>
      <c r="Y54" t="n">
        <v>428</v>
      </c>
      <c r="Z54" t="n">
        <v>340</v>
      </c>
      <c r="AA54" t="n">
        <v>381</v>
      </c>
      <c r="AB54" t="n">
        <v>3</v>
      </c>
      <c r="AC54" t="n">
        <v>3</v>
      </c>
      <c r="AD54" t="n">
        <v>24</v>
      </c>
      <c r="AE54" t="n">
        <v>26</v>
      </c>
      <c r="AF54" t="n">
        <v>8</v>
      </c>
      <c r="AG54" t="n">
        <v>10</v>
      </c>
      <c r="AH54" t="n">
        <v>6</v>
      </c>
      <c r="AI54" t="n">
        <v>6</v>
      </c>
      <c r="AJ54" t="n">
        <v>13</v>
      </c>
      <c r="AK54" t="n">
        <v>14</v>
      </c>
      <c r="AL54" t="n">
        <v>2</v>
      </c>
      <c r="AM54" t="n">
        <v>2</v>
      </c>
      <c r="AN54" t="n">
        <v>1</v>
      </c>
      <c r="AO54" t="n">
        <v>1</v>
      </c>
      <c r="AP54" t="inlineStr">
        <is>
          <t>No</t>
        </is>
      </c>
      <c r="AQ54" t="inlineStr">
        <is>
          <t>No</t>
        </is>
      </c>
      <c r="AS54">
        <f>HYPERLINK("https://creighton-primo.hosted.exlibrisgroup.com/primo-explore/search?tab=default_tab&amp;search_scope=EVERYTHING&amp;vid=01CRU&amp;lang=en_US&amp;offset=0&amp;query=any,contains,991002397599702656","Catalog Record")</f>
        <v/>
      </c>
      <c r="AT54">
        <f>HYPERLINK("http://www.worldcat.org/oclc/31155101","WorldCat Record")</f>
        <v/>
      </c>
      <c r="AU54" t="inlineStr">
        <is>
          <t>350239355:eng</t>
        </is>
      </c>
      <c r="AV54" t="inlineStr">
        <is>
          <t>31155101</t>
        </is>
      </c>
      <c r="AW54" t="inlineStr">
        <is>
          <t>991002397599702656</t>
        </is>
      </c>
      <c r="AX54" t="inlineStr">
        <is>
          <t>991002397599702656</t>
        </is>
      </c>
      <c r="AY54" t="inlineStr">
        <is>
          <t>2265281370002656</t>
        </is>
      </c>
      <c r="AZ54" t="inlineStr">
        <is>
          <t>BOOK</t>
        </is>
      </c>
      <c r="BB54" t="inlineStr">
        <is>
          <t>9780803957244</t>
        </is>
      </c>
      <c r="BC54" t="inlineStr">
        <is>
          <t>32285002119666</t>
        </is>
      </c>
      <c r="BD54" t="inlineStr">
        <is>
          <t>893421300</t>
        </is>
      </c>
    </row>
    <row r="55">
      <c r="A55" t="inlineStr">
        <is>
          <t>No</t>
        </is>
      </c>
      <c r="B55" t="inlineStr">
        <is>
          <t>HT108 .U7 v.43</t>
        </is>
      </c>
      <c r="C55" t="inlineStr">
        <is>
          <t>0                      HT 0108000U  7                                                       v.43</t>
        </is>
      </c>
      <c r="D55" t="inlineStr">
        <is>
          <t>Building the public city : the politics, governance, and finance of public infrastructure / edited by David C. Perry.</t>
        </is>
      </c>
      <c r="E55" t="inlineStr">
        <is>
          <t>V.43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L55" t="inlineStr">
        <is>
          <t>Thousand Oaks, CA : Sage Publications, c1995.</t>
        </is>
      </c>
      <c r="M55" t="inlineStr">
        <is>
          <t>1995</t>
        </is>
      </c>
      <c r="O55" t="inlineStr">
        <is>
          <t>eng</t>
        </is>
      </c>
      <c r="P55" t="inlineStr">
        <is>
          <t>cau</t>
        </is>
      </c>
      <c r="Q55" t="inlineStr">
        <is>
          <t>Urban affairs annual reviews ; v. 43</t>
        </is>
      </c>
      <c r="R55" t="inlineStr">
        <is>
          <t xml:space="preserve">HT </t>
        </is>
      </c>
      <c r="S55" t="n">
        <v>7</v>
      </c>
      <c r="T55" t="n">
        <v>7</v>
      </c>
      <c r="U55" t="inlineStr">
        <is>
          <t>2001-11-26</t>
        </is>
      </c>
      <c r="V55" t="inlineStr">
        <is>
          <t>2001-11-26</t>
        </is>
      </c>
      <c r="W55" t="inlineStr">
        <is>
          <t>1996-04-01</t>
        </is>
      </c>
      <c r="X55" t="inlineStr">
        <is>
          <t>1996-04-01</t>
        </is>
      </c>
      <c r="Y55" t="n">
        <v>498</v>
      </c>
      <c r="Z55" t="n">
        <v>404</v>
      </c>
      <c r="AA55" t="n">
        <v>405</v>
      </c>
      <c r="AB55" t="n">
        <v>4</v>
      </c>
      <c r="AC55" t="n">
        <v>4</v>
      </c>
      <c r="AD55" t="n">
        <v>27</v>
      </c>
      <c r="AE55" t="n">
        <v>27</v>
      </c>
      <c r="AF55" t="n">
        <v>12</v>
      </c>
      <c r="AG55" t="n">
        <v>12</v>
      </c>
      <c r="AH55" t="n">
        <v>6</v>
      </c>
      <c r="AI55" t="n">
        <v>6</v>
      </c>
      <c r="AJ55" t="n">
        <v>16</v>
      </c>
      <c r="AK55" t="n">
        <v>16</v>
      </c>
      <c r="AL55" t="n">
        <v>3</v>
      </c>
      <c r="AM55" t="n">
        <v>3</v>
      </c>
      <c r="AN55" t="n">
        <v>0</v>
      </c>
      <c r="AO55" t="n">
        <v>0</v>
      </c>
      <c r="AP55" t="inlineStr">
        <is>
          <t>No</t>
        </is>
      </c>
      <c r="AQ55" t="inlineStr">
        <is>
          <t>Yes</t>
        </is>
      </c>
      <c r="AR55">
        <f>HYPERLINK("http://catalog.hathitrust.org/Record/002912800","HathiTrust Record")</f>
        <v/>
      </c>
      <c r="AS55">
        <f>HYPERLINK("https://creighton-primo.hosted.exlibrisgroup.com/primo-explore/search?tab=default_tab&amp;search_scope=EVERYTHING&amp;vid=01CRU&amp;lang=en_US&amp;offset=0&amp;query=any,contains,991002437549702656","Catalog Record")</f>
        <v/>
      </c>
      <c r="AT55">
        <f>HYPERLINK("http://www.worldcat.org/oclc/32465279","WorldCat Record")</f>
        <v/>
      </c>
      <c r="AU55" t="inlineStr">
        <is>
          <t>808724068:eng</t>
        </is>
      </c>
      <c r="AV55" t="inlineStr">
        <is>
          <t>32465279</t>
        </is>
      </c>
      <c r="AW55" t="inlineStr">
        <is>
          <t>991002437549702656</t>
        </is>
      </c>
      <c r="AX55" t="inlineStr">
        <is>
          <t>991002437549702656</t>
        </is>
      </c>
      <c r="AY55" t="inlineStr">
        <is>
          <t>2259852850002656</t>
        </is>
      </c>
      <c r="AZ55" t="inlineStr">
        <is>
          <t>BOOK</t>
        </is>
      </c>
      <c r="BB55" t="inlineStr">
        <is>
          <t>9780803944329</t>
        </is>
      </c>
      <c r="BC55" t="inlineStr">
        <is>
          <t>32285002148681</t>
        </is>
      </c>
      <c r="BD55" t="inlineStr">
        <is>
          <t>893786139</t>
        </is>
      </c>
    </row>
    <row r="56">
      <c r="A56" t="inlineStr">
        <is>
          <t>No</t>
        </is>
      </c>
      <c r="B56" t="inlineStr">
        <is>
          <t>HT108 .U7 v.47</t>
        </is>
      </c>
      <c r="C56" t="inlineStr">
        <is>
          <t>0                      HT 0108000U  7                                                       v.47</t>
        </is>
      </c>
      <c r="D56" t="inlineStr">
        <is>
          <t>Dilemmas of urban economic development : issues in theory and practice / edited by Richard D. Bingham, Robert Mier.</t>
        </is>
      </c>
      <c r="E56" t="inlineStr">
        <is>
          <t>V.47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L56" t="inlineStr">
        <is>
          <t>Thousand Oaks, Calif. : Sage Publications, c1997.</t>
        </is>
      </c>
      <c r="M56" t="inlineStr">
        <is>
          <t>1997</t>
        </is>
      </c>
      <c r="O56" t="inlineStr">
        <is>
          <t>eng</t>
        </is>
      </c>
      <c r="P56" t="inlineStr">
        <is>
          <t>cau</t>
        </is>
      </c>
      <c r="Q56" t="inlineStr">
        <is>
          <t>Urban affairs annual reviews ; v. 47</t>
        </is>
      </c>
      <c r="R56" t="inlineStr">
        <is>
          <t xml:space="preserve">HT </t>
        </is>
      </c>
      <c r="S56" t="n">
        <v>3</v>
      </c>
      <c r="T56" t="n">
        <v>3</v>
      </c>
      <c r="U56" t="inlineStr">
        <is>
          <t>2000-11-26</t>
        </is>
      </c>
      <c r="V56" t="inlineStr">
        <is>
          <t>2000-11-26</t>
        </is>
      </c>
      <c r="W56" t="inlineStr">
        <is>
          <t>1997-05-22</t>
        </is>
      </c>
      <c r="X56" t="inlineStr">
        <is>
          <t>1997-05-22</t>
        </is>
      </c>
      <c r="Y56" t="n">
        <v>443</v>
      </c>
      <c r="Z56" t="n">
        <v>350</v>
      </c>
      <c r="AA56" t="n">
        <v>351</v>
      </c>
      <c r="AB56" t="n">
        <v>3</v>
      </c>
      <c r="AC56" t="n">
        <v>3</v>
      </c>
      <c r="AD56" t="n">
        <v>24</v>
      </c>
      <c r="AE56" t="n">
        <v>24</v>
      </c>
      <c r="AF56" t="n">
        <v>8</v>
      </c>
      <c r="AG56" t="n">
        <v>8</v>
      </c>
      <c r="AH56" t="n">
        <v>6</v>
      </c>
      <c r="AI56" t="n">
        <v>6</v>
      </c>
      <c r="AJ56" t="n">
        <v>15</v>
      </c>
      <c r="AK56" t="n">
        <v>15</v>
      </c>
      <c r="AL56" t="n">
        <v>2</v>
      </c>
      <c r="AM56" t="n">
        <v>2</v>
      </c>
      <c r="AN56" t="n">
        <v>1</v>
      </c>
      <c r="AO56" t="n">
        <v>1</v>
      </c>
      <c r="AP56" t="inlineStr">
        <is>
          <t>No</t>
        </is>
      </c>
      <c r="AQ56" t="inlineStr">
        <is>
          <t>Yes</t>
        </is>
      </c>
      <c r="AR56">
        <f>HYPERLINK("http://catalog.hathitrust.org/Record/003150909","HathiTrust Record")</f>
        <v/>
      </c>
      <c r="AS56">
        <f>HYPERLINK("https://creighton-primo.hosted.exlibrisgroup.com/primo-explore/search?tab=default_tab&amp;search_scope=EVERYTHING&amp;vid=01CRU&amp;lang=en_US&amp;offset=0&amp;query=any,contains,991002808489702656","Catalog Record")</f>
        <v/>
      </c>
      <c r="AT56">
        <f>HYPERLINK("http://www.worldcat.org/oclc/36893710","WorldCat Record")</f>
        <v/>
      </c>
      <c r="AU56" t="inlineStr">
        <is>
          <t>793567740:eng</t>
        </is>
      </c>
      <c r="AV56" t="inlineStr">
        <is>
          <t>36893710</t>
        </is>
      </c>
      <c r="AW56" t="inlineStr">
        <is>
          <t>991002808489702656</t>
        </is>
      </c>
      <c r="AX56" t="inlineStr">
        <is>
          <t>991002808489702656</t>
        </is>
      </c>
      <c r="AY56" t="inlineStr">
        <is>
          <t>2262720830002656</t>
        </is>
      </c>
      <c r="AZ56" t="inlineStr">
        <is>
          <t>BOOK</t>
        </is>
      </c>
      <c r="BB56" t="inlineStr">
        <is>
          <t>9780803959194</t>
        </is>
      </c>
      <c r="BC56" t="inlineStr">
        <is>
          <t>32285002610615</t>
        </is>
      </c>
      <c r="BD56" t="inlineStr">
        <is>
          <t>893610327</t>
        </is>
      </c>
    </row>
    <row r="57">
      <c r="A57" t="inlineStr">
        <is>
          <t>No</t>
        </is>
      </c>
      <c r="B57" t="inlineStr">
        <is>
          <t>HT108 .U7 v.48</t>
        </is>
      </c>
      <c r="C57" t="inlineStr">
        <is>
          <t>0                      HT 0108000U  7                                                       v.48</t>
        </is>
      </c>
      <c r="D57" t="inlineStr">
        <is>
          <t>State devolution in America : implications for a diverse society / edited by Lynn A. Staeheli, Janet E. Kodras, Colin Flint.</t>
        </is>
      </c>
      <c r="E57" t="inlineStr">
        <is>
          <t>V.48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L57" t="inlineStr">
        <is>
          <t>Thousand Oaks, Calif. : Sage Publications, c1997.</t>
        </is>
      </c>
      <c r="M57" t="inlineStr">
        <is>
          <t>1997</t>
        </is>
      </c>
      <c r="O57" t="inlineStr">
        <is>
          <t>eng</t>
        </is>
      </c>
      <c r="P57" t="inlineStr">
        <is>
          <t>cau</t>
        </is>
      </c>
      <c r="Q57" t="inlineStr">
        <is>
          <t>Urban affairs annual reviews, 0083-4688 ; v. 48</t>
        </is>
      </c>
      <c r="R57" t="inlineStr">
        <is>
          <t xml:space="preserve">HT </t>
        </is>
      </c>
      <c r="S57" t="n">
        <v>4</v>
      </c>
      <c r="T57" t="n">
        <v>4</v>
      </c>
      <c r="U57" t="inlineStr">
        <is>
          <t>2003-11-13</t>
        </is>
      </c>
      <c r="V57" t="inlineStr">
        <is>
          <t>2003-11-13</t>
        </is>
      </c>
      <c r="W57" t="inlineStr">
        <is>
          <t>1998-06-15</t>
        </is>
      </c>
      <c r="X57" t="inlineStr">
        <is>
          <t>1998-06-15</t>
        </is>
      </c>
      <c r="Y57" t="n">
        <v>410</v>
      </c>
      <c r="Z57" t="n">
        <v>342</v>
      </c>
      <c r="AA57" t="n">
        <v>348</v>
      </c>
      <c r="AB57" t="n">
        <v>3</v>
      </c>
      <c r="AC57" t="n">
        <v>3</v>
      </c>
      <c r="AD57" t="n">
        <v>29</v>
      </c>
      <c r="AE57" t="n">
        <v>29</v>
      </c>
      <c r="AF57" t="n">
        <v>10</v>
      </c>
      <c r="AG57" t="n">
        <v>10</v>
      </c>
      <c r="AH57" t="n">
        <v>8</v>
      </c>
      <c r="AI57" t="n">
        <v>8</v>
      </c>
      <c r="AJ57" t="n">
        <v>16</v>
      </c>
      <c r="AK57" t="n">
        <v>16</v>
      </c>
      <c r="AL57" t="n">
        <v>2</v>
      </c>
      <c r="AM57" t="n">
        <v>2</v>
      </c>
      <c r="AN57" t="n">
        <v>2</v>
      </c>
      <c r="AO57" t="n">
        <v>2</v>
      </c>
      <c r="AP57" t="inlineStr">
        <is>
          <t>No</t>
        </is>
      </c>
      <c r="AQ57" t="inlineStr">
        <is>
          <t>Yes</t>
        </is>
      </c>
      <c r="AR57">
        <f>HYPERLINK("http://catalog.hathitrust.org/Record/003185212","HathiTrust Record")</f>
        <v/>
      </c>
      <c r="AS57">
        <f>HYPERLINK("https://creighton-primo.hosted.exlibrisgroup.com/primo-explore/search?tab=default_tab&amp;search_scope=EVERYTHING&amp;vid=01CRU&amp;lang=en_US&amp;offset=0&amp;query=any,contains,991002856809702656","Catalog Record")</f>
        <v/>
      </c>
      <c r="AT57">
        <f>HYPERLINK("http://www.worldcat.org/oclc/37649971","WorldCat Record")</f>
        <v/>
      </c>
      <c r="AU57" t="inlineStr">
        <is>
          <t>867563503:eng</t>
        </is>
      </c>
      <c r="AV57" t="inlineStr">
        <is>
          <t>37649971</t>
        </is>
      </c>
      <c r="AW57" t="inlineStr">
        <is>
          <t>991002856809702656</t>
        </is>
      </c>
      <c r="AX57" t="inlineStr">
        <is>
          <t>991002856809702656</t>
        </is>
      </c>
      <c r="AY57" t="inlineStr">
        <is>
          <t>2263650080002656</t>
        </is>
      </c>
      <c r="AZ57" t="inlineStr">
        <is>
          <t>BOOK</t>
        </is>
      </c>
      <c r="BB57" t="inlineStr">
        <is>
          <t>9780761908791</t>
        </is>
      </c>
      <c r="BC57" t="inlineStr">
        <is>
          <t>32285003420717</t>
        </is>
      </c>
      <c r="BD57" t="inlineStr">
        <is>
          <t>893317340</t>
        </is>
      </c>
    </row>
    <row r="58">
      <c r="A58" t="inlineStr">
        <is>
          <t>No</t>
        </is>
      </c>
      <c r="B58" t="inlineStr">
        <is>
          <t>HT108 .U7 v.7</t>
        </is>
      </c>
      <c r="C58" t="inlineStr">
        <is>
          <t>0                      HT 0108000U  7                                                       v.7</t>
        </is>
      </c>
      <c r="D58" t="inlineStr">
        <is>
          <t>The Urbanization of the suburbs / edited by Louis H. Masotti and Jeffrey K. Hadden.</t>
        </is>
      </c>
      <c r="E58" t="inlineStr">
        <is>
          <t>V.7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L58" t="inlineStr">
        <is>
          <t>Beverly Hills : Sage Publications, [1973]</t>
        </is>
      </c>
      <c r="M58" t="inlineStr">
        <is>
          <t>1973</t>
        </is>
      </c>
      <c r="O58" t="inlineStr">
        <is>
          <t>eng</t>
        </is>
      </c>
      <c r="P58" t="inlineStr">
        <is>
          <t>cau</t>
        </is>
      </c>
      <c r="Q58" t="inlineStr">
        <is>
          <t>Urban affairs annual reviews ; v. 7</t>
        </is>
      </c>
      <c r="R58" t="inlineStr">
        <is>
          <t xml:space="preserve">HT </t>
        </is>
      </c>
      <c r="S58" t="n">
        <v>1</v>
      </c>
      <c r="T58" t="n">
        <v>1</v>
      </c>
      <c r="U58" t="inlineStr">
        <is>
          <t>2001-10-03</t>
        </is>
      </c>
      <c r="V58" t="inlineStr">
        <is>
          <t>2001-10-03</t>
        </is>
      </c>
      <c r="W58" t="inlineStr">
        <is>
          <t>1993-04-29</t>
        </is>
      </c>
      <c r="X58" t="inlineStr">
        <is>
          <t>1993-04-29</t>
        </is>
      </c>
      <c r="Y58" t="n">
        <v>725</v>
      </c>
      <c r="Z58" t="n">
        <v>609</v>
      </c>
      <c r="AA58" t="n">
        <v>614</v>
      </c>
      <c r="AB58" t="n">
        <v>4</v>
      </c>
      <c r="AC58" t="n">
        <v>4</v>
      </c>
      <c r="AD58" t="n">
        <v>30</v>
      </c>
      <c r="AE58" t="n">
        <v>30</v>
      </c>
      <c r="AF58" t="n">
        <v>11</v>
      </c>
      <c r="AG58" t="n">
        <v>11</v>
      </c>
      <c r="AH58" t="n">
        <v>8</v>
      </c>
      <c r="AI58" t="n">
        <v>8</v>
      </c>
      <c r="AJ58" t="n">
        <v>12</v>
      </c>
      <c r="AK58" t="n">
        <v>12</v>
      </c>
      <c r="AL58" t="n">
        <v>3</v>
      </c>
      <c r="AM58" t="n">
        <v>3</v>
      </c>
      <c r="AN58" t="n">
        <v>4</v>
      </c>
      <c r="AO58" t="n">
        <v>4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HYPERLINK("http://catalog.hathitrust.org/Record/000009563","HathiTrust Record")</f>
        <v/>
      </c>
      <c r="AS58">
        <f>HYPERLINK("https://creighton-primo.hosted.exlibrisgroup.com/primo-explore/search?tab=default_tab&amp;search_scope=EVERYTHING&amp;vid=01CRU&amp;lang=en_US&amp;offset=0&amp;query=any,contains,991003135269702656","Catalog Record")</f>
        <v/>
      </c>
      <c r="AT58">
        <f>HYPERLINK("http://www.worldcat.org/oclc/677162","WorldCat Record")</f>
        <v/>
      </c>
      <c r="AU58" t="inlineStr">
        <is>
          <t>5219233575:eng</t>
        </is>
      </c>
      <c r="AV58" t="inlineStr">
        <is>
          <t>677162</t>
        </is>
      </c>
      <c r="AW58" t="inlineStr">
        <is>
          <t>991003135269702656</t>
        </is>
      </c>
      <c r="AX58" t="inlineStr">
        <is>
          <t>991003135269702656</t>
        </is>
      </c>
      <c r="AY58" t="inlineStr">
        <is>
          <t>2272346590002656</t>
        </is>
      </c>
      <c r="AZ58" t="inlineStr">
        <is>
          <t>BOOK</t>
        </is>
      </c>
      <c r="BB58" t="inlineStr">
        <is>
          <t>9780803901988</t>
        </is>
      </c>
      <c r="BC58" t="inlineStr">
        <is>
          <t>32285001631679</t>
        </is>
      </c>
      <c r="BD58" t="inlineStr">
        <is>
          <t>893227725</t>
        </is>
      </c>
    </row>
    <row r="59">
      <c r="A59" t="inlineStr">
        <is>
          <t>No</t>
        </is>
      </c>
      <c r="B59" t="inlineStr">
        <is>
          <t>HT1081 .A43 1993</t>
        </is>
      </c>
      <c r="C59" t="inlineStr">
        <is>
          <t>0                      HT 1081000A  43          1993</t>
        </is>
      </c>
      <c r="D59" t="inlineStr">
        <is>
          <t>Mujer y esclavitud en Santo Domingo / Celsa Albert Batista.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Albert Batista, Celsa.</t>
        </is>
      </c>
      <c r="L59" t="inlineStr">
        <is>
          <t>Santo Domingo, República Dominicana : Ediciones CEDEE, 1993.</t>
        </is>
      </c>
      <c r="M59" t="inlineStr">
        <is>
          <t>1993</t>
        </is>
      </c>
      <c r="N59" t="inlineStr">
        <is>
          <t>2a ed.</t>
        </is>
      </c>
      <c r="O59" t="inlineStr">
        <is>
          <t>spa</t>
        </is>
      </c>
      <c r="P59" t="inlineStr">
        <is>
          <t xml:space="preserve">dr </t>
        </is>
      </c>
      <c r="Q59" t="inlineStr">
        <is>
          <t>Serie Investigación e identidad</t>
        </is>
      </c>
      <c r="R59" t="inlineStr">
        <is>
          <t xml:space="preserve">HT </t>
        </is>
      </c>
      <c r="S59" t="n">
        <v>1</v>
      </c>
      <c r="T59" t="n">
        <v>1</v>
      </c>
      <c r="U59" t="inlineStr">
        <is>
          <t>2000-02-15</t>
        </is>
      </c>
      <c r="V59" t="inlineStr">
        <is>
          <t>2000-02-15</t>
        </is>
      </c>
      <c r="W59" t="inlineStr">
        <is>
          <t>1996-07-10</t>
        </is>
      </c>
      <c r="X59" t="inlineStr">
        <is>
          <t>1996-07-10</t>
        </is>
      </c>
      <c r="Y59" t="n">
        <v>31</v>
      </c>
      <c r="Z59" t="n">
        <v>31</v>
      </c>
      <c r="AA59" t="n">
        <v>55</v>
      </c>
      <c r="AB59" t="n">
        <v>1</v>
      </c>
      <c r="AC59" t="n">
        <v>1</v>
      </c>
      <c r="AD59" t="n">
        <v>2</v>
      </c>
      <c r="AE59" t="n">
        <v>3</v>
      </c>
      <c r="AF59" t="n">
        <v>0</v>
      </c>
      <c r="AG59" t="n">
        <v>0</v>
      </c>
      <c r="AH59" t="n">
        <v>1</v>
      </c>
      <c r="AI59" t="n">
        <v>2</v>
      </c>
      <c r="AJ59" t="n">
        <v>1</v>
      </c>
      <c r="AK59" t="n">
        <v>2</v>
      </c>
      <c r="AL59" t="n">
        <v>0</v>
      </c>
      <c r="AM59" t="n">
        <v>0</v>
      </c>
      <c r="AN59" t="n">
        <v>0</v>
      </c>
      <c r="AO59" t="n">
        <v>0</v>
      </c>
      <c r="AP59" t="inlineStr">
        <is>
          <t>No</t>
        </is>
      </c>
      <c r="AQ59" t="inlineStr">
        <is>
          <t>Yes</t>
        </is>
      </c>
      <c r="AR59">
        <f>HYPERLINK("http://catalog.hathitrust.org/Record/003071241","HathiTrust Record")</f>
        <v/>
      </c>
      <c r="AS59">
        <f>HYPERLINK("https://creighton-primo.hosted.exlibrisgroup.com/primo-explore/search?tab=default_tab&amp;search_scope=EVERYTHING&amp;vid=01CRU&amp;lang=en_US&amp;offset=0&amp;query=any,contains,991002518989702656","Catalog Record")</f>
        <v/>
      </c>
      <c r="AT59">
        <f>HYPERLINK("http://www.worldcat.org/oclc/32776990","WorldCat Record")</f>
        <v/>
      </c>
      <c r="AU59" t="inlineStr">
        <is>
          <t>27246298:spa</t>
        </is>
      </c>
      <c r="AV59" t="inlineStr">
        <is>
          <t>32776990</t>
        </is>
      </c>
      <c r="AW59" t="inlineStr">
        <is>
          <t>991002518989702656</t>
        </is>
      </c>
      <c r="AX59" t="inlineStr">
        <is>
          <t>991002518989702656</t>
        </is>
      </c>
      <c r="AY59" t="inlineStr">
        <is>
          <t>2260935630002656</t>
        </is>
      </c>
      <c r="AZ59" t="inlineStr">
        <is>
          <t>BOOK</t>
        </is>
      </c>
      <c r="BC59" t="inlineStr">
        <is>
          <t>32285002210523</t>
        </is>
      </c>
      <c r="BD59" t="inlineStr">
        <is>
          <t>893798693</t>
        </is>
      </c>
    </row>
    <row r="60">
      <c r="A60" t="inlineStr">
        <is>
          <t>No</t>
        </is>
      </c>
      <c r="B60" t="inlineStr">
        <is>
          <t>HT1081 .J84 1997</t>
        </is>
      </c>
      <c r="C60" t="inlineStr">
        <is>
          <t>0                      HT 1081000J  84          1997</t>
        </is>
      </c>
      <c r="D60" t="inlineStr">
        <is>
          <t>Bancos, ingenios y esclavos en la época colonial / Amadeo Julián.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Julián, Amadeo, 1943-</t>
        </is>
      </c>
      <c r="L60" t="inlineStr">
        <is>
          <t>Santo Domingo : Banco de Reservas de la República Dominicana, 1997.</t>
        </is>
      </c>
      <c r="M60" t="inlineStr">
        <is>
          <t>1997</t>
        </is>
      </c>
      <c r="O60" t="inlineStr">
        <is>
          <t>spa</t>
        </is>
      </c>
      <c r="P60" t="inlineStr">
        <is>
          <t xml:space="preserve">dr </t>
        </is>
      </c>
      <c r="Q60" t="inlineStr">
        <is>
          <t>Colección Banreservas. Serie Historia ; v. 4</t>
        </is>
      </c>
      <c r="R60" t="inlineStr">
        <is>
          <t xml:space="preserve">HT </t>
        </is>
      </c>
      <c r="S60" t="n">
        <v>3</v>
      </c>
      <c r="T60" t="n">
        <v>3</v>
      </c>
      <c r="U60" t="inlineStr">
        <is>
          <t>2000-02-15</t>
        </is>
      </c>
      <c r="V60" t="inlineStr">
        <is>
          <t>2000-02-15</t>
        </is>
      </c>
      <c r="W60" t="inlineStr">
        <is>
          <t>1998-06-17</t>
        </is>
      </c>
      <c r="X60" t="inlineStr">
        <is>
          <t>1998-06-17</t>
        </is>
      </c>
      <c r="Y60" t="n">
        <v>33</v>
      </c>
      <c r="Z60" t="n">
        <v>30</v>
      </c>
      <c r="AA60" t="n">
        <v>31</v>
      </c>
      <c r="AB60" t="n">
        <v>1</v>
      </c>
      <c r="AC60" t="n">
        <v>1</v>
      </c>
      <c r="AD60" t="n">
        <v>2</v>
      </c>
      <c r="AE60" t="n">
        <v>2</v>
      </c>
      <c r="AF60" t="n">
        <v>0</v>
      </c>
      <c r="AG60" t="n">
        <v>0</v>
      </c>
      <c r="AH60" t="n">
        <v>2</v>
      </c>
      <c r="AI60" t="n">
        <v>2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HYPERLINK("https://creighton-primo.hosted.exlibrisgroup.com/primo-explore/search?tab=default_tab&amp;search_scope=EVERYTHING&amp;vid=01CRU&amp;lang=en_US&amp;offset=0&amp;query=any,contains,991002868309702656","Catalog Record")</f>
        <v/>
      </c>
      <c r="AT60">
        <f>HYPERLINK("http://www.worldcat.org/oclc/37810438","WorldCat Record")</f>
        <v/>
      </c>
      <c r="AU60" t="inlineStr">
        <is>
          <t>45264514:spa</t>
        </is>
      </c>
      <c r="AV60" t="inlineStr">
        <is>
          <t>37810438</t>
        </is>
      </c>
      <c r="AW60" t="inlineStr">
        <is>
          <t>991002868309702656</t>
        </is>
      </c>
      <c r="AX60" t="inlineStr">
        <is>
          <t>991002868309702656</t>
        </is>
      </c>
      <c r="AY60" t="inlineStr">
        <is>
          <t>2271165940002656</t>
        </is>
      </c>
      <c r="AZ60" t="inlineStr">
        <is>
          <t>BOOK</t>
        </is>
      </c>
      <c r="BC60" t="inlineStr">
        <is>
          <t>32285003421772</t>
        </is>
      </c>
      <c r="BD60" t="inlineStr">
        <is>
          <t>893257821</t>
        </is>
      </c>
    </row>
    <row r="61">
      <c r="A61" t="inlineStr">
        <is>
          <t>No</t>
        </is>
      </c>
      <c r="B61" t="inlineStr">
        <is>
          <t>HT1081 .L3 1998</t>
        </is>
      </c>
      <c r="C61" t="inlineStr">
        <is>
          <t>0                      HT 1081000L  3           1998</t>
        </is>
      </c>
      <c r="D61" t="inlineStr">
        <is>
          <t>Los negros y la esclavitud en Santo Domingo / Carlos Larrazábal Blanco.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Larrazábal Blanco, Carlos.</t>
        </is>
      </c>
      <c r="L61" t="inlineStr">
        <is>
          <t>Santo Domingo, República Dominicana : Librería La Trinitaria, 1998.</t>
        </is>
      </c>
      <c r="M61" t="inlineStr">
        <is>
          <t>1998</t>
        </is>
      </c>
      <c r="N61" t="inlineStr">
        <is>
          <t>2. ed.</t>
        </is>
      </c>
      <c r="O61" t="inlineStr">
        <is>
          <t>spa</t>
        </is>
      </c>
      <c r="P61" t="inlineStr">
        <is>
          <t xml:space="preserve">dr </t>
        </is>
      </c>
      <c r="R61" t="inlineStr">
        <is>
          <t xml:space="preserve">HT </t>
        </is>
      </c>
      <c r="S61" t="n">
        <v>2</v>
      </c>
      <c r="T61" t="n">
        <v>2</v>
      </c>
      <c r="U61" t="inlineStr">
        <is>
          <t>2007-10-15</t>
        </is>
      </c>
      <c r="V61" t="inlineStr">
        <is>
          <t>2007-10-15</t>
        </is>
      </c>
      <c r="W61" t="inlineStr">
        <is>
          <t>1999-08-26</t>
        </is>
      </c>
      <c r="X61" t="inlineStr">
        <is>
          <t>1999-08-26</t>
        </is>
      </c>
      <c r="Y61" t="n">
        <v>34</v>
      </c>
      <c r="Z61" t="n">
        <v>30</v>
      </c>
      <c r="AA61" t="n">
        <v>38</v>
      </c>
      <c r="AB61" t="n">
        <v>1</v>
      </c>
      <c r="AC61" t="n">
        <v>1</v>
      </c>
      <c r="AD61" t="n">
        <v>2</v>
      </c>
      <c r="AE61" t="n">
        <v>2</v>
      </c>
      <c r="AF61" t="n">
        <v>0</v>
      </c>
      <c r="AG61" t="n">
        <v>0</v>
      </c>
      <c r="AH61" t="n">
        <v>2</v>
      </c>
      <c r="AI61" t="n">
        <v>2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HYPERLINK("http://catalog.hathitrust.org/Record/004021382","HathiTrust Record")</f>
        <v/>
      </c>
      <c r="AS61">
        <f>HYPERLINK("https://creighton-primo.hosted.exlibrisgroup.com/primo-explore/search?tab=default_tab&amp;search_scope=EVERYTHING&amp;vid=01CRU&amp;lang=en_US&amp;offset=0&amp;query=any,contains,991003035189702656","Catalog Record")</f>
        <v/>
      </c>
      <c r="AT61">
        <f>HYPERLINK("http://www.worldcat.org/oclc/41645271","WorldCat Record")</f>
        <v/>
      </c>
      <c r="AU61" t="inlineStr">
        <is>
          <t>5090616801:spa</t>
        </is>
      </c>
      <c r="AV61" t="inlineStr">
        <is>
          <t>41645271</t>
        </is>
      </c>
      <c r="AW61" t="inlineStr">
        <is>
          <t>991003035189702656</t>
        </is>
      </c>
      <c r="AX61" t="inlineStr">
        <is>
          <t>991003035189702656</t>
        </is>
      </c>
      <c r="AY61" t="inlineStr">
        <is>
          <t>2264114480002656</t>
        </is>
      </c>
      <c r="AZ61" t="inlineStr">
        <is>
          <t>BOOK</t>
        </is>
      </c>
      <c r="BB61" t="inlineStr">
        <is>
          <t>9788489539877</t>
        </is>
      </c>
      <c r="BC61" t="inlineStr">
        <is>
          <t>32285003584702</t>
        </is>
      </c>
      <c r="BD61" t="inlineStr">
        <is>
          <t>893710981</t>
        </is>
      </c>
    </row>
    <row r="62">
      <c r="A62" t="inlineStr">
        <is>
          <t>No</t>
        </is>
      </c>
      <c r="B62" t="inlineStr">
        <is>
          <t>HT1091 .H5 1984</t>
        </is>
      </c>
      <c r="C62" t="inlineStr">
        <is>
          <t>0                      HT 1091000H  5           1984</t>
        </is>
      </c>
      <c r="D62" t="inlineStr">
        <is>
          <t>Slave populations of the British Caribbean, 1807-1834 / B.W. Higman.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Higman, B. W., 1943-</t>
        </is>
      </c>
      <c r="L62" t="inlineStr">
        <is>
          <t>Baltimore : Johns Hopkins University Press, c1984.</t>
        </is>
      </c>
      <c r="M62" t="inlineStr">
        <is>
          <t>1984</t>
        </is>
      </c>
      <c r="O62" t="inlineStr">
        <is>
          <t>eng</t>
        </is>
      </c>
      <c r="P62" t="inlineStr">
        <is>
          <t>mdu</t>
        </is>
      </c>
      <c r="Q62" t="inlineStr">
        <is>
          <t>Johns Hopkins studies in Atlantic history and culture</t>
        </is>
      </c>
      <c r="R62" t="inlineStr">
        <is>
          <t xml:space="preserve">HT </t>
        </is>
      </c>
      <c r="S62" t="n">
        <v>1</v>
      </c>
      <c r="T62" t="n">
        <v>1</v>
      </c>
      <c r="U62" t="inlineStr">
        <is>
          <t>2003-09-23</t>
        </is>
      </c>
      <c r="V62" t="inlineStr">
        <is>
          <t>2003-09-23</t>
        </is>
      </c>
      <c r="W62" t="inlineStr">
        <is>
          <t>1993-05-11</t>
        </is>
      </c>
      <c r="X62" t="inlineStr">
        <is>
          <t>1993-05-11</t>
        </is>
      </c>
      <c r="Y62" t="n">
        <v>537</v>
      </c>
      <c r="Z62" t="n">
        <v>435</v>
      </c>
      <c r="AA62" t="n">
        <v>461</v>
      </c>
      <c r="AB62" t="n">
        <v>3</v>
      </c>
      <c r="AC62" t="n">
        <v>3</v>
      </c>
      <c r="AD62" t="n">
        <v>18</v>
      </c>
      <c r="AE62" t="n">
        <v>18</v>
      </c>
      <c r="AF62" t="n">
        <v>4</v>
      </c>
      <c r="AG62" t="n">
        <v>4</v>
      </c>
      <c r="AH62" t="n">
        <v>7</v>
      </c>
      <c r="AI62" t="n">
        <v>7</v>
      </c>
      <c r="AJ62" t="n">
        <v>12</v>
      </c>
      <c r="AK62" t="n">
        <v>12</v>
      </c>
      <c r="AL62" t="n">
        <v>2</v>
      </c>
      <c r="AM62" t="n">
        <v>2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HYPERLINK("http://catalog.hathitrust.org/Record/000559436","HathiTrust Record")</f>
        <v/>
      </c>
      <c r="AS62">
        <f>HYPERLINK("https://creighton-primo.hosted.exlibrisgroup.com/primo-explore/search?tab=default_tab&amp;search_scope=EVERYTHING&amp;vid=01CRU&amp;lang=en_US&amp;offset=0&amp;query=any,contains,991000308479702656","Catalog Record")</f>
        <v/>
      </c>
      <c r="AT62">
        <f>HYPERLINK("http://www.worldcat.org/oclc/10072910","WorldCat Record")</f>
        <v/>
      </c>
      <c r="AU62" t="inlineStr">
        <is>
          <t>3189637:eng</t>
        </is>
      </c>
      <c r="AV62" t="inlineStr">
        <is>
          <t>10072910</t>
        </is>
      </c>
      <c r="AW62" t="inlineStr">
        <is>
          <t>991000308479702656</t>
        </is>
      </c>
      <c r="AX62" t="inlineStr">
        <is>
          <t>991000308479702656</t>
        </is>
      </c>
      <c r="AY62" t="inlineStr">
        <is>
          <t>2263640280002656</t>
        </is>
      </c>
      <c r="AZ62" t="inlineStr">
        <is>
          <t>BOOK</t>
        </is>
      </c>
      <c r="BB62" t="inlineStr">
        <is>
          <t>9780801830365</t>
        </is>
      </c>
      <c r="BC62" t="inlineStr">
        <is>
          <t>32285001675007</t>
        </is>
      </c>
      <c r="BD62" t="inlineStr">
        <is>
          <t>893438153</t>
        </is>
      </c>
    </row>
    <row r="63">
      <c r="A63" t="inlineStr">
        <is>
          <t>No</t>
        </is>
      </c>
      <c r="B63" t="inlineStr">
        <is>
          <t>HT1092 .G35 1986</t>
        </is>
      </c>
      <c r="C63" t="inlineStr">
        <is>
          <t>0                      HT 1092000G  35          1986</t>
        </is>
      </c>
      <c r="D63" t="inlineStr">
        <is>
          <t>Traders, planters, and slaves : market behavior in early English America / David W. Galenson.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Galenson, David W.</t>
        </is>
      </c>
      <c r="L63" t="inlineStr">
        <is>
          <t>Cambridge [Cambridgeshire] ; New York : Cambridge University Press, 1986.</t>
        </is>
      </c>
      <c r="M63" t="inlineStr">
        <is>
          <t>1986</t>
        </is>
      </c>
      <c r="O63" t="inlineStr">
        <is>
          <t>eng</t>
        </is>
      </c>
      <c r="P63" t="inlineStr">
        <is>
          <t>enk</t>
        </is>
      </c>
      <c r="R63" t="inlineStr">
        <is>
          <t xml:space="preserve">HT </t>
        </is>
      </c>
      <c r="S63" t="n">
        <v>1</v>
      </c>
      <c r="T63" t="n">
        <v>1</v>
      </c>
      <c r="U63" t="inlineStr">
        <is>
          <t>2007-03-02</t>
        </is>
      </c>
      <c r="V63" t="inlineStr">
        <is>
          <t>2007-03-02</t>
        </is>
      </c>
      <c r="W63" t="inlineStr">
        <is>
          <t>1993-05-11</t>
        </is>
      </c>
      <c r="X63" t="inlineStr">
        <is>
          <t>1993-05-11</t>
        </is>
      </c>
      <c r="Y63" t="n">
        <v>574</v>
      </c>
      <c r="Z63" t="n">
        <v>459</v>
      </c>
      <c r="AA63" t="n">
        <v>479</v>
      </c>
      <c r="AB63" t="n">
        <v>5</v>
      </c>
      <c r="AC63" t="n">
        <v>5</v>
      </c>
      <c r="AD63" t="n">
        <v>24</v>
      </c>
      <c r="AE63" t="n">
        <v>24</v>
      </c>
      <c r="AF63" t="n">
        <v>7</v>
      </c>
      <c r="AG63" t="n">
        <v>7</v>
      </c>
      <c r="AH63" t="n">
        <v>8</v>
      </c>
      <c r="AI63" t="n">
        <v>8</v>
      </c>
      <c r="AJ63" t="n">
        <v>12</v>
      </c>
      <c r="AK63" t="n">
        <v>12</v>
      </c>
      <c r="AL63" t="n">
        <v>4</v>
      </c>
      <c r="AM63" t="n">
        <v>4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HYPERLINK("https://creighton-primo.hosted.exlibrisgroup.com/primo-explore/search?tab=default_tab&amp;search_scope=EVERYTHING&amp;vid=01CRU&amp;lang=en_US&amp;offset=0&amp;query=any,contains,991000657989702656","Catalog Record")</f>
        <v/>
      </c>
      <c r="AT63">
        <f>HYPERLINK("http://www.worldcat.org/oclc/12217298","WorldCat Record")</f>
        <v/>
      </c>
      <c r="AU63" t="inlineStr">
        <is>
          <t>795370694:eng</t>
        </is>
      </c>
      <c r="AV63" t="inlineStr">
        <is>
          <t>12217298</t>
        </is>
      </c>
      <c r="AW63" t="inlineStr">
        <is>
          <t>991000657989702656</t>
        </is>
      </c>
      <c r="AX63" t="inlineStr">
        <is>
          <t>991000657989702656</t>
        </is>
      </c>
      <c r="AY63" t="inlineStr">
        <is>
          <t>2267882630002656</t>
        </is>
      </c>
      <c r="AZ63" t="inlineStr">
        <is>
          <t>BOOK</t>
        </is>
      </c>
      <c r="BB63" t="inlineStr">
        <is>
          <t>9780521308458</t>
        </is>
      </c>
      <c r="BC63" t="inlineStr">
        <is>
          <t>32285001680072</t>
        </is>
      </c>
      <c r="BD63" t="inlineStr">
        <is>
          <t>893790737</t>
        </is>
      </c>
    </row>
    <row r="64">
      <c r="A64" t="inlineStr">
        <is>
          <t>No</t>
        </is>
      </c>
      <c r="B64" t="inlineStr">
        <is>
          <t>HT1092 .W37 1988</t>
        </is>
      </c>
      <c r="C64" t="inlineStr">
        <is>
          <t>0                      HT 1092000W  37          1988</t>
        </is>
      </c>
      <c r="D64" t="inlineStr">
        <is>
          <t>British West Indian slavery, 1750-1834 : the process of amelioration / J.R. Ward.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Ward, J. R.</t>
        </is>
      </c>
      <c r="L64" t="inlineStr">
        <is>
          <t>Oxford [England] : Clarendon Press ; New York : Oxford University Press, 1988.</t>
        </is>
      </c>
      <c r="M64" t="inlineStr">
        <is>
          <t>1988</t>
        </is>
      </c>
      <c r="O64" t="inlineStr">
        <is>
          <t>eng</t>
        </is>
      </c>
      <c r="P64" t="inlineStr">
        <is>
          <t>enk</t>
        </is>
      </c>
      <c r="R64" t="inlineStr">
        <is>
          <t xml:space="preserve">HT </t>
        </is>
      </c>
      <c r="S64" t="n">
        <v>2</v>
      </c>
      <c r="T64" t="n">
        <v>2</v>
      </c>
      <c r="U64" t="inlineStr">
        <is>
          <t>1994-10-05</t>
        </is>
      </c>
      <c r="V64" t="inlineStr">
        <is>
          <t>1994-10-05</t>
        </is>
      </c>
      <c r="W64" t="inlineStr">
        <is>
          <t>1993-05-11</t>
        </is>
      </c>
      <c r="X64" t="inlineStr">
        <is>
          <t>1993-05-11</t>
        </is>
      </c>
      <c r="Y64" t="n">
        <v>477</v>
      </c>
      <c r="Z64" t="n">
        <v>350</v>
      </c>
      <c r="AA64" t="n">
        <v>366</v>
      </c>
      <c r="AB64" t="n">
        <v>4</v>
      </c>
      <c r="AC64" t="n">
        <v>4</v>
      </c>
      <c r="AD64" t="n">
        <v>17</v>
      </c>
      <c r="AE64" t="n">
        <v>20</v>
      </c>
      <c r="AF64" t="n">
        <v>5</v>
      </c>
      <c r="AG64" t="n">
        <v>6</v>
      </c>
      <c r="AH64" t="n">
        <v>7</v>
      </c>
      <c r="AI64" t="n">
        <v>7</v>
      </c>
      <c r="AJ64" t="n">
        <v>6</v>
      </c>
      <c r="AK64" t="n">
        <v>9</v>
      </c>
      <c r="AL64" t="n">
        <v>3</v>
      </c>
      <c r="AM64" t="n">
        <v>3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HYPERLINK("http://catalog.hathitrust.org/Record/000925337","HathiTrust Record")</f>
        <v/>
      </c>
      <c r="AS64">
        <f>HYPERLINK("https://creighton-primo.hosted.exlibrisgroup.com/primo-explore/search?tab=default_tab&amp;search_scope=EVERYTHING&amp;vid=01CRU&amp;lang=en_US&amp;offset=0&amp;query=any,contains,991001221589702656","Catalog Record")</f>
        <v/>
      </c>
      <c r="AT64">
        <f>HYPERLINK("http://www.worldcat.org/oclc/17477792","WorldCat Record")</f>
        <v/>
      </c>
      <c r="AU64" t="inlineStr">
        <is>
          <t>15833672:eng</t>
        </is>
      </c>
      <c r="AV64" t="inlineStr">
        <is>
          <t>17477792</t>
        </is>
      </c>
      <c r="AW64" t="inlineStr">
        <is>
          <t>991001221589702656</t>
        </is>
      </c>
      <c r="AX64" t="inlineStr">
        <is>
          <t>991001221589702656</t>
        </is>
      </c>
      <c r="AY64" t="inlineStr">
        <is>
          <t>2267401170002656</t>
        </is>
      </c>
      <c r="AZ64" t="inlineStr">
        <is>
          <t>BOOK</t>
        </is>
      </c>
      <c r="BB64" t="inlineStr">
        <is>
          <t>9780198201441</t>
        </is>
      </c>
      <c r="BC64" t="inlineStr">
        <is>
          <t>32285001680080</t>
        </is>
      </c>
      <c r="BD64" t="inlineStr">
        <is>
          <t>893509482</t>
        </is>
      </c>
    </row>
    <row r="65">
      <c r="A65" t="inlineStr">
        <is>
          <t>No</t>
        </is>
      </c>
      <c r="B65" t="inlineStr">
        <is>
          <t>HT1105.B3 L48</t>
        </is>
      </c>
      <c r="C65" t="inlineStr">
        <is>
          <t>0                      HT 1105000B  3                  L  48</t>
        </is>
      </c>
      <c r="D65" t="inlineStr">
        <is>
          <t>Emancipation, sugar, and federalism : Barbados and the West Indies, 1833-1876 / Claude Levy.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Levy, Claude, 1924-</t>
        </is>
      </c>
      <c r="L65" t="inlineStr">
        <is>
          <t>Gainesville : University Presses of Florida, c1980.</t>
        </is>
      </c>
      <c r="M65" t="inlineStr">
        <is>
          <t>1980</t>
        </is>
      </c>
      <c r="O65" t="inlineStr">
        <is>
          <t>eng</t>
        </is>
      </c>
      <c r="P65" t="inlineStr">
        <is>
          <t>flu</t>
        </is>
      </c>
      <c r="Q65" t="inlineStr">
        <is>
          <t>Latin American monographs ; 2d ser., 25</t>
        </is>
      </c>
      <c r="R65" t="inlineStr">
        <is>
          <t xml:space="preserve">HT </t>
        </is>
      </c>
      <c r="S65" t="n">
        <v>4</v>
      </c>
      <c r="T65" t="n">
        <v>4</v>
      </c>
      <c r="U65" t="inlineStr">
        <is>
          <t>1999-06-01</t>
        </is>
      </c>
      <c r="V65" t="inlineStr">
        <is>
          <t>1999-06-01</t>
        </is>
      </c>
      <c r="W65" t="inlineStr">
        <is>
          <t>1993-05-11</t>
        </is>
      </c>
      <c r="X65" t="inlineStr">
        <is>
          <t>1993-05-11</t>
        </is>
      </c>
      <c r="Y65" t="n">
        <v>356</v>
      </c>
      <c r="Z65" t="n">
        <v>297</v>
      </c>
      <c r="AA65" t="n">
        <v>298</v>
      </c>
      <c r="AB65" t="n">
        <v>3</v>
      </c>
      <c r="AC65" t="n">
        <v>3</v>
      </c>
      <c r="AD65" t="n">
        <v>13</v>
      </c>
      <c r="AE65" t="n">
        <v>13</v>
      </c>
      <c r="AF65" t="n">
        <v>4</v>
      </c>
      <c r="AG65" t="n">
        <v>4</v>
      </c>
      <c r="AH65" t="n">
        <v>3</v>
      </c>
      <c r="AI65" t="n">
        <v>3</v>
      </c>
      <c r="AJ65" t="n">
        <v>6</v>
      </c>
      <c r="AK65" t="n">
        <v>6</v>
      </c>
      <c r="AL65" t="n">
        <v>2</v>
      </c>
      <c r="AM65" t="n">
        <v>2</v>
      </c>
      <c r="AN65" t="n">
        <v>0</v>
      </c>
      <c r="AO65" t="n">
        <v>0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HYPERLINK("https://creighton-primo.hosted.exlibrisgroup.com/primo-explore/search?tab=default_tab&amp;search_scope=EVERYTHING&amp;vid=01CRU&amp;lang=en_US&amp;offset=0&amp;query=any,contains,991004804629702656","Catalog Record")</f>
        <v/>
      </c>
      <c r="AT65">
        <f>HYPERLINK("http://www.worldcat.org/oclc/5239551","WorldCat Record")</f>
        <v/>
      </c>
      <c r="AU65" t="inlineStr">
        <is>
          <t>148073343:eng</t>
        </is>
      </c>
      <c r="AV65" t="inlineStr">
        <is>
          <t>5239551</t>
        </is>
      </c>
      <c r="AW65" t="inlineStr">
        <is>
          <t>991004804629702656</t>
        </is>
      </c>
      <c r="AX65" t="inlineStr">
        <is>
          <t>991004804629702656</t>
        </is>
      </c>
      <c r="AY65" t="inlineStr">
        <is>
          <t>2264333090002656</t>
        </is>
      </c>
      <c r="AZ65" t="inlineStr">
        <is>
          <t>BOOK</t>
        </is>
      </c>
      <c r="BC65" t="inlineStr">
        <is>
          <t>32285001680106</t>
        </is>
      </c>
      <c r="BD65" t="inlineStr">
        <is>
          <t>893719400</t>
        </is>
      </c>
    </row>
    <row r="66">
      <c r="A66" t="inlineStr">
        <is>
          <t>No</t>
        </is>
      </c>
      <c r="B66" t="inlineStr">
        <is>
          <t>HT1105.C37 W67 2002</t>
        </is>
      </c>
      <c r="C66" t="inlineStr">
        <is>
          <t>0                      HT 1105000C  37                 W  67          2002</t>
        </is>
      </c>
      <c r="D66" t="inlineStr">
        <is>
          <t>Working slavery, pricing freedom : perspectives from the Caribbean, Africa and the African diaspora/ edited by Verene A. Shepherd.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New York : Palgrave, 2002.</t>
        </is>
      </c>
      <c r="M66" t="inlineStr">
        <is>
          <t>2002</t>
        </is>
      </c>
      <c r="O66" t="inlineStr">
        <is>
          <t>eng</t>
        </is>
      </c>
      <c r="P66" t="inlineStr">
        <is>
          <t>nyu</t>
        </is>
      </c>
      <c r="R66" t="inlineStr">
        <is>
          <t xml:space="preserve">HT </t>
        </is>
      </c>
      <c r="S66" t="n">
        <v>4</v>
      </c>
      <c r="T66" t="n">
        <v>4</v>
      </c>
      <c r="U66" t="inlineStr">
        <is>
          <t>2010-11-23</t>
        </is>
      </c>
      <c r="V66" t="inlineStr">
        <is>
          <t>2010-11-23</t>
        </is>
      </c>
      <c r="W66" t="inlineStr">
        <is>
          <t>2003-04-09</t>
        </is>
      </c>
      <c r="X66" t="inlineStr">
        <is>
          <t>2003-04-09</t>
        </is>
      </c>
      <c r="Y66" t="n">
        <v>439</v>
      </c>
      <c r="Z66" t="n">
        <v>393</v>
      </c>
      <c r="AA66" t="n">
        <v>410</v>
      </c>
      <c r="AB66" t="n">
        <v>4</v>
      </c>
      <c r="AC66" t="n">
        <v>4</v>
      </c>
      <c r="AD66" t="n">
        <v>28</v>
      </c>
      <c r="AE66" t="n">
        <v>28</v>
      </c>
      <c r="AF66" t="n">
        <v>12</v>
      </c>
      <c r="AG66" t="n">
        <v>12</v>
      </c>
      <c r="AH66" t="n">
        <v>9</v>
      </c>
      <c r="AI66" t="n">
        <v>9</v>
      </c>
      <c r="AJ66" t="n">
        <v>14</v>
      </c>
      <c r="AK66" t="n">
        <v>14</v>
      </c>
      <c r="AL66" t="n">
        <v>3</v>
      </c>
      <c r="AM66" t="n">
        <v>3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HYPERLINK("https://creighton-primo.hosted.exlibrisgroup.com/primo-explore/search?tab=default_tab&amp;search_scope=EVERYTHING&amp;vid=01CRU&amp;lang=en_US&amp;offset=0&amp;query=any,contains,991004017889702656","Catalog Record")</f>
        <v/>
      </c>
      <c r="AT66">
        <f>HYPERLINK("http://www.worldcat.org/oclc/47002262","WorldCat Record")</f>
        <v/>
      </c>
      <c r="AU66" t="inlineStr">
        <is>
          <t>837086435:eng</t>
        </is>
      </c>
      <c r="AV66" t="inlineStr">
        <is>
          <t>47002262</t>
        </is>
      </c>
      <c r="AW66" t="inlineStr">
        <is>
          <t>991004017889702656</t>
        </is>
      </c>
      <c r="AX66" t="inlineStr">
        <is>
          <t>991004017889702656</t>
        </is>
      </c>
      <c r="AY66" t="inlineStr">
        <is>
          <t>2263329540002656</t>
        </is>
      </c>
      <c r="AZ66" t="inlineStr">
        <is>
          <t>BOOK</t>
        </is>
      </c>
      <c r="BB66" t="inlineStr">
        <is>
          <t>9780312293628</t>
        </is>
      </c>
      <c r="BC66" t="inlineStr">
        <is>
          <t>32285004740956</t>
        </is>
      </c>
      <c r="BD66" t="inlineStr">
        <is>
          <t>893234954</t>
        </is>
      </c>
    </row>
    <row r="67">
      <c r="A67" t="inlineStr">
        <is>
          <t>No</t>
        </is>
      </c>
      <c r="B67" t="inlineStr">
        <is>
          <t>HT111 .B4513 1980</t>
        </is>
      </c>
      <c r="C67" t="inlineStr">
        <is>
          <t>0                      HT 0111000B  4513        1980</t>
        </is>
      </c>
      <c r="D67" t="inlineStr">
        <is>
          <t>The history of the city / Leonardo Benevolo ; translated by Geoffrey Culverwell.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Benevolo, Leonardo.</t>
        </is>
      </c>
      <c r="L67" t="inlineStr">
        <is>
          <t>Cambridge, Mass. : MIT Press, 1980, 1981 printing.</t>
        </is>
      </c>
      <c r="M67" t="inlineStr">
        <is>
          <t>1980</t>
        </is>
      </c>
      <c r="N67" t="inlineStr">
        <is>
          <t>1st MIT Press ed.</t>
        </is>
      </c>
      <c r="O67" t="inlineStr">
        <is>
          <t>eng</t>
        </is>
      </c>
      <c r="P67" t="inlineStr">
        <is>
          <t>mau</t>
        </is>
      </c>
      <c r="R67" t="inlineStr">
        <is>
          <t xml:space="preserve">HT </t>
        </is>
      </c>
      <c r="S67" t="n">
        <v>2</v>
      </c>
      <c r="T67" t="n">
        <v>2</v>
      </c>
      <c r="U67" t="inlineStr">
        <is>
          <t>1995-07-20</t>
        </is>
      </c>
      <c r="V67" t="inlineStr">
        <is>
          <t>1995-07-20</t>
        </is>
      </c>
      <c r="W67" t="inlineStr">
        <is>
          <t>1993-04-29</t>
        </is>
      </c>
      <c r="X67" t="inlineStr">
        <is>
          <t>1993-04-29</t>
        </is>
      </c>
      <c r="Y67" t="n">
        <v>488</v>
      </c>
      <c r="Z67" t="n">
        <v>411</v>
      </c>
      <c r="AA67" t="n">
        <v>444</v>
      </c>
      <c r="AB67" t="n">
        <v>2</v>
      </c>
      <c r="AC67" t="n">
        <v>2</v>
      </c>
      <c r="AD67" t="n">
        <v>14</v>
      </c>
      <c r="AE67" t="n">
        <v>17</v>
      </c>
      <c r="AF67" t="n">
        <v>6</v>
      </c>
      <c r="AG67" t="n">
        <v>6</v>
      </c>
      <c r="AH67" t="n">
        <v>3</v>
      </c>
      <c r="AI67" t="n">
        <v>3</v>
      </c>
      <c r="AJ67" t="n">
        <v>9</v>
      </c>
      <c r="AK67" t="n">
        <v>12</v>
      </c>
      <c r="AL67" t="n">
        <v>1</v>
      </c>
      <c r="AM67" t="n">
        <v>1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HYPERLINK("https://creighton-primo.hosted.exlibrisgroup.com/primo-explore/search?tab=default_tab&amp;search_scope=EVERYTHING&amp;vid=01CRU&amp;lang=en_US&amp;offset=0&amp;query=any,contains,991004978169702656","Catalog Record")</f>
        <v/>
      </c>
      <c r="AT67">
        <f>HYPERLINK("http://www.worldcat.org/oclc/6415873","WorldCat Record")</f>
        <v/>
      </c>
      <c r="AU67" t="inlineStr">
        <is>
          <t>422015:eng</t>
        </is>
      </c>
      <c r="AV67" t="inlineStr">
        <is>
          <t>6415873</t>
        </is>
      </c>
      <c r="AW67" t="inlineStr">
        <is>
          <t>991004978169702656</t>
        </is>
      </c>
      <c r="AX67" t="inlineStr">
        <is>
          <t>991004978169702656</t>
        </is>
      </c>
      <c r="AY67" t="inlineStr">
        <is>
          <t>2263034270002656</t>
        </is>
      </c>
      <c r="AZ67" t="inlineStr">
        <is>
          <t>BOOK</t>
        </is>
      </c>
      <c r="BB67" t="inlineStr">
        <is>
          <t>9780262021463</t>
        </is>
      </c>
      <c r="BC67" t="inlineStr">
        <is>
          <t>32285001631851</t>
        </is>
      </c>
      <c r="BD67" t="inlineStr">
        <is>
          <t>893810773</t>
        </is>
      </c>
    </row>
    <row r="68">
      <c r="A68" t="inlineStr">
        <is>
          <t>No</t>
        </is>
      </c>
      <c r="B68" t="inlineStr">
        <is>
          <t>HT111 .B45132 1984</t>
        </is>
      </c>
      <c r="C68" t="inlineStr">
        <is>
          <t>0                      HT 0111000B  45132       1984</t>
        </is>
      </c>
      <c r="D68" t="inlineStr">
        <is>
          <t>Die Geschichte der Stadt / Leonardo Benevolo ; aus dem Italienischen von Jürgen Humburg.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Benevolo, Leonardo.</t>
        </is>
      </c>
      <c r="L68" t="inlineStr">
        <is>
          <t>Frankfurt ; New York : Campus, 1984, c1983.</t>
        </is>
      </c>
      <c r="M68" t="inlineStr">
        <is>
          <t>1984</t>
        </is>
      </c>
      <c r="N68" t="inlineStr">
        <is>
          <t>2. Aufl.</t>
        </is>
      </c>
      <c r="O68" t="inlineStr">
        <is>
          <t>ger</t>
        </is>
      </c>
      <c r="P68" t="inlineStr">
        <is>
          <t xml:space="preserve">gw </t>
        </is>
      </c>
      <c r="R68" t="inlineStr">
        <is>
          <t xml:space="preserve">HT </t>
        </is>
      </c>
      <c r="S68" t="n">
        <v>1</v>
      </c>
      <c r="T68" t="n">
        <v>1</v>
      </c>
      <c r="U68" t="inlineStr">
        <is>
          <t>1995-01-18</t>
        </is>
      </c>
      <c r="V68" t="inlineStr">
        <is>
          <t>1995-01-18</t>
        </is>
      </c>
      <c r="W68" t="inlineStr">
        <is>
          <t>1993-04-29</t>
        </is>
      </c>
      <c r="X68" t="inlineStr">
        <is>
          <t>1993-04-29</t>
        </is>
      </c>
      <c r="Y68" t="n">
        <v>61</v>
      </c>
      <c r="Z68" t="n">
        <v>2</v>
      </c>
      <c r="AA68" t="n">
        <v>11</v>
      </c>
      <c r="AB68" t="n">
        <v>1</v>
      </c>
      <c r="AC68" t="n">
        <v>1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inlineStr">
        <is>
          <t>No</t>
        </is>
      </c>
      <c r="AQ68" t="inlineStr">
        <is>
          <t>No</t>
        </is>
      </c>
      <c r="AS68">
        <f>HYPERLINK("https://creighton-primo.hosted.exlibrisgroup.com/primo-explore/search?tab=default_tab&amp;search_scope=EVERYTHING&amp;vid=01CRU&amp;lang=en_US&amp;offset=0&amp;query=any,contains,991000771549702656","Catalog Record")</f>
        <v/>
      </c>
      <c r="AT68">
        <f>HYPERLINK("http://www.worldcat.org/oclc/13015734","WorldCat Record")</f>
        <v/>
      </c>
      <c r="AU68" t="inlineStr">
        <is>
          <t>422015:ger</t>
        </is>
      </c>
      <c r="AV68" t="inlineStr">
        <is>
          <t>13015734</t>
        </is>
      </c>
      <c r="AW68" t="inlineStr">
        <is>
          <t>991000771549702656</t>
        </is>
      </c>
      <c r="AX68" t="inlineStr">
        <is>
          <t>991000771549702656</t>
        </is>
      </c>
      <c r="AY68" t="inlineStr">
        <is>
          <t>2263796950002656</t>
        </is>
      </c>
      <c r="AZ68" t="inlineStr">
        <is>
          <t>BOOK</t>
        </is>
      </c>
      <c r="BB68" t="inlineStr">
        <is>
          <t>9783593332321</t>
        </is>
      </c>
      <c r="BC68" t="inlineStr">
        <is>
          <t>32285001631869</t>
        </is>
      </c>
      <c r="BD68" t="inlineStr">
        <is>
          <t>893884741</t>
        </is>
      </c>
    </row>
    <row r="69">
      <c r="A69" t="inlineStr">
        <is>
          <t>No</t>
        </is>
      </c>
      <c r="B69" t="inlineStr">
        <is>
          <t>HT111 .C573 1986</t>
        </is>
      </c>
      <c r="C69" t="inlineStr">
        <is>
          <t>0                      HT 0111000C  573         1986</t>
        </is>
      </c>
      <c r="D69" t="inlineStr">
        <is>
          <t>Civitas : religious interpretations of the city / edited by Peter S. Hawkins.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L69" t="inlineStr">
        <is>
          <t>Atlanta, Ga. : Scholars Press, c1986.</t>
        </is>
      </c>
      <c r="M69" t="inlineStr">
        <is>
          <t>1986</t>
        </is>
      </c>
      <c r="O69" t="inlineStr">
        <is>
          <t>eng</t>
        </is>
      </c>
      <c r="P69" t="inlineStr">
        <is>
          <t>gau</t>
        </is>
      </c>
      <c r="Q69" t="inlineStr">
        <is>
          <t>Scholars Press studies in the humanities</t>
        </is>
      </c>
      <c r="R69" t="inlineStr">
        <is>
          <t xml:space="preserve">HT </t>
        </is>
      </c>
      <c r="S69" t="n">
        <v>2</v>
      </c>
      <c r="T69" t="n">
        <v>2</v>
      </c>
      <c r="U69" t="inlineStr">
        <is>
          <t>1996-12-30</t>
        </is>
      </c>
      <c r="V69" t="inlineStr">
        <is>
          <t>1996-12-30</t>
        </is>
      </c>
      <c r="W69" t="inlineStr">
        <is>
          <t>1993-04-29</t>
        </is>
      </c>
      <c r="X69" t="inlineStr">
        <is>
          <t>1993-04-29</t>
        </is>
      </c>
      <c r="Y69" t="n">
        <v>259</v>
      </c>
      <c r="Z69" t="n">
        <v>207</v>
      </c>
      <c r="AA69" t="n">
        <v>238</v>
      </c>
      <c r="AB69" t="n">
        <v>2</v>
      </c>
      <c r="AC69" t="n">
        <v>3</v>
      </c>
      <c r="AD69" t="n">
        <v>12</v>
      </c>
      <c r="AE69" t="n">
        <v>14</v>
      </c>
      <c r="AF69" t="n">
        <v>4</v>
      </c>
      <c r="AG69" t="n">
        <v>5</v>
      </c>
      <c r="AH69" t="n">
        <v>3</v>
      </c>
      <c r="AI69" t="n">
        <v>4</v>
      </c>
      <c r="AJ69" t="n">
        <v>7</v>
      </c>
      <c r="AK69" t="n">
        <v>7</v>
      </c>
      <c r="AL69" t="n">
        <v>1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HYPERLINK("http://catalog.hathitrust.org/Record/000830285","HathiTrust Record")</f>
        <v/>
      </c>
      <c r="AS69">
        <f>HYPERLINK("https://creighton-primo.hosted.exlibrisgroup.com/primo-explore/search?tab=default_tab&amp;search_scope=EVERYTHING&amp;vid=01CRU&amp;lang=en_US&amp;offset=0&amp;query=any,contains,991000783999702656","Catalog Record")</f>
        <v/>
      </c>
      <c r="AT69">
        <f>HYPERLINK("http://www.worldcat.org/oclc/13122171","WorldCat Record")</f>
        <v/>
      </c>
      <c r="AU69" t="inlineStr">
        <is>
          <t>889552027:eng</t>
        </is>
      </c>
      <c r="AV69" t="inlineStr">
        <is>
          <t>13122171</t>
        </is>
      </c>
      <c r="AW69" t="inlineStr">
        <is>
          <t>991000783999702656</t>
        </is>
      </c>
      <c r="AX69" t="inlineStr">
        <is>
          <t>991000783999702656</t>
        </is>
      </c>
      <c r="AY69" t="inlineStr">
        <is>
          <t>2255025100002656</t>
        </is>
      </c>
      <c r="AZ69" t="inlineStr">
        <is>
          <t>BOOK</t>
        </is>
      </c>
      <c r="BB69" t="inlineStr">
        <is>
          <t>9780891309871</t>
        </is>
      </c>
      <c r="BC69" t="inlineStr">
        <is>
          <t>32285001631877</t>
        </is>
      </c>
      <c r="BD69" t="inlineStr">
        <is>
          <t>893708722</t>
        </is>
      </c>
    </row>
    <row r="70">
      <c r="A70" t="inlineStr">
        <is>
          <t>No</t>
        </is>
      </c>
      <c r="B70" t="inlineStr">
        <is>
          <t>HT111 .G47 1985</t>
        </is>
      </c>
      <c r="C70" t="inlineStr">
        <is>
          <t>0                      HT 0111000G  47          1985</t>
        </is>
      </c>
      <c r="D70" t="inlineStr">
        <is>
          <t>Cities &amp; people : a social and architectural history / Mark Girouard.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Girouard, Mark, 1931-</t>
        </is>
      </c>
      <c r="L70" t="inlineStr">
        <is>
          <t>New Haven : Yale University Press, 1985.</t>
        </is>
      </c>
      <c r="M70" t="inlineStr">
        <is>
          <t>1985</t>
        </is>
      </c>
      <c r="O70" t="inlineStr">
        <is>
          <t>eng</t>
        </is>
      </c>
      <c r="P70" t="inlineStr">
        <is>
          <t>ctu</t>
        </is>
      </c>
      <c r="R70" t="inlineStr">
        <is>
          <t xml:space="preserve">HT </t>
        </is>
      </c>
      <c r="S70" t="n">
        <v>4</v>
      </c>
      <c r="T70" t="n">
        <v>4</v>
      </c>
      <c r="U70" t="inlineStr">
        <is>
          <t>2010-09-02</t>
        </is>
      </c>
      <c r="V70" t="inlineStr">
        <is>
          <t>2010-09-02</t>
        </is>
      </c>
      <c r="W70" t="inlineStr">
        <is>
          <t>2009-06-24</t>
        </is>
      </c>
      <c r="X70" t="inlineStr">
        <is>
          <t>2009-06-24</t>
        </is>
      </c>
      <c r="Y70" t="n">
        <v>1532</v>
      </c>
      <c r="Z70" t="n">
        <v>1219</v>
      </c>
      <c r="AA70" t="n">
        <v>1237</v>
      </c>
      <c r="AB70" t="n">
        <v>6</v>
      </c>
      <c r="AC70" t="n">
        <v>6</v>
      </c>
      <c r="AD70" t="n">
        <v>44</v>
      </c>
      <c r="AE70" t="n">
        <v>44</v>
      </c>
      <c r="AF70" t="n">
        <v>20</v>
      </c>
      <c r="AG70" t="n">
        <v>20</v>
      </c>
      <c r="AH70" t="n">
        <v>10</v>
      </c>
      <c r="AI70" t="n">
        <v>10</v>
      </c>
      <c r="AJ70" t="n">
        <v>20</v>
      </c>
      <c r="AK70" t="n">
        <v>20</v>
      </c>
      <c r="AL70" t="n">
        <v>4</v>
      </c>
      <c r="AM70" t="n">
        <v>4</v>
      </c>
      <c r="AN70" t="n">
        <v>1</v>
      </c>
      <c r="AO70" t="n">
        <v>1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HYPERLINK("https://creighton-primo.hosted.exlibrisgroup.com/primo-explore/search?tab=default_tab&amp;search_scope=EVERYTHING&amp;vid=01CRU&amp;lang=en_US&amp;offset=0&amp;query=any,contains,991005324529702656","Catalog Record")</f>
        <v/>
      </c>
      <c r="AT70">
        <f>HYPERLINK("http://www.worldcat.org/oclc/12656209","WorldCat Record")</f>
        <v/>
      </c>
      <c r="AU70" t="inlineStr">
        <is>
          <t>328092818:eng</t>
        </is>
      </c>
      <c r="AV70" t="inlineStr">
        <is>
          <t>12656209</t>
        </is>
      </c>
      <c r="AW70" t="inlineStr">
        <is>
          <t>991005324529702656</t>
        </is>
      </c>
      <c r="AX70" t="inlineStr">
        <is>
          <t>991005324529702656</t>
        </is>
      </c>
      <c r="AY70" t="inlineStr">
        <is>
          <t>2266646490002656</t>
        </is>
      </c>
      <c r="AZ70" t="inlineStr">
        <is>
          <t>BOOK</t>
        </is>
      </c>
      <c r="BB70" t="inlineStr">
        <is>
          <t>9780300035025</t>
        </is>
      </c>
      <c r="BC70" t="inlineStr">
        <is>
          <t>32285005536684</t>
        </is>
      </c>
      <c r="BD70" t="inlineStr">
        <is>
          <t>893431232</t>
        </is>
      </c>
    </row>
    <row r="71">
      <c r="A71" t="inlineStr">
        <is>
          <t>No</t>
        </is>
      </c>
      <c r="B71" t="inlineStr">
        <is>
          <t>HT111 .M8</t>
        </is>
      </c>
      <c r="C71" t="inlineStr">
        <is>
          <t>0                      HT 0111000M  8</t>
        </is>
      </c>
      <c r="D71" t="inlineStr">
        <is>
          <t>The city in history: its origins, its transformations, and its prospects.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Mumford, Lewis, 1895-1990.</t>
        </is>
      </c>
      <c r="L71" t="inlineStr">
        <is>
          <t>New York, Harcourt, Brace &amp; World [1961]</t>
        </is>
      </c>
      <c r="M71" t="inlineStr">
        <is>
          <t>1961</t>
        </is>
      </c>
      <c r="N71" t="inlineStr">
        <is>
          <t>[1st ed.]</t>
        </is>
      </c>
      <c r="O71" t="inlineStr">
        <is>
          <t>eng</t>
        </is>
      </c>
      <c r="P71" t="inlineStr">
        <is>
          <t>nyu</t>
        </is>
      </c>
      <c r="R71" t="inlineStr">
        <is>
          <t xml:space="preserve">HT </t>
        </is>
      </c>
      <c r="S71" t="n">
        <v>2</v>
      </c>
      <c r="T71" t="n">
        <v>2</v>
      </c>
      <c r="U71" t="inlineStr">
        <is>
          <t>2009-12-21</t>
        </is>
      </c>
      <c r="V71" t="inlineStr">
        <is>
          <t>2009-12-21</t>
        </is>
      </c>
      <c r="W71" t="inlineStr">
        <is>
          <t>1997-08-15</t>
        </is>
      </c>
      <c r="X71" t="inlineStr">
        <is>
          <t>1997-08-15</t>
        </is>
      </c>
      <c r="Y71" t="n">
        <v>2114</v>
      </c>
      <c r="Z71" t="n">
        <v>1949</v>
      </c>
      <c r="AA71" t="n">
        <v>2530</v>
      </c>
      <c r="AB71" t="n">
        <v>16</v>
      </c>
      <c r="AC71" t="n">
        <v>19</v>
      </c>
      <c r="AD71" t="n">
        <v>68</v>
      </c>
      <c r="AE71" t="n">
        <v>76</v>
      </c>
      <c r="AF71" t="n">
        <v>26</v>
      </c>
      <c r="AG71" t="n">
        <v>29</v>
      </c>
      <c r="AH71" t="n">
        <v>8</v>
      </c>
      <c r="AI71" t="n">
        <v>10</v>
      </c>
      <c r="AJ71" t="n">
        <v>25</v>
      </c>
      <c r="AK71" t="n">
        <v>27</v>
      </c>
      <c r="AL71" t="n">
        <v>10</v>
      </c>
      <c r="AM71" t="n">
        <v>13</v>
      </c>
      <c r="AN71" t="n">
        <v>11</v>
      </c>
      <c r="AO71" t="n">
        <v>11</v>
      </c>
      <c r="AP71" t="inlineStr">
        <is>
          <t>No</t>
        </is>
      </c>
      <c r="AQ71" t="inlineStr">
        <is>
          <t>Yes</t>
        </is>
      </c>
      <c r="AR71">
        <f>HYPERLINK("http://catalog.hathitrust.org/Record/001117045","HathiTrust Record")</f>
        <v/>
      </c>
      <c r="AS71">
        <f>HYPERLINK("https://creighton-primo.hosted.exlibrisgroup.com/primo-explore/search?tab=default_tab&amp;search_scope=EVERYTHING&amp;vid=01CRU&amp;lang=en_US&amp;offset=0&amp;query=any,contains,991003427779702656","Catalog Record")</f>
        <v/>
      </c>
      <c r="AT71">
        <f>HYPERLINK("http://www.worldcat.org/oclc/964905","WorldCat Record")</f>
        <v/>
      </c>
      <c r="AU71" t="inlineStr">
        <is>
          <t>47997637:eng</t>
        </is>
      </c>
      <c r="AV71" t="inlineStr">
        <is>
          <t>964905</t>
        </is>
      </c>
      <c r="AW71" t="inlineStr">
        <is>
          <t>991003427779702656</t>
        </is>
      </c>
      <c r="AX71" t="inlineStr">
        <is>
          <t>991003427779702656</t>
        </is>
      </c>
      <c r="AY71" t="inlineStr">
        <is>
          <t>2261768610002656</t>
        </is>
      </c>
      <c r="AZ71" t="inlineStr">
        <is>
          <t>BOOK</t>
        </is>
      </c>
      <c r="BC71" t="inlineStr">
        <is>
          <t>32285003145256</t>
        </is>
      </c>
      <c r="BD71" t="inlineStr">
        <is>
          <t>893416364</t>
        </is>
      </c>
    </row>
    <row r="72">
      <c r="A72" t="inlineStr">
        <is>
          <t>No</t>
        </is>
      </c>
      <c r="B72" t="inlineStr">
        <is>
          <t>HT111 .S63 1998</t>
        </is>
      </c>
      <c r="C72" t="inlineStr">
        <is>
          <t>0                      HT 0111000S  63          1998</t>
        </is>
      </c>
      <c r="D72" t="inlineStr">
        <is>
          <t>The city in time and space / Aidan Southall.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Southall, Aidan, 1920-2009.</t>
        </is>
      </c>
      <c r="L72" t="inlineStr">
        <is>
          <t>Cambridge ; New York : Cambridge University Press, 1998.</t>
        </is>
      </c>
      <c r="M72" t="inlineStr">
        <is>
          <t>1998</t>
        </is>
      </c>
      <c r="O72" t="inlineStr">
        <is>
          <t>eng</t>
        </is>
      </c>
      <c r="P72" t="inlineStr">
        <is>
          <t>enk</t>
        </is>
      </c>
      <c r="R72" t="inlineStr">
        <is>
          <t xml:space="preserve">HT </t>
        </is>
      </c>
      <c r="S72" t="n">
        <v>2</v>
      </c>
      <c r="T72" t="n">
        <v>2</v>
      </c>
      <c r="U72" t="inlineStr">
        <is>
          <t>1999-01-29</t>
        </is>
      </c>
      <c r="V72" t="inlineStr">
        <is>
          <t>1999-01-29</t>
        </is>
      </c>
      <c r="W72" t="inlineStr">
        <is>
          <t>1999-01-25</t>
        </is>
      </c>
      <c r="X72" t="inlineStr">
        <is>
          <t>1999-01-25</t>
        </is>
      </c>
      <c r="Y72" t="n">
        <v>437</v>
      </c>
      <c r="Z72" t="n">
        <v>306</v>
      </c>
      <c r="AA72" t="n">
        <v>308</v>
      </c>
      <c r="AB72" t="n">
        <v>3</v>
      </c>
      <c r="AC72" t="n">
        <v>3</v>
      </c>
      <c r="AD72" t="n">
        <v>18</v>
      </c>
      <c r="AE72" t="n">
        <v>18</v>
      </c>
      <c r="AF72" t="n">
        <v>5</v>
      </c>
      <c r="AG72" t="n">
        <v>5</v>
      </c>
      <c r="AH72" t="n">
        <v>6</v>
      </c>
      <c r="AI72" t="n">
        <v>6</v>
      </c>
      <c r="AJ72" t="n">
        <v>11</v>
      </c>
      <c r="AK72" t="n">
        <v>11</v>
      </c>
      <c r="AL72" t="n">
        <v>2</v>
      </c>
      <c r="AM72" t="n">
        <v>2</v>
      </c>
      <c r="AN72" t="n">
        <v>0</v>
      </c>
      <c r="AO72" t="n">
        <v>0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HYPERLINK("https://creighton-primo.hosted.exlibrisgroup.com/primo-explore/search?tab=default_tab&amp;search_scope=EVERYTHING&amp;vid=01CRU&amp;lang=en_US&amp;offset=0&amp;query=any,contains,991002797219702656","Catalog Record")</f>
        <v/>
      </c>
      <c r="AT72">
        <f>HYPERLINK("http://www.worldcat.org/oclc/36746336","WorldCat Record")</f>
        <v/>
      </c>
      <c r="AU72" t="inlineStr">
        <is>
          <t>9489855723:eng</t>
        </is>
      </c>
      <c r="AV72" t="inlineStr">
        <is>
          <t>36746336</t>
        </is>
      </c>
      <c r="AW72" t="inlineStr">
        <is>
          <t>991002797219702656</t>
        </is>
      </c>
      <c r="AX72" t="inlineStr">
        <is>
          <t>991002797219702656</t>
        </is>
      </c>
      <c r="AY72" t="inlineStr">
        <is>
          <t>2263523160002656</t>
        </is>
      </c>
      <c r="AZ72" t="inlineStr">
        <is>
          <t>BOOK</t>
        </is>
      </c>
      <c r="BB72" t="inlineStr">
        <is>
          <t>9780521462112</t>
        </is>
      </c>
      <c r="BC72" t="inlineStr">
        <is>
          <t>32285003482881</t>
        </is>
      </c>
      <c r="BD72" t="inlineStr">
        <is>
          <t>893685795</t>
        </is>
      </c>
    </row>
    <row r="73">
      <c r="A73" t="inlineStr">
        <is>
          <t>No</t>
        </is>
      </c>
      <c r="B73" t="inlineStr">
        <is>
          <t>HT1126 .C455 1983</t>
        </is>
      </c>
      <c r="C73" t="inlineStr">
        <is>
          <t>0                      HT 1126000C  455         1983</t>
        </is>
      </c>
      <c r="D73" t="inlineStr">
        <is>
          <t>Children of God's fire : a documentary history of black slavery in Brazil / [compiled by] Robert Edgar Conrad.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L73" t="inlineStr">
        <is>
          <t>Princeton, N.J. : Princeton University Press, c1983.</t>
        </is>
      </c>
      <c r="M73" t="inlineStr">
        <is>
          <t>1983</t>
        </is>
      </c>
      <c r="O73" t="inlineStr">
        <is>
          <t>eng</t>
        </is>
      </c>
      <c r="P73" t="inlineStr">
        <is>
          <t>nju</t>
        </is>
      </c>
      <c r="R73" t="inlineStr">
        <is>
          <t xml:space="preserve">HT </t>
        </is>
      </c>
      <c r="S73" t="n">
        <v>4</v>
      </c>
      <c r="T73" t="n">
        <v>4</v>
      </c>
      <c r="U73" t="inlineStr">
        <is>
          <t>2006-11-17</t>
        </is>
      </c>
      <c r="V73" t="inlineStr">
        <is>
          <t>2006-11-17</t>
        </is>
      </c>
      <c r="W73" t="inlineStr">
        <is>
          <t>1990-05-03</t>
        </is>
      </c>
      <c r="X73" t="inlineStr">
        <is>
          <t>1990-05-03</t>
        </is>
      </c>
      <c r="Y73" t="n">
        <v>517</v>
      </c>
      <c r="Z73" t="n">
        <v>422</v>
      </c>
      <c r="AA73" t="n">
        <v>595</v>
      </c>
      <c r="AB73" t="n">
        <v>3</v>
      </c>
      <c r="AC73" t="n">
        <v>3</v>
      </c>
      <c r="AD73" t="n">
        <v>20</v>
      </c>
      <c r="AE73" t="n">
        <v>36</v>
      </c>
      <c r="AF73" t="n">
        <v>6</v>
      </c>
      <c r="AG73" t="n">
        <v>18</v>
      </c>
      <c r="AH73" t="n">
        <v>6</v>
      </c>
      <c r="AI73" t="n">
        <v>10</v>
      </c>
      <c r="AJ73" t="n">
        <v>12</v>
      </c>
      <c r="AK73" t="n">
        <v>17</v>
      </c>
      <c r="AL73" t="n">
        <v>2</v>
      </c>
      <c r="AM73" t="n">
        <v>2</v>
      </c>
      <c r="AN73" t="n">
        <v>0</v>
      </c>
      <c r="AO73" t="n">
        <v>0</v>
      </c>
      <c r="AP73" t="inlineStr">
        <is>
          <t>No</t>
        </is>
      </c>
      <c r="AQ73" t="inlineStr">
        <is>
          <t>No</t>
        </is>
      </c>
      <c r="AS73">
        <f>HYPERLINK("https://creighton-primo.hosted.exlibrisgroup.com/primo-explore/search?tab=default_tab&amp;search_scope=EVERYTHING&amp;vid=01CRU&amp;lang=en_US&amp;offset=0&amp;query=any,contains,991000221699702656","Catalog Record")</f>
        <v/>
      </c>
      <c r="AT73">
        <f>HYPERLINK("http://www.worldcat.org/oclc/9576618","WorldCat Record")</f>
        <v/>
      </c>
      <c r="AU73" t="inlineStr">
        <is>
          <t>4160589184:eng</t>
        </is>
      </c>
      <c r="AV73" t="inlineStr">
        <is>
          <t>9576618</t>
        </is>
      </c>
      <c r="AW73" t="inlineStr">
        <is>
          <t>991000221699702656</t>
        </is>
      </c>
      <c r="AX73" t="inlineStr">
        <is>
          <t>991000221699702656</t>
        </is>
      </c>
      <c r="AY73" t="inlineStr">
        <is>
          <t>2267554690002656</t>
        </is>
      </c>
      <c r="AZ73" t="inlineStr">
        <is>
          <t>BOOK</t>
        </is>
      </c>
      <c r="BB73" t="inlineStr">
        <is>
          <t>9780691101538</t>
        </is>
      </c>
      <c r="BC73" t="inlineStr">
        <is>
          <t>32285000148048</t>
        </is>
      </c>
      <c r="BD73" t="inlineStr">
        <is>
          <t>893790352</t>
        </is>
      </c>
    </row>
    <row r="74">
      <c r="A74" t="inlineStr">
        <is>
          <t>No</t>
        </is>
      </c>
      <c r="B74" t="inlineStr">
        <is>
          <t>HT1126 .M3713 1986</t>
        </is>
      </c>
      <c r="C74" t="inlineStr">
        <is>
          <t>0                      HT 1126000M  3713        1986</t>
        </is>
      </c>
      <c r="D74" t="inlineStr">
        <is>
          <t>To be a slave in Brazil, 1550-1888 / Kátia M. de Queirós Mattoso ; translated by Arthur Goldhammer ; foreword by Stuart Schwartz.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Mattoso, Kátia M. de Queirós.</t>
        </is>
      </c>
      <c r="L74" t="inlineStr">
        <is>
          <t>New Brunswick, N.J. : Rutgers University Press, c1986.</t>
        </is>
      </c>
      <c r="M74" t="inlineStr">
        <is>
          <t>1986</t>
        </is>
      </c>
      <c r="O74" t="inlineStr">
        <is>
          <t>eng</t>
        </is>
      </c>
      <c r="P74" t="inlineStr">
        <is>
          <t>nju</t>
        </is>
      </c>
      <c r="R74" t="inlineStr">
        <is>
          <t xml:space="preserve">HT </t>
        </is>
      </c>
      <c r="S74" t="n">
        <v>2</v>
      </c>
      <c r="T74" t="n">
        <v>2</v>
      </c>
      <c r="U74" t="inlineStr">
        <is>
          <t>2002-11-15</t>
        </is>
      </c>
      <c r="V74" t="inlineStr">
        <is>
          <t>2002-11-15</t>
        </is>
      </c>
      <c r="W74" t="inlineStr">
        <is>
          <t>1990-05-03</t>
        </is>
      </c>
      <c r="X74" t="inlineStr">
        <is>
          <t>1990-05-03</t>
        </is>
      </c>
      <c r="Y74" t="n">
        <v>675</v>
      </c>
      <c r="Z74" t="n">
        <v>585</v>
      </c>
      <c r="AA74" t="n">
        <v>586</v>
      </c>
      <c r="AB74" t="n">
        <v>3</v>
      </c>
      <c r="AC74" t="n">
        <v>3</v>
      </c>
      <c r="AD74" t="n">
        <v>29</v>
      </c>
      <c r="AE74" t="n">
        <v>29</v>
      </c>
      <c r="AF74" t="n">
        <v>13</v>
      </c>
      <c r="AG74" t="n">
        <v>13</v>
      </c>
      <c r="AH74" t="n">
        <v>8</v>
      </c>
      <c r="AI74" t="n">
        <v>8</v>
      </c>
      <c r="AJ74" t="n">
        <v>15</v>
      </c>
      <c r="AK74" t="n">
        <v>15</v>
      </c>
      <c r="AL74" t="n">
        <v>2</v>
      </c>
      <c r="AM74" t="n">
        <v>2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HYPERLINK("https://creighton-primo.hosted.exlibrisgroup.com/primo-explore/search?tab=default_tab&amp;search_scope=EVERYTHING&amp;vid=01CRU&amp;lang=en_US&amp;offset=0&amp;query=any,contains,991000755759702656","Catalog Record")</f>
        <v/>
      </c>
      <c r="AT74">
        <f>HYPERLINK("http://www.worldcat.org/oclc/12947069","WorldCat Record")</f>
        <v/>
      </c>
      <c r="AU74" t="inlineStr">
        <is>
          <t>10567872202:eng</t>
        </is>
      </c>
      <c r="AV74" t="inlineStr">
        <is>
          <t>12947069</t>
        </is>
      </c>
      <c r="AW74" t="inlineStr">
        <is>
          <t>991000755759702656</t>
        </is>
      </c>
      <c r="AX74" t="inlineStr">
        <is>
          <t>991000755759702656</t>
        </is>
      </c>
      <c r="AY74" t="inlineStr">
        <is>
          <t>2256553410002656</t>
        </is>
      </c>
      <c r="AZ74" t="inlineStr">
        <is>
          <t>BOOK</t>
        </is>
      </c>
      <c r="BB74" t="inlineStr">
        <is>
          <t>9780813511559</t>
        </is>
      </c>
      <c r="BC74" t="inlineStr">
        <is>
          <t>32285000148055</t>
        </is>
      </c>
      <c r="BD74" t="inlineStr">
        <is>
          <t>893315202</t>
        </is>
      </c>
    </row>
    <row r="75">
      <c r="A75" t="inlineStr">
        <is>
          <t>No</t>
        </is>
      </c>
      <c r="B75" t="inlineStr">
        <is>
          <t>HT1127 .B4</t>
        </is>
      </c>
      <c r="C75" t="inlineStr">
        <is>
          <t>0                      HT 1127000B  4</t>
        </is>
      </c>
      <c r="D75" t="inlineStr">
        <is>
          <t>The abolition of the Brazilian slave trade; Britain, Brazil and the slave trade question, 1807-1869.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Bethell, Leslie.</t>
        </is>
      </c>
      <c r="L75" t="inlineStr">
        <is>
          <t>Cambridge [Eng.] University Press, 1970.</t>
        </is>
      </c>
      <c r="M75" t="inlineStr">
        <is>
          <t>1970</t>
        </is>
      </c>
      <c r="O75" t="inlineStr">
        <is>
          <t>eng</t>
        </is>
      </c>
      <c r="P75" t="inlineStr">
        <is>
          <t>enk</t>
        </is>
      </c>
      <c r="Q75" t="inlineStr">
        <is>
          <t>Cambridge Latin American studies ; 6</t>
        </is>
      </c>
      <c r="R75" t="inlineStr">
        <is>
          <t xml:space="preserve">HT </t>
        </is>
      </c>
      <c r="S75" t="n">
        <v>1</v>
      </c>
      <c r="T75" t="n">
        <v>1</v>
      </c>
      <c r="U75" t="inlineStr">
        <is>
          <t>2001-04-11</t>
        </is>
      </c>
      <c r="V75" t="inlineStr">
        <is>
          <t>2001-04-11</t>
        </is>
      </c>
      <c r="W75" t="inlineStr">
        <is>
          <t>1997-08-19</t>
        </is>
      </c>
      <c r="X75" t="inlineStr">
        <is>
          <t>1997-08-19</t>
        </is>
      </c>
      <c r="Y75" t="n">
        <v>712</v>
      </c>
      <c r="Z75" t="n">
        <v>562</v>
      </c>
      <c r="AA75" t="n">
        <v>573</v>
      </c>
      <c r="AB75" t="n">
        <v>4</v>
      </c>
      <c r="AC75" t="n">
        <v>4</v>
      </c>
      <c r="AD75" t="n">
        <v>32</v>
      </c>
      <c r="AE75" t="n">
        <v>32</v>
      </c>
      <c r="AF75" t="n">
        <v>11</v>
      </c>
      <c r="AG75" t="n">
        <v>11</v>
      </c>
      <c r="AH75" t="n">
        <v>9</v>
      </c>
      <c r="AI75" t="n">
        <v>9</v>
      </c>
      <c r="AJ75" t="n">
        <v>19</v>
      </c>
      <c r="AK75" t="n">
        <v>19</v>
      </c>
      <c r="AL75" t="n">
        <v>3</v>
      </c>
      <c r="AM75" t="n">
        <v>3</v>
      </c>
      <c r="AN75" t="n">
        <v>0</v>
      </c>
      <c r="AO75" t="n">
        <v>0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HYPERLINK("https://creighton-primo.hosted.exlibrisgroup.com/primo-explore/search?tab=default_tab&amp;search_scope=EVERYTHING&amp;vid=01CRU&amp;lang=en_US&amp;offset=0&amp;query=any,contains,991000428709702656","Catalog Record")</f>
        <v/>
      </c>
      <c r="AT75">
        <f>HYPERLINK("http://www.worldcat.org/oclc/75739","WorldCat Record")</f>
        <v/>
      </c>
      <c r="AU75" t="inlineStr">
        <is>
          <t>806963116:eng</t>
        </is>
      </c>
      <c r="AV75" t="inlineStr">
        <is>
          <t>75739</t>
        </is>
      </c>
      <c r="AW75" t="inlineStr">
        <is>
          <t>991000428709702656</t>
        </is>
      </c>
      <c r="AX75" t="inlineStr">
        <is>
          <t>991000428709702656</t>
        </is>
      </c>
      <c r="AY75" t="inlineStr">
        <is>
          <t>2255923530002656</t>
        </is>
      </c>
      <c r="AZ75" t="inlineStr">
        <is>
          <t>BOOK</t>
        </is>
      </c>
      <c r="BB75" t="inlineStr">
        <is>
          <t>9780521075831</t>
        </is>
      </c>
      <c r="BC75" t="inlineStr">
        <is>
          <t>32285003148938</t>
        </is>
      </c>
      <c r="BD75" t="inlineStr">
        <is>
          <t>893444308</t>
        </is>
      </c>
    </row>
    <row r="76">
      <c r="A76" t="inlineStr">
        <is>
          <t>No</t>
        </is>
      </c>
      <c r="B76" t="inlineStr">
        <is>
          <t>HT1128 .T66</t>
        </is>
      </c>
      <c r="C76" t="inlineStr">
        <is>
          <t>0                      HT 1128000T  66</t>
        </is>
      </c>
      <c r="D76" t="inlineStr">
        <is>
          <t>The abolition of slavery in Brazil.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Toplin, Robert Brent, 1940-</t>
        </is>
      </c>
      <c r="L76" t="inlineStr">
        <is>
          <t>New York, Atheneum, 1972 [c1971]</t>
        </is>
      </c>
      <c r="M76" t="inlineStr">
        <is>
          <t>1972</t>
        </is>
      </c>
      <c r="N76" t="inlineStr">
        <is>
          <t>[1st ed.]</t>
        </is>
      </c>
      <c r="O76" t="inlineStr">
        <is>
          <t>eng</t>
        </is>
      </c>
      <c r="P76" t="inlineStr">
        <is>
          <t>nyu</t>
        </is>
      </c>
      <c r="Q76" t="inlineStr">
        <is>
          <t>Studies in American Negro life</t>
        </is>
      </c>
      <c r="R76" t="inlineStr">
        <is>
          <t xml:space="preserve">HT </t>
        </is>
      </c>
      <c r="S76" t="n">
        <v>1</v>
      </c>
      <c r="T76" t="n">
        <v>1</v>
      </c>
      <c r="U76" t="inlineStr">
        <is>
          <t>1998-11-30</t>
        </is>
      </c>
      <c r="V76" t="inlineStr">
        <is>
          <t>1998-11-30</t>
        </is>
      </c>
      <c r="W76" t="inlineStr">
        <is>
          <t>1997-08-19</t>
        </is>
      </c>
      <c r="X76" t="inlineStr">
        <is>
          <t>1997-08-19</t>
        </is>
      </c>
      <c r="Y76" t="n">
        <v>640</v>
      </c>
      <c r="Z76" t="n">
        <v>573</v>
      </c>
      <c r="AA76" t="n">
        <v>611</v>
      </c>
      <c r="AB76" t="n">
        <v>6</v>
      </c>
      <c r="AC76" t="n">
        <v>7</v>
      </c>
      <c r="AD76" t="n">
        <v>30</v>
      </c>
      <c r="AE76" t="n">
        <v>32</v>
      </c>
      <c r="AF76" t="n">
        <v>12</v>
      </c>
      <c r="AG76" t="n">
        <v>13</v>
      </c>
      <c r="AH76" t="n">
        <v>5</v>
      </c>
      <c r="AI76" t="n">
        <v>5</v>
      </c>
      <c r="AJ76" t="n">
        <v>17</v>
      </c>
      <c r="AK76" t="n">
        <v>17</v>
      </c>
      <c r="AL76" t="n">
        <v>5</v>
      </c>
      <c r="AM76" t="n">
        <v>6</v>
      </c>
      <c r="AN76" t="n">
        <v>0</v>
      </c>
      <c r="AO76" t="n">
        <v>0</v>
      </c>
      <c r="AP76" t="inlineStr">
        <is>
          <t>No</t>
        </is>
      </c>
      <c r="AQ76" t="inlineStr">
        <is>
          <t>No</t>
        </is>
      </c>
      <c r="AS76">
        <f>HYPERLINK("https://creighton-primo.hosted.exlibrisgroup.com/primo-explore/search?tab=default_tab&amp;search_scope=EVERYTHING&amp;vid=01CRU&amp;lang=en_US&amp;offset=0&amp;query=any,contains,991002855459702656","Catalog Record")</f>
        <v/>
      </c>
      <c r="AT76">
        <f>HYPERLINK("http://www.worldcat.org/oclc/489529","WorldCat Record")</f>
        <v/>
      </c>
      <c r="AU76" t="inlineStr">
        <is>
          <t>438977:eng</t>
        </is>
      </c>
      <c r="AV76" t="inlineStr">
        <is>
          <t>489529</t>
        </is>
      </c>
      <c r="AW76" t="inlineStr">
        <is>
          <t>991002855459702656</t>
        </is>
      </c>
      <c r="AX76" t="inlineStr">
        <is>
          <t>991002855459702656</t>
        </is>
      </c>
      <c r="AY76" t="inlineStr">
        <is>
          <t>2255558510002656</t>
        </is>
      </c>
      <c r="AZ76" t="inlineStr">
        <is>
          <t>BOOK</t>
        </is>
      </c>
      <c r="BC76" t="inlineStr">
        <is>
          <t>32285003148961</t>
        </is>
      </c>
      <c r="BD76" t="inlineStr">
        <is>
          <t>893616661</t>
        </is>
      </c>
    </row>
    <row r="77">
      <c r="A77" t="inlineStr">
        <is>
          <t>No</t>
        </is>
      </c>
      <c r="B77" t="inlineStr">
        <is>
          <t>HT1129.P36 L38 2002</t>
        </is>
      </c>
      <c r="C77" t="inlineStr">
        <is>
          <t>0                      HT 1129000P  36                 L  38          2002</t>
        </is>
      </c>
      <c r="D77" t="inlineStr">
        <is>
          <t>Caetana says no : women's stories from a Brazilian slave society / Sandra Lauderdale Graham.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Lauderdale Graham, Sandra, 1943-</t>
        </is>
      </c>
      <c r="L77" t="inlineStr">
        <is>
          <t>Cambridge ; New York : Cambridge University Press, 2002.</t>
        </is>
      </c>
      <c r="M77" t="inlineStr">
        <is>
          <t>2002</t>
        </is>
      </c>
      <c r="O77" t="inlineStr">
        <is>
          <t>eng</t>
        </is>
      </c>
      <c r="P77" t="inlineStr">
        <is>
          <t>enk</t>
        </is>
      </c>
      <c r="Q77" t="inlineStr">
        <is>
          <t>New approaches to the Americas</t>
        </is>
      </c>
      <c r="R77" t="inlineStr">
        <is>
          <t xml:space="preserve">HT </t>
        </is>
      </c>
      <c r="S77" t="n">
        <v>1</v>
      </c>
      <c r="T77" t="n">
        <v>1</v>
      </c>
      <c r="U77" t="inlineStr">
        <is>
          <t>2007-02-06</t>
        </is>
      </c>
      <c r="V77" t="inlineStr">
        <is>
          <t>2007-02-06</t>
        </is>
      </c>
      <c r="W77" t="inlineStr">
        <is>
          <t>2007-02-06</t>
        </is>
      </c>
      <c r="X77" t="inlineStr">
        <is>
          <t>2007-02-06</t>
        </is>
      </c>
      <c r="Y77" t="n">
        <v>483</v>
      </c>
      <c r="Z77" t="n">
        <v>419</v>
      </c>
      <c r="AA77" t="n">
        <v>442</v>
      </c>
      <c r="AB77" t="n">
        <v>2</v>
      </c>
      <c r="AC77" t="n">
        <v>2</v>
      </c>
      <c r="AD77" t="n">
        <v>23</v>
      </c>
      <c r="AE77" t="n">
        <v>25</v>
      </c>
      <c r="AF77" t="n">
        <v>12</v>
      </c>
      <c r="AG77" t="n">
        <v>13</v>
      </c>
      <c r="AH77" t="n">
        <v>7</v>
      </c>
      <c r="AI77" t="n">
        <v>7</v>
      </c>
      <c r="AJ77" t="n">
        <v>11</v>
      </c>
      <c r="AK77" t="n">
        <v>12</v>
      </c>
      <c r="AL77" t="n">
        <v>1</v>
      </c>
      <c r="AM77" t="n">
        <v>1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HYPERLINK("http://catalog.hathitrust.org/Record/004283812","HathiTrust Record")</f>
        <v/>
      </c>
      <c r="AS77">
        <f>HYPERLINK("https://creighton-primo.hosted.exlibrisgroup.com/primo-explore/search?tab=default_tab&amp;search_scope=EVERYTHING&amp;vid=01CRU&amp;lang=en_US&amp;offset=0&amp;query=any,contains,991005026779702656","Catalog Record")</f>
        <v/>
      </c>
      <c r="AT77">
        <f>HYPERLINK("http://www.worldcat.org/oclc/49775401","WorldCat Record")</f>
        <v/>
      </c>
      <c r="AU77" t="inlineStr">
        <is>
          <t>1028975:eng</t>
        </is>
      </c>
      <c r="AV77" t="inlineStr">
        <is>
          <t>49775401</t>
        </is>
      </c>
      <c r="AW77" t="inlineStr">
        <is>
          <t>991005026779702656</t>
        </is>
      </c>
      <c r="AX77" t="inlineStr">
        <is>
          <t>991005026779702656</t>
        </is>
      </c>
      <c r="AY77" t="inlineStr">
        <is>
          <t>2258136740002656</t>
        </is>
      </c>
      <c r="AZ77" t="inlineStr">
        <is>
          <t>BOOK</t>
        </is>
      </c>
      <c r="BB77" t="inlineStr">
        <is>
          <t>9780521454865</t>
        </is>
      </c>
      <c r="BC77" t="inlineStr">
        <is>
          <t>32285005275184</t>
        </is>
      </c>
      <c r="BD77" t="inlineStr">
        <is>
          <t>893443294</t>
        </is>
      </c>
    </row>
    <row r="78">
      <c r="A78" t="inlineStr">
        <is>
          <t>No</t>
        </is>
      </c>
      <c r="B78" t="inlineStr">
        <is>
          <t>HT1129.S2 N57 2003</t>
        </is>
      </c>
      <c r="C78" t="inlineStr">
        <is>
          <t>0                      HT 1129000S  2                  N  57          2003</t>
        </is>
      </c>
      <c r="D78" t="inlineStr">
        <is>
          <t>Slavery and identity : ethnicity, gender, and race in Salvador, Brazil, 1808-1888 / Mieko Nishida.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Nishida, Mieko, 1960-</t>
        </is>
      </c>
      <c r="L78" t="inlineStr">
        <is>
          <t>Bloomington : Indiana University Press, c2003.</t>
        </is>
      </c>
      <c r="M78" t="inlineStr">
        <is>
          <t>2003</t>
        </is>
      </c>
      <c r="O78" t="inlineStr">
        <is>
          <t>eng</t>
        </is>
      </c>
      <c r="P78" t="inlineStr">
        <is>
          <t>inu</t>
        </is>
      </c>
      <c r="Q78" t="inlineStr">
        <is>
          <t>Blacks in the diaspora</t>
        </is>
      </c>
      <c r="R78" t="inlineStr">
        <is>
          <t xml:space="preserve">HT </t>
        </is>
      </c>
      <c r="S78" t="n">
        <v>1</v>
      </c>
      <c r="T78" t="n">
        <v>1</v>
      </c>
      <c r="U78" t="inlineStr">
        <is>
          <t>2004-10-26</t>
        </is>
      </c>
      <c r="V78" t="inlineStr">
        <is>
          <t>2004-10-26</t>
        </is>
      </c>
      <c r="W78" t="inlineStr">
        <is>
          <t>2004-10-26</t>
        </is>
      </c>
      <c r="X78" t="inlineStr">
        <is>
          <t>2004-10-26</t>
        </is>
      </c>
      <c r="Y78" t="n">
        <v>355</v>
      </c>
      <c r="Z78" t="n">
        <v>295</v>
      </c>
      <c r="AA78" t="n">
        <v>297</v>
      </c>
      <c r="AB78" t="n">
        <v>3</v>
      </c>
      <c r="AC78" t="n">
        <v>3</v>
      </c>
      <c r="AD78" t="n">
        <v>19</v>
      </c>
      <c r="AE78" t="n">
        <v>19</v>
      </c>
      <c r="AF78" t="n">
        <v>8</v>
      </c>
      <c r="AG78" t="n">
        <v>8</v>
      </c>
      <c r="AH78" t="n">
        <v>6</v>
      </c>
      <c r="AI78" t="n">
        <v>6</v>
      </c>
      <c r="AJ78" t="n">
        <v>10</v>
      </c>
      <c r="AK78" t="n">
        <v>10</v>
      </c>
      <c r="AL78" t="n">
        <v>2</v>
      </c>
      <c r="AM78" t="n">
        <v>2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HYPERLINK("http://catalog.hathitrust.org/Record/101087470","HathiTrust Record")</f>
        <v/>
      </c>
      <c r="AS78">
        <f>HYPERLINK("https://creighton-primo.hosted.exlibrisgroup.com/primo-explore/search?tab=default_tab&amp;search_scope=EVERYTHING&amp;vid=01CRU&amp;lang=en_US&amp;offset=0&amp;query=any,contains,991004363759702656","Catalog Record")</f>
        <v/>
      </c>
      <c r="AT78">
        <f>HYPERLINK("http://www.worldcat.org/oclc/50234968","WorldCat Record")</f>
        <v/>
      </c>
      <c r="AU78" t="inlineStr">
        <is>
          <t>893504:eng</t>
        </is>
      </c>
      <c r="AV78" t="inlineStr">
        <is>
          <t>50234968</t>
        </is>
      </c>
      <c r="AW78" t="inlineStr">
        <is>
          <t>991004363759702656</t>
        </is>
      </c>
      <c r="AX78" t="inlineStr">
        <is>
          <t>991004363759702656</t>
        </is>
      </c>
      <c r="AY78" t="inlineStr">
        <is>
          <t>2262905680002656</t>
        </is>
      </c>
      <c r="AZ78" t="inlineStr">
        <is>
          <t>BOOK</t>
        </is>
      </c>
      <c r="BB78" t="inlineStr">
        <is>
          <t>9780253215819</t>
        </is>
      </c>
      <c r="BC78" t="inlineStr">
        <is>
          <t>32285005006761</t>
        </is>
      </c>
      <c r="BD78" t="inlineStr">
        <is>
          <t>893794770</t>
        </is>
      </c>
    </row>
    <row r="79">
      <c r="A79" t="inlineStr">
        <is>
          <t>No</t>
        </is>
      </c>
      <c r="B79" t="inlineStr">
        <is>
          <t>HT113 .U7 1981</t>
        </is>
      </c>
      <c r="C79" t="inlineStr">
        <is>
          <t>0                      HT 0113000U  7           1981</t>
        </is>
      </c>
      <c r="D79" t="inlineStr">
        <is>
          <t>Urban history : reviews of recent research.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L79" t="inlineStr">
        <is>
          <t>New York : Institute for Research in History : Haworth Press, 1981.</t>
        </is>
      </c>
      <c r="M79" t="inlineStr">
        <is>
          <t>1981</t>
        </is>
      </c>
      <c r="O79" t="inlineStr">
        <is>
          <t>eng</t>
        </is>
      </c>
      <c r="P79" t="inlineStr">
        <is>
          <t>nyu</t>
        </is>
      </c>
      <c r="R79" t="inlineStr">
        <is>
          <t xml:space="preserve">HT </t>
        </is>
      </c>
      <c r="S79" t="n">
        <v>2</v>
      </c>
      <c r="T79" t="n">
        <v>2</v>
      </c>
      <c r="U79" t="inlineStr">
        <is>
          <t>1998-12-21</t>
        </is>
      </c>
      <c r="V79" t="inlineStr">
        <is>
          <t>1998-12-21</t>
        </is>
      </c>
      <c r="W79" t="inlineStr">
        <is>
          <t>1993-04-29</t>
        </is>
      </c>
      <c r="X79" t="inlineStr">
        <is>
          <t>1993-04-29</t>
        </is>
      </c>
      <c r="Y79" t="n">
        <v>72</v>
      </c>
      <c r="Z79" t="n">
        <v>62</v>
      </c>
      <c r="AA79" t="n">
        <v>63</v>
      </c>
      <c r="AB79" t="n">
        <v>1</v>
      </c>
      <c r="AC79" t="n">
        <v>1</v>
      </c>
      <c r="AD79" t="n">
        <v>5</v>
      </c>
      <c r="AE79" t="n">
        <v>5</v>
      </c>
      <c r="AF79" t="n">
        <v>1</v>
      </c>
      <c r="AG79" t="n">
        <v>1</v>
      </c>
      <c r="AH79" t="n">
        <v>0</v>
      </c>
      <c r="AI79" t="n">
        <v>0</v>
      </c>
      <c r="AJ79" t="n">
        <v>5</v>
      </c>
      <c r="AK79" t="n">
        <v>5</v>
      </c>
      <c r="AL79" t="n">
        <v>0</v>
      </c>
      <c r="AM79" t="n">
        <v>0</v>
      </c>
      <c r="AN79" t="n">
        <v>0</v>
      </c>
      <c r="AO79" t="n">
        <v>0</v>
      </c>
      <c r="AP79" t="inlineStr">
        <is>
          <t>No</t>
        </is>
      </c>
      <c r="AQ79" t="inlineStr">
        <is>
          <t>No</t>
        </is>
      </c>
      <c r="AS79">
        <f>HYPERLINK("https://creighton-primo.hosted.exlibrisgroup.com/primo-explore/search?tab=default_tab&amp;search_scope=EVERYTHING&amp;vid=01CRU&amp;lang=en_US&amp;offset=0&amp;query=any,contains,991005080449702656","Catalog Record")</f>
        <v/>
      </c>
      <c r="AT79">
        <f>HYPERLINK("http://www.worldcat.org/oclc/7171174","WorldCat Record")</f>
        <v/>
      </c>
      <c r="AU79" t="inlineStr">
        <is>
          <t>561776:eng</t>
        </is>
      </c>
      <c r="AV79" t="inlineStr">
        <is>
          <t>7171174</t>
        </is>
      </c>
      <c r="AW79" t="inlineStr">
        <is>
          <t>991005080449702656</t>
        </is>
      </c>
      <c r="AX79" t="inlineStr">
        <is>
          <t>991005080449702656</t>
        </is>
      </c>
      <c r="AY79" t="inlineStr">
        <is>
          <t>2255182080002656</t>
        </is>
      </c>
      <c r="AZ79" t="inlineStr">
        <is>
          <t>BOOK</t>
        </is>
      </c>
      <c r="BB79" t="inlineStr">
        <is>
          <t>9780917724268</t>
        </is>
      </c>
      <c r="BC79" t="inlineStr">
        <is>
          <t>32285001631901</t>
        </is>
      </c>
      <c r="BD79" t="inlineStr">
        <is>
          <t>893332380</t>
        </is>
      </c>
    </row>
    <row r="80">
      <c r="A80" t="inlineStr">
        <is>
          <t>No</t>
        </is>
      </c>
      <c r="B80" t="inlineStr">
        <is>
          <t>HT114 .A86 1984</t>
        </is>
      </c>
      <c r="C80" t="inlineStr">
        <is>
          <t>0                      HT 0114000A  86          1984</t>
        </is>
      </c>
      <c r="D80" t="inlineStr">
        <is>
          <t>Aspects of Graeco-Roman urbanism : essays on the classical city / edited by Ronald T. Marchese.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Oxford, England : B.A.R., 1983, c1984.</t>
        </is>
      </c>
      <c r="M80" t="inlineStr">
        <is>
          <t>1983</t>
        </is>
      </c>
      <c r="O80" t="inlineStr">
        <is>
          <t>eng</t>
        </is>
      </c>
      <c r="P80" t="inlineStr">
        <is>
          <t>enk</t>
        </is>
      </c>
      <c r="Q80" t="inlineStr">
        <is>
          <t>BAR international series ; 188</t>
        </is>
      </c>
      <c r="R80" t="inlineStr">
        <is>
          <t xml:space="preserve">HT </t>
        </is>
      </c>
      <c r="S80" t="n">
        <v>1</v>
      </c>
      <c r="T80" t="n">
        <v>1</v>
      </c>
      <c r="U80" t="inlineStr">
        <is>
          <t>1996-12-30</t>
        </is>
      </c>
      <c r="V80" t="inlineStr">
        <is>
          <t>1996-12-30</t>
        </is>
      </c>
      <c r="W80" t="inlineStr">
        <is>
          <t>1993-04-29</t>
        </is>
      </c>
      <c r="X80" t="inlineStr">
        <is>
          <t>1993-04-29</t>
        </is>
      </c>
      <c r="Y80" t="n">
        <v>177</v>
      </c>
      <c r="Z80" t="n">
        <v>95</v>
      </c>
      <c r="AA80" t="n">
        <v>96</v>
      </c>
      <c r="AB80" t="n">
        <v>1</v>
      </c>
      <c r="AC80" t="n">
        <v>1</v>
      </c>
      <c r="AD80" t="n">
        <v>3</v>
      </c>
      <c r="AE80" t="n">
        <v>3</v>
      </c>
      <c r="AF80" t="n">
        <v>0</v>
      </c>
      <c r="AG80" t="n">
        <v>0</v>
      </c>
      <c r="AH80" t="n">
        <v>1</v>
      </c>
      <c r="AI80" t="n">
        <v>1</v>
      </c>
      <c r="AJ80" t="n">
        <v>2</v>
      </c>
      <c r="AK80" t="n">
        <v>2</v>
      </c>
      <c r="AL80" t="n">
        <v>0</v>
      </c>
      <c r="AM80" t="n">
        <v>0</v>
      </c>
      <c r="AN80" t="n">
        <v>0</v>
      </c>
      <c r="AO80" t="n">
        <v>0</v>
      </c>
      <c r="AP80" t="inlineStr">
        <is>
          <t>No</t>
        </is>
      </c>
      <c r="AQ80" t="inlineStr">
        <is>
          <t>No</t>
        </is>
      </c>
      <c r="AS80">
        <f>HYPERLINK("https://creighton-primo.hosted.exlibrisgroup.com/primo-explore/search?tab=default_tab&amp;search_scope=EVERYTHING&amp;vid=01CRU&amp;lang=en_US&amp;offset=0&amp;query=any,contains,991000390679702656","Catalog Record")</f>
        <v/>
      </c>
      <c r="AT80">
        <f>HYPERLINK("http://www.worldcat.org/oclc/10549003","WorldCat Record")</f>
        <v/>
      </c>
      <c r="AU80" t="inlineStr">
        <is>
          <t>806625739:eng</t>
        </is>
      </c>
      <c r="AV80" t="inlineStr">
        <is>
          <t>10549003</t>
        </is>
      </c>
      <c r="AW80" t="inlineStr">
        <is>
          <t>991000390679702656</t>
        </is>
      </c>
      <c r="AX80" t="inlineStr">
        <is>
          <t>991000390679702656</t>
        </is>
      </c>
      <c r="AY80" t="inlineStr">
        <is>
          <t>2259504950002656</t>
        </is>
      </c>
      <c r="AZ80" t="inlineStr">
        <is>
          <t>BOOK</t>
        </is>
      </c>
      <c r="BB80" t="inlineStr">
        <is>
          <t>9780860542407</t>
        </is>
      </c>
      <c r="BC80" t="inlineStr">
        <is>
          <t>32285001631919</t>
        </is>
      </c>
      <c r="BD80" t="inlineStr">
        <is>
          <t>893249294</t>
        </is>
      </c>
    </row>
    <row r="81">
      <c r="A81" t="inlineStr">
        <is>
          <t>No</t>
        </is>
      </c>
      <c r="B81" t="inlineStr">
        <is>
          <t>HT114 .C36 1998</t>
        </is>
      </c>
      <c r="C81" t="inlineStr">
        <is>
          <t>0                      HT 0114000C  36          1998</t>
        </is>
      </c>
      <c r="D81" t="inlineStr">
        <is>
          <t>Capital cities : urban planning and spiritual dimensions : proceedings of the symposium held on May 27-29, 1996, Jerusalem, Israel / edited by Joan Goodnick Westenholz.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L81" t="inlineStr">
        <is>
          <t>Jerusalem : Bible Land Museum Jerusalem, c1998.</t>
        </is>
      </c>
      <c r="M81" t="inlineStr">
        <is>
          <t>1998</t>
        </is>
      </c>
      <c r="O81" t="inlineStr">
        <is>
          <t>eng</t>
        </is>
      </c>
      <c r="P81" t="inlineStr">
        <is>
          <t xml:space="preserve">is </t>
        </is>
      </c>
      <c r="Q81" t="inlineStr">
        <is>
          <t>Bible Lands Museum Jerusalem publications ; no. 2</t>
        </is>
      </c>
      <c r="R81" t="inlineStr">
        <is>
          <t xml:space="preserve">HT </t>
        </is>
      </c>
      <c r="S81" t="n">
        <v>1</v>
      </c>
      <c r="T81" t="n">
        <v>1</v>
      </c>
      <c r="U81" t="inlineStr">
        <is>
          <t>2000-12-04</t>
        </is>
      </c>
      <c r="V81" t="inlineStr">
        <is>
          <t>2000-12-04</t>
        </is>
      </c>
      <c r="W81" t="inlineStr">
        <is>
          <t>2000-12-04</t>
        </is>
      </c>
      <c r="X81" t="inlineStr">
        <is>
          <t>2000-12-04</t>
        </is>
      </c>
      <c r="Y81" t="n">
        <v>109</v>
      </c>
      <c r="Z81" t="n">
        <v>84</v>
      </c>
      <c r="AA81" t="n">
        <v>87</v>
      </c>
      <c r="AB81" t="n">
        <v>1</v>
      </c>
      <c r="AC81" t="n">
        <v>1</v>
      </c>
      <c r="AD81" t="n">
        <v>4</v>
      </c>
      <c r="AE81" t="n">
        <v>4</v>
      </c>
      <c r="AF81" t="n">
        <v>1</v>
      </c>
      <c r="AG81" t="n">
        <v>1</v>
      </c>
      <c r="AH81" t="n">
        <v>2</v>
      </c>
      <c r="AI81" t="n">
        <v>2</v>
      </c>
      <c r="AJ81" t="n">
        <v>3</v>
      </c>
      <c r="AK81" t="n">
        <v>3</v>
      </c>
      <c r="AL81" t="n">
        <v>0</v>
      </c>
      <c r="AM81" t="n">
        <v>0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HYPERLINK("http://catalog.hathitrust.org/Record/004031076","HathiTrust Record")</f>
        <v/>
      </c>
      <c r="AS81">
        <f>HYPERLINK("https://creighton-primo.hosted.exlibrisgroup.com/primo-explore/search?tab=default_tab&amp;search_scope=EVERYTHING&amp;vid=01CRU&amp;lang=en_US&amp;offset=0&amp;query=any,contains,991003317619702656","Catalog Record")</f>
        <v/>
      </c>
      <c r="AT81">
        <f>HYPERLINK("http://www.worldcat.org/oclc/41523857","WorldCat Record")</f>
        <v/>
      </c>
      <c r="AU81" t="inlineStr">
        <is>
          <t>476315026:eng</t>
        </is>
      </c>
      <c r="AV81" t="inlineStr">
        <is>
          <t>41523857</t>
        </is>
      </c>
      <c r="AW81" t="inlineStr">
        <is>
          <t>991003317619702656</t>
        </is>
      </c>
      <c r="AX81" t="inlineStr">
        <is>
          <t>991003317619702656</t>
        </is>
      </c>
      <c r="AY81" t="inlineStr">
        <is>
          <t>2264132260002656</t>
        </is>
      </c>
      <c r="AZ81" t="inlineStr">
        <is>
          <t>BOOK</t>
        </is>
      </c>
      <c r="BB81" t="inlineStr">
        <is>
          <t>9789657027035</t>
        </is>
      </c>
      <c r="BC81" t="inlineStr">
        <is>
          <t>32285004268669</t>
        </is>
      </c>
      <c r="BD81" t="inlineStr">
        <is>
          <t>893330206</t>
        </is>
      </c>
    </row>
    <row r="82">
      <c r="A82" t="inlineStr">
        <is>
          <t>No</t>
        </is>
      </c>
      <c r="B82" t="inlineStr">
        <is>
          <t>HT114 .H35</t>
        </is>
      </c>
      <c r="C82" t="inlineStr">
        <is>
          <t>0                      HT 0114000H  35</t>
        </is>
      </c>
      <c r="D82" t="inlineStr">
        <is>
          <t>The city in the ancient world / by Mason Hammond ; assisted by Lester J. Bartson.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Hammond, Mason, 1903-2002.</t>
        </is>
      </c>
      <c r="L82" t="inlineStr">
        <is>
          <t>Cambridge, Mass. : Harvard University Press, 1972.</t>
        </is>
      </c>
      <c r="M82" t="inlineStr">
        <is>
          <t>1972</t>
        </is>
      </c>
      <c r="O82" t="inlineStr">
        <is>
          <t>eng</t>
        </is>
      </c>
      <c r="P82" t="inlineStr">
        <is>
          <t>mau</t>
        </is>
      </c>
      <c r="Q82" t="inlineStr">
        <is>
          <t>Harvard studies in urban history</t>
        </is>
      </c>
      <c r="R82" t="inlineStr">
        <is>
          <t xml:space="preserve">HT </t>
        </is>
      </c>
      <c r="S82" t="n">
        <v>41</v>
      </c>
      <c r="T82" t="n">
        <v>41</v>
      </c>
      <c r="U82" t="inlineStr">
        <is>
          <t>1999-11-26</t>
        </is>
      </c>
      <c r="V82" t="inlineStr">
        <is>
          <t>1999-11-26</t>
        </is>
      </c>
      <c r="W82" t="inlineStr">
        <is>
          <t>1992-09-23</t>
        </is>
      </c>
      <c r="X82" t="inlineStr">
        <is>
          <t>1992-09-23</t>
        </is>
      </c>
      <c r="Y82" t="n">
        <v>900</v>
      </c>
      <c r="Z82" t="n">
        <v>718</v>
      </c>
      <c r="AA82" t="n">
        <v>728</v>
      </c>
      <c r="AB82" t="n">
        <v>5</v>
      </c>
      <c r="AC82" t="n">
        <v>5</v>
      </c>
      <c r="AD82" t="n">
        <v>35</v>
      </c>
      <c r="AE82" t="n">
        <v>35</v>
      </c>
      <c r="AF82" t="n">
        <v>12</v>
      </c>
      <c r="AG82" t="n">
        <v>12</v>
      </c>
      <c r="AH82" t="n">
        <v>7</v>
      </c>
      <c r="AI82" t="n">
        <v>7</v>
      </c>
      <c r="AJ82" t="n">
        <v>21</v>
      </c>
      <c r="AK82" t="n">
        <v>21</v>
      </c>
      <c r="AL82" t="n">
        <v>4</v>
      </c>
      <c r="AM82" t="n">
        <v>4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HYPERLINK("http://catalog.hathitrust.org/Record/000006452","HathiTrust Record")</f>
        <v/>
      </c>
      <c r="AS82">
        <f>HYPERLINK("https://creighton-primo.hosted.exlibrisgroup.com/primo-explore/search?tab=default_tab&amp;search_scope=EVERYTHING&amp;vid=01CRU&amp;lang=en_US&amp;offset=0&amp;query=any,contains,991002842939702656","Catalog Record")</f>
        <v/>
      </c>
      <c r="AT82">
        <f>HYPERLINK("http://www.worldcat.org/oclc/483384","WorldCat Record")</f>
        <v/>
      </c>
      <c r="AU82" t="inlineStr">
        <is>
          <t>312743945:eng</t>
        </is>
      </c>
      <c r="AV82" t="inlineStr">
        <is>
          <t>483384</t>
        </is>
      </c>
      <c r="AW82" t="inlineStr">
        <is>
          <t>991002842939702656</t>
        </is>
      </c>
      <c r="AX82" t="inlineStr">
        <is>
          <t>991002842939702656</t>
        </is>
      </c>
      <c r="AY82" t="inlineStr">
        <is>
          <t>2256375420002656</t>
        </is>
      </c>
      <c r="AZ82" t="inlineStr">
        <is>
          <t>BOOK</t>
        </is>
      </c>
      <c r="BC82" t="inlineStr">
        <is>
          <t>32285001320729</t>
        </is>
      </c>
      <c r="BD82" t="inlineStr">
        <is>
          <t>893347991</t>
        </is>
      </c>
    </row>
    <row r="83">
      <c r="A83" t="inlineStr">
        <is>
          <t>No</t>
        </is>
      </c>
      <c r="B83" t="inlineStr">
        <is>
          <t>HT114 .O93 1992</t>
        </is>
      </c>
      <c r="C83" t="inlineStr">
        <is>
          <t>0                      HT 0114000O  93          1992</t>
        </is>
      </c>
      <c r="D83" t="inlineStr">
        <is>
          <t>The city in the Greek and Roman world / E.J. Owens.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Owens, E. J., 1950-</t>
        </is>
      </c>
      <c r="L83" t="inlineStr">
        <is>
          <t>London : Routledge, 1992, c1991.</t>
        </is>
      </c>
      <c r="M83" t="inlineStr">
        <is>
          <t>1992</t>
        </is>
      </c>
      <c r="O83" t="inlineStr">
        <is>
          <t>eng</t>
        </is>
      </c>
      <c r="P83" t="inlineStr">
        <is>
          <t>enk</t>
        </is>
      </c>
      <c r="R83" t="inlineStr">
        <is>
          <t xml:space="preserve">HT </t>
        </is>
      </c>
      <c r="S83" t="n">
        <v>7</v>
      </c>
      <c r="T83" t="n">
        <v>7</v>
      </c>
      <c r="U83" t="inlineStr">
        <is>
          <t>1998-01-28</t>
        </is>
      </c>
      <c r="V83" t="inlineStr">
        <is>
          <t>1998-01-28</t>
        </is>
      </c>
      <c r="W83" t="inlineStr">
        <is>
          <t>1994-01-26</t>
        </is>
      </c>
      <c r="X83" t="inlineStr">
        <is>
          <t>1994-01-26</t>
        </is>
      </c>
      <c r="Y83" t="n">
        <v>596</v>
      </c>
      <c r="Z83" t="n">
        <v>417</v>
      </c>
      <c r="AA83" t="n">
        <v>458</v>
      </c>
      <c r="AB83" t="n">
        <v>3</v>
      </c>
      <c r="AC83" t="n">
        <v>3</v>
      </c>
      <c r="AD83" t="n">
        <v>31</v>
      </c>
      <c r="AE83" t="n">
        <v>31</v>
      </c>
      <c r="AF83" t="n">
        <v>13</v>
      </c>
      <c r="AG83" t="n">
        <v>13</v>
      </c>
      <c r="AH83" t="n">
        <v>7</v>
      </c>
      <c r="AI83" t="n">
        <v>7</v>
      </c>
      <c r="AJ83" t="n">
        <v>19</v>
      </c>
      <c r="AK83" t="n">
        <v>19</v>
      </c>
      <c r="AL83" t="n">
        <v>2</v>
      </c>
      <c r="AM83" t="n">
        <v>2</v>
      </c>
      <c r="AN83" t="n">
        <v>0</v>
      </c>
      <c r="AO83" t="n">
        <v>0</v>
      </c>
      <c r="AP83" t="inlineStr">
        <is>
          <t>No</t>
        </is>
      </c>
      <c r="AQ83" t="inlineStr">
        <is>
          <t>Yes</t>
        </is>
      </c>
      <c r="AR83">
        <f>HYPERLINK("http://catalog.hathitrust.org/Record/002449965","HathiTrust Record")</f>
        <v/>
      </c>
      <c r="AS83">
        <f>HYPERLINK("https://creighton-primo.hosted.exlibrisgroup.com/primo-explore/search?tab=default_tab&amp;search_scope=EVERYTHING&amp;vid=01CRU&amp;lang=en_US&amp;offset=0&amp;query=any,contains,991002099479702656","Catalog Record")</f>
        <v/>
      </c>
      <c r="AT83">
        <f>HYPERLINK("http://www.worldcat.org/oclc/21297024","WorldCat Record")</f>
        <v/>
      </c>
      <c r="AU83" t="inlineStr">
        <is>
          <t>20660618:eng</t>
        </is>
      </c>
      <c r="AV83" t="inlineStr">
        <is>
          <t>21297024</t>
        </is>
      </c>
      <c r="AW83" t="inlineStr">
        <is>
          <t>991002099479702656</t>
        </is>
      </c>
      <c r="AX83" t="inlineStr">
        <is>
          <t>991002099479702656</t>
        </is>
      </c>
      <c r="AY83" t="inlineStr">
        <is>
          <t>2263286540002656</t>
        </is>
      </c>
      <c r="AZ83" t="inlineStr">
        <is>
          <t>BOOK</t>
        </is>
      </c>
      <c r="BB83" t="inlineStr">
        <is>
          <t>9780415082242</t>
        </is>
      </c>
      <c r="BC83" t="inlineStr">
        <is>
          <t>32285001833747</t>
        </is>
      </c>
      <c r="BD83" t="inlineStr">
        <is>
          <t>893439765</t>
        </is>
      </c>
    </row>
    <row r="84">
      <c r="A84" t="inlineStr">
        <is>
          <t>No</t>
        </is>
      </c>
      <c r="B84" t="inlineStr">
        <is>
          <t>HT114 .U74 2001</t>
        </is>
      </c>
      <c r="C84" t="inlineStr">
        <is>
          <t>0                      HT 0114000U  74          2001</t>
        </is>
      </c>
      <c r="D84" t="inlineStr">
        <is>
          <t>Urbanism in the Aegean Bronze Age / edited by Keith Branigan.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L84" t="inlineStr">
        <is>
          <t>London ; New York : Sheffield Academic Press, c2001.</t>
        </is>
      </c>
      <c r="M84" t="inlineStr">
        <is>
          <t>2001</t>
        </is>
      </c>
      <c r="O84" t="inlineStr">
        <is>
          <t>eng</t>
        </is>
      </c>
      <c r="P84" t="inlineStr">
        <is>
          <t>enk</t>
        </is>
      </c>
      <c r="Q84" t="inlineStr">
        <is>
          <t>Sheffield studies in Aegean archaeology ; 4</t>
        </is>
      </c>
      <c r="R84" t="inlineStr">
        <is>
          <t xml:space="preserve">HT </t>
        </is>
      </c>
      <c r="S84" t="n">
        <v>1</v>
      </c>
      <c r="T84" t="n">
        <v>1</v>
      </c>
      <c r="U84" t="inlineStr">
        <is>
          <t>2010-05-19</t>
        </is>
      </c>
      <c r="V84" t="inlineStr">
        <is>
          <t>2010-05-19</t>
        </is>
      </c>
      <c r="W84" t="inlineStr">
        <is>
          <t>2010-05-19</t>
        </is>
      </c>
      <c r="X84" t="inlineStr">
        <is>
          <t>2010-05-19</t>
        </is>
      </c>
      <c r="Y84" t="n">
        <v>137</v>
      </c>
      <c r="Z84" t="n">
        <v>75</v>
      </c>
      <c r="AA84" t="n">
        <v>820</v>
      </c>
      <c r="AB84" t="n">
        <v>1</v>
      </c>
      <c r="AC84" t="n">
        <v>14</v>
      </c>
      <c r="AD84" t="n">
        <v>1</v>
      </c>
      <c r="AE84" t="n">
        <v>28</v>
      </c>
      <c r="AF84" t="n">
        <v>0</v>
      </c>
      <c r="AG84" t="n">
        <v>7</v>
      </c>
      <c r="AH84" t="n">
        <v>1</v>
      </c>
      <c r="AI84" t="n">
        <v>5</v>
      </c>
      <c r="AJ84" t="n">
        <v>1</v>
      </c>
      <c r="AK84" t="n">
        <v>7</v>
      </c>
      <c r="AL84" t="n">
        <v>0</v>
      </c>
      <c r="AM84" t="n">
        <v>12</v>
      </c>
      <c r="AN84" t="n">
        <v>0</v>
      </c>
      <c r="AO84" t="n">
        <v>1</v>
      </c>
      <c r="AP84" t="inlineStr">
        <is>
          <t>No</t>
        </is>
      </c>
      <c r="AQ84" t="inlineStr">
        <is>
          <t>No</t>
        </is>
      </c>
      <c r="AS84">
        <f>HYPERLINK("https://creighton-primo.hosted.exlibrisgroup.com/primo-explore/search?tab=default_tab&amp;search_scope=EVERYTHING&amp;vid=01CRU&amp;lang=en_US&amp;offset=0&amp;query=any,contains,991005391979702656","Catalog Record")</f>
        <v/>
      </c>
      <c r="AT84">
        <f>HYPERLINK("http://www.worldcat.org/oclc/49299239","WorldCat Record")</f>
        <v/>
      </c>
      <c r="AU84" t="inlineStr">
        <is>
          <t>350530618:eng</t>
        </is>
      </c>
      <c r="AV84" t="inlineStr">
        <is>
          <t>49299239</t>
        </is>
      </c>
      <c r="AW84" t="inlineStr">
        <is>
          <t>991005391979702656</t>
        </is>
      </c>
      <c r="AX84" t="inlineStr">
        <is>
          <t>991005391979702656</t>
        </is>
      </c>
      <c r="AY84" t="inlineStr">
        <is>
          <t>2255881700002656</t>
        </is>
      </c>
      <c r="AZ84" t="inlineStr">
        <is>
          <t>BOOK</t>
        </is>
      </c>
      <c r="BB84" t="inlineStr">
        <is>
          <t>9781841273419</t>
        </is>
      </c>
      <c r="BC84" t="inlineStr">
        <is>
          <t>32285005584973</t>
        </is>
      </c>
      <c r="BD84" t="inlineStr">
        <is>
          <t>893695264</t>
        </is>
      </c>
    </row>
    <row r="85">
      <c r="A85" t="inlineStr">
        <is>
          <t>No</t>
        </is>
      </c>
      <c r="B85" t="inlineStr">
        <is>
          <t>HT115 .N53 1997</t>
        </is>
      </c>
      <c r="C85" t="inlineStr">
        <is>
          <t>0                      HT 0115000N  53          1997</t>
        </is>
      </c>
      <c r="D85" t="inlineStr">
        <is>
          <t>The growth of the medieval city : from late antiquity to the early fourteenth century / David Nicholas.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Nicholas, David, 1939-</t>
        </is>
      </c>
      <c r="L85" t="inlineStr">
        <is>
          <t>London ; New York : Longman, 1997.</t>
        </is>
      </c>
      <c r="M85" t="inlineStr">
        <is>
          <t>1997</t>
        </is>
      </c>
      <c r="O85" t="inlineStr">
        <is>
          <t>eng</t>
        </is>
      </c>
      <c r="P85" t="inlineStr">
        <is>
          <t>enk</t>
        </is>
      </c>
      <c r="Q85" t="inlineStr">
        <is>
          <t>A history of urban society in Europe</t>
        </is>
      </c>
      <c r="R85" t="inlineStr">
        <is>
          <t xml:space="preserve">HT </t>
        </is>
      </c>
      <c r="S85" t="n">
        <v>3</v>
      </c>
      <c r="T85" t="n">
        <v>3</v>
      </c>
      <c r="U85" t="inlineStr">
        <is>
          <t>1999-04-16</t>
        </is>
      </c>
      <c r="V85" t="inlineStr">
        <is>
          <t>1999-04-16</t>
        </is>
      </c>
      <c r="W85" t="inlineStr">
        <is>
          <t>1998-03-26</t>
        </is>
      </c>
      <c r="X85" t="inlineStr">
        <is>
          <t>1998-03-26</t>
        </is>
      </c>
      <c r="Y85" t="n">
        <v>541</v>
      </c>
      <c r="Z85" t="n">
        <v>399</v>
      </c>
      <c r="AA85" t="n">
        <v>424</v>
      </c>
      <c r="AB85" t="n">
        <v>3</v>
      </c>
      <c r="AC85" t="n">
        <v>3</v>
      </c>
      <c r="AD85" t="n">
        <v>26</v>
      </c>
      <c r="AE85" t="n">
        <v>26</v>
      </c>
      <c r="AF85" t="n">
        <v>9</v>
      </c>
      <c r="AG85" t="n">
        <v>9</v>
      </c>
      <c r="AH85" t="n">
        <v>9</v>
      </c>
      <c r="AI85" t="n">
        <v>9</v>
      </c>
      <c r="AJ85" t="n">
        <v>15</v>
      </c>
      <c r="AK85" t="n">
        <v>15</v>
      </c>
      <c r="AL85" t="n">
        <v>2</v>
      </c>
      <c r="AM85" t="n">
        <v>2</v>
      </c>
      <c r="AN85" t="n">
        <v>0</v>
      </c>
      <c r="AO85" t="n">
        <v>0</v>
      </c>
      <c r="AP85" t="inlineStr">
        <is>
          <t>No</t>
        </is>
      </c>
      <c r="AQ85" t="inlineStr">
        <is>
          <t>Yes</t>
        </is>
      </c>
      <c r="AR85">
        <f>HYPERLINK("http://catalog.hathitrust.org/Record/003153989","HathiTrust Record")</f>
        <v/>
      </c>
      <c r="AS85">
        <f>HYPERLINK("https://creighton-primo.hosted.exlibrisgroup.com/primo-explore/search?tab=default_tab&amp;search_scope=EVERYTHING&amp;vid=01CRU&amp;lang=en_US&amp;offset=0&amp;query=any,contains,991002686669702656","Catalog Record")</f>
        <v/>
      </c>
      <c r="AT85">
        <f>HYPERLINK("http://www.worldcat.org/oclc/35102837","WorldCat Record")</f>
        <v/>
      </c>
      <c r="AU85" t="inlineStr">
        <is>
          <t>807475367:eng</t>
        </is>
      </c>
      <c r="AV85" t="inlineStr">
        <is>
          <t>35102837</t>
        </is>
      </c>
      <c r="AW85" t="inlineStr">
        <is>
          <t>991002686669702656</t>
        </is>
      </c>
      <c r="AX85" t="inlineStr">
        <is>
          <t>991002686669702656</t>
        </is>
      </c>
      <c r="AY85" t="inlineStr">
        <is>
          <t>2267593850002656</t>
        </is>
      </c>
      <c r="AZ85" t="inlineStr">
        <is>
          <t>BOOK</t>
        </is>
      </c>
      <c r="BB85" t="inlineStr">
        <is>
          <t>9780582299061</t>
        </is>
      </c>
      <c r="BC85" t="inlineStr">
        <is>
          <t>32285003381091</t>
        </is>
      </c>
      <c r="BD85" t="inlineStr">
        <is>
          <t>893347797</t>
        </is>
      </c>
    </row>
    <row r="86">
      <c r="A86" t="inlineStr">
        <is>
          <t>No</t>
        </is>
      </c>
      <c r="B86" t="inlineStr">
        <is>
          <t>HT115 .N55 1997</t>
        </is>
      </c>
      <c r="C86" t="inlineStr">
        <is>
          <t>0                      HT 0115000N  55          1997</t>
        </is>
      </c>
      <c r="D86" t="inlineStr">
        <is>
          <t>The later medieval city, 1300-1500 / David Nicholas.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Nicholas, David, 1939-</t>
        </is>
      </c>
      <c r="L86" t="inlineStr">
        <is>
          <t>London ; New York : Longman, 1997.</t>
        </is>
      </c>
      <c r="M86" t="inlineStr">
        <is>
          <t>1997</t>
        </is>
      </c>
      <c r="O86" t="inlineStr">
        <is>
          <t>eng</t>
        </is>
      </c>
      <c r="P86" t="inlineStr">
        <is>
          <t>enk</t>
        </is>
      </c>
      <c r="Q86" t="inlineStr">
        <is>
          <t>A history of urban society in Europe</t>
        </is>
      </c>
      <c r="R86" t="inlineStr">
        <is>
          <t xml:space="preserve">HT </t>
        </is>
      </c>
      <c r="S86" t="n">
        <v>8</v>
      </c>
      <c r="T86" t="n">
        <v>8</v>
      </c>
      <c r="U86" t="inlineStr">
        <is>
          <t>2007-09-13</t>
        </is>
      </c>
      <c r="V86" t="inlineStr">
        <is>
          <t>2007-09-13</t>
        </is>
      </c>
      <c r="W86" t="inlineStr">
        <is>
          <t>1998-01-22</t>
        </is>
      </c>
      <c r="X86" t="inlineStr">
        <is>
          <t>1998-01-22</t>
        </is>
      </c>
      <c r="Y86" t="n">
        <v>506</v>
      </c>
      <c r="Z86" t="n">
        <v>355</v>
      </c>
      <c r="AA86" t="n">
        <v>356</v>
      </c>
      <c r="AB86" t="n">
        <v>3</v>
      </c>
      <c r="AC86" t="n">
        <v>3</v>
      </c>
      <c r="AD86" t="n">
        <v>20</v>
      </c>
      <c r="AE86" t="n">
        <v>20</v>
      </c>
      <c r="AF86" t="n">
        <v>6</v>
      </c>
      <c r="AG86" t="n">
        <v>6</v>
      </c>
      <c r="AH86" t="n">
        <v>6</v>
      </c>
      <c r="AI86" t="n">
        <v>6</v>
      </c>
      <c r="AJ86" t="n">
        <v>13</v>
      </c>
      <c r="AK86" t="n">
        <v>13</v>
      </c>
      <c r="AL86" t="n">
        <v>2</v>
      </c>
      <c r="AM86" t="n">
        <v>2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HYPERLINK("http://catalog.hathitrust.org/Record/003153992","HathiTrust Record")</f>
        <v/>
      </c>
      <c r="AS86">
        <f>HYPERLINK("https://creighton-primo.hosted.exlibrisgroup.com/primo-explore/search?tab=default_tab&amp;search_scope=EVERYTHING&amp;vid=01CRU&amp;lang=en_US&amp;offset=0&amp;query=any,contains,991002689049702656","Catalog Record")</f>
        <v/>
      </c>
      <c r="AT86">
        <f>HYPERLINK("http://www.worldcat.org/oclc/35128058","WorldCat Record")</f>
        <v/>
      </c>
      <c r="AU86" t="inlineStr">
        <is>
          <t>40324770:eng</t>
        </is>
      </c>
      <c r="AV86" t="inlineStr">
        <is>
          <t>35128058</t>
        </is>
      </c>
      <c r="AW86" t="inlineStr">
        <is>
          <t>991002689049702656</t>
        </is>
      </c>
      <c r="AX86" t="inlineStr">
        <is>
          <t>991002689049702656</t>
        </is>
      </c>
      <c r="AY86" t="inlineStr">
        <is>
          <t>2271112890002656</t>
        </is>
      </c>
      <c r="AZ86" t="inlineStr">
        <is>
          <t>BOOK</t>
        </is>
      </c>
      <c r="BB86" t="inlineStr">
        <is>
          <t>9780582013179</t>
        </is>
      </c>
      <c r="BC86" t="inlineStr">
        <is>
          <t>32285003310207</t>
        </is>
      </c>
      <c r="BD86" t="inlineStr">
        <is>
          <t>893498424</t>
        </is>
      </c>
    </row>
    <row r="87">
      <c r="A87" t="inlineStr">
        <is>
          <t>No</t>
        </is>
      </c>
      <c r="B87" t="inlineStr">
        <is>
          <t>HT1161 .C65</t>
        </is>
      </c>
      <c r="C87" t="inlineStr">
        <is>
          <t>0                      HT 1161000C  65</t>
        </is>
      </c>
      <c r="D87" t="inlineStr">
        <is>
          <t>Slavery, abolition, and emancipation : Black slaves and the British Empire : a thematic documentary / by Michael Craton, James Walvin, and David Wright.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Craton, Michael.</t>
        </is>
      </c>
      <c r="L87" t="inlineStr">
        <is>
          <t>London ; New York : Longman, 1976.</t>
        </is>
      </c>
      <c r="M87" t="inlineStr">
        <is>
          <t>1976</t>
        </is>
      </c>
      <c r="O87" t="inlineStr">
        <is>
          <t>eng</t>
        </is>
      </c>
      <c r="P87" t="inlineStr">
        <is>
          <t>enk</t>
        </is>
      </c>
      <c r="R87" t="inlineStr">
        <is>
          <t xml:space="preserve">HT </t>
        </is>
      </c>
      <c r="S87" t="n">
        <v>3</v>
      </c>
      <c r="T87" t="n">
        <v>3</v>
      </c>
      <c r="U87" t="inlineStr">
        <is>
          <t>1995-07-11</t>
        </is>
      </c>
      <c r="V87" t="inlineStr">
        <is>
          <t>1995-07-11</t>
        </is>
      </c>
      <c r="W87" t="inlineStr">
        <is>
          <t>1990-03-19</t>
        </is>
      </c>
      <c r="X87" t="inlineStr">
        <is>
          <t>1990-03-19</t>
        </is>
      </c>
      <c r="Y87" t="n">
        <v>490</v>
      </c>
      <c r="Z87" t="n">
        <v>318</v>
      </c>
      <c r="AA87" t="n">
        <v>325</v>
      </c>
      <c r="AB87" t="n">
        <v>4</v>
      </c>
      <c r="AC87" t="n">
        <v>4</v>
      </c>
      <c r="AD87" t="n">
        <v>13</v>
      </c>
      <c r="AE87" t="n">
        <v>13</v>
      </c>
      <c r="AF87" t="n">
        <v>3</v>
      </c>
      <c r="AG87" t="n">
        <v>3</v>
      </c>
      <c r="AH87" t="n">
        <v>5</v>
      </c>
      <c r="AI87" t="n">
        <v>5</v>
      </c>
      <c r="AJ87" t="n">
        <v>7</v>
      </c>
      <c r="AK87" t="n">
        <v>7</v>
      </c>
      <c r="AL87" t="n">
        <v>3</v>
      </c>
      <c r="AM87" t="n">
        <v>3</v>
      </c>
      <c r="AN87" t="n">
        <v>0</v>
      </c>
      <c r="AO87" t="n">
        <v>0</v>
      </c>
      <c r="AP87" t="inlineStr">
        <is>
          <t>No</t>
        </is>
      </c>
      <c r="AQ87" t="inlineStr">
        <is>
          <t>Yes</t>
        </is>
      </c>
      <c r="AR87">
        <f>HYPERLINK("http://catalog.hathitrust.org/Record/000729397","HathiTrust Record")</f>
        <v/>
      </c>
      <c r="AS87">
        <f>HYPERLINK("https://creighton-primo.hosted.exlibrisgroup.com/primo-explore/search?tab=default_tab&amp;search_scope=EVERYTHING&amp;vid=01CRU&amp;lang=en_US&amp;offset=0&amp;query=any,contains,991004075889702656","Catalog Record")</f>
        <v/>
      </c>
      <c r="AT87">
        <f>HYPERLINK("http://www.worldcat.org/oclc/2318064","WorldCat Record")</f>
        <v/>
      </c>
      <c r="AU87" t="inlineStr">
        <is>
          <t>346950582:eng</t>
        </is>
      </c>
      <c r="AV87" t="inlineStr">
        <is>
          <t>2318064</t>
        </is>
      </c>
      <c r="AW87" t="inlineStr">
        <is>
          <t>991004075889702656</t>
        </is>
      </c>
      <c r="AX87" t="inlineStr">
        <is>
          <t>991004075889702656</t>
        </is>
      </c>
      <c r="AY87" t="inlineStr">
        <is>
          <t>2263952210002656</t>
        </is>
      </c>
      <c r="AZ87" t="inlineStr">
        <is>
          <t>BOOK</t>
        </is>
      </c>
      <c r="BB87" t="inlineStr">
        <is>
          <t>9780582480926</t>
        </is>
      </c>
      <c r="BC87" t="inlineStr">
        <is>
          <t>32285000086255</t>
        </is>
      </c>
      <c r="BD87" t="inlineStr">
        <is>
          <t>893318772</t>
        </is>
      </c>
    </row>
    <row r="88">
      <c r="A88" t="inlineStr">
        <is>
          <t>No</t>
        </is>
      </c>
      <c r="B88" t="inlineStr">
        <is>
          <t>HT1161 .D74 1999</t>
        </is>
      </c>
      <c r="C88" t="inlineStr">
        <is>
          <t>0                      HT 1161000D  74          1999</t>
        </is>
      </c>
      <c r="D88" t="inlineStr">
        <is>
          <t>From slavery to freedom : comparative studies in the rise and fall of Atlantic slavery / Seymour Drescher ; foreword by Stanley L. Engerman.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Drescher, Seymour.</t>
        </is>
      </c>
      <c r="L88" t="inlineStr">
        <is>
          <t>New York : New York University Press, 1999.</t>
        </is>
      </c>
      <c r="M88" t="inlineStr">
        <is>
          <t>1999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HT </t>
        </is>
      </c>
      <c r="S88" t="n">
        <v>7</v>
      </c>
      <c r="T88" t="n">
        <v>7</v>
      </c>
      <c r="U88" t="inlineStr">
        <is>
          <t>2010-11-23</t>
        </is>
      </c>
      <c r="V88" t="inlineStr">
        <is>
          <t>2010-11-23</t>
        </is>
      </c>
      <c r="W88" t="inlineStr">
        <is>
          <t>2000-03-09</t>
        </is>
      </c>
      <c r="X88" t="inlineStr">
        <is>
          <t>2000-03-09</t>
        </is>
      </c>
      <c r="Y88" t="n">
        <v>417</v>
      </c>
      <c r="Z88" t="n">
        <v>356</v>
      </c>
      <c r="AA88" t="n">
        <v>373</v>
      </c>
      <c r="AB88" t="n">
        <v>3</v>
      </c>
      <c r="AC88" t="n">
        <v>3</v>
      </c>
      <c r="AD88" t="n">
        <v>22</v>
      </c>
      <c r="AE88" t="n">
        <v>22</v>
      </c>
      <c r="AF88" t="n">
        <v>9</v>
      </c>
      <c r="AG88" t="n">
        <v>9</v>
      </c>
      <c r="AH88" t="n">
        <v>6</v>
      </c>
      <c r="AI88" t="n">
        <v>6</v>
      </c>
      <c r="AJ88" t="n">
        <v>13</v>
      </c>
      <c r="AK88" t="n">
        <v>13</v>
      </c>
      <c r="AL88" t="n">
        <v>2</v>
      </c>
      <c r="AM88" t="n">
        <v>2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HYPERLINK("https://creighton-primo.hosted.exlibrisgroup.com/primo-explore/search?tab=default_tab&amp;search_scope=EVERYTHING&amp;vid=01CRU&amp;lang=en_US&amp;offset=0&amp;query=any,contains,991002975589702656","Catalog Record")</f>
        <v/>
      </c>
      <c r="AT88">
        <f>HYPERLINK("http://www.worldcat.org/oclc/39897280","WorldCat Record")</f>
        <v/>
      </c>
      <c r="AU88" t="inlineStr">
        <is>
          <t>42677007:eng</t>
        </is>
      </c>
      <c r="AV88" t="inlineStr">
        <is>
          <t>39897280</t>
        </is>
      </c>
      <c r="AW88" t="inlineStr">
        <is>
          <t>991002975589702656</t>
        </is>
      </c>
      <c r="AX88" t="inlineStr">
        <is>
          <t>991002975589702656</t>
        </is>
      </c>
      <c r="AY88" t="inlineStr">
        <is>
          <t>2261979470002656</t>
        </is>
      </c>
      <c r="AZ88" t="inlineStr">
        <is>
          <t>BOOK</t>
        </is>
      </c>
      <c r="BB88" t="inlineStr">
        <is>
          <t>9780814719183</t>
        </is>
      </c>
      <c r="BC88" t="inlineStr">
        <is>
          <t>32285003668141</t>
        </is>
      </c>
      <c r="BD88" t="inlineStr">
        <is>
          <t>893610552</t>
        </is>
      </c>
    </row>
    <row r="89">
      <c r="A89" t="inlineStr">
        <is>
          <t>No</t>
        </is>
      </c>
      <c r="B89" t="inlineStr">
        <is>
          <t>HT1161 .S49</t>
        </is>
      </c>
      <c r="C89" t="inlineStr">
        <is>
          <t>0                      HT 1161000S  49</t>
        </is>
      </c>
      <c r="D89" t="inlineStr">
        <is>
          <t>Black people in Britain 1555-1833 / Folarin Shyllon.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K89" t="inlineStr">
        <is>
          <t>Shyllon, F. O.</t>
        </is>
      </c>
      <c r="L89" t="inlineStr">
        <is>
          <t>London ; New York : Published for the Institute of Race Relations by Oxford University Press, 1977.</t>
        </is>
      </c>
      <c r="M89" t="inlineStr">
        <is>
          <t>1977</t>
        </is>
      </c>
      <c r="O89" t="inlineStr">
        <is>
          <t>eng</t>
        </is>
      </c>
      <c r="P89" t="inlineStr">
        <is>
          <t>enk</t>
        </is>
      </c>
      <c r="R89" t="inlineStr">
        <is>
          <t xml:space="preserve">HT </t>
        </is>
      </c>
      <c r="S89" t="n">
        <v>2</v>
      </c>
      <c r="T89" t="n">
        <v>2</v>
      </c>
      <c r="U89" t="inlineStr">
        <is>
          <t>2000-05-05</t>
        </is>
      </c>
      <c r="V89" t="inlineStr">
        <is>
          <t>2000-05-05</t>
        </is>
      </c>
      <c r="W89" t="inlineStr">
        <is>
          <t>1997-08-19</t>
        </is>
      </c>
      <c r="X89" t="inlineStr">
        <is>
          <t>1997-08-19</t>
        </is>
      </c>
      <c r="Y89" t="n">
        <v>298</v>
      </c>
      <c r="Z89" t="n">
        <v>197</v>
      </c>
      <c r="AA89" t="n">
        <v>299</v>
      </c>
      <c r="AB89" t="n">
        <v>3</v>
      </c>
      <c r="AC89" t="n">
        <v>4</v>
      </c>
      <c r="AD89" t="n">
        <v>6</v>
      </c>
      <c r="AE89" t="n">
        <v>10</v>
      </c>
      <c r="AF89" t="n">
        <v>0</v>
      </c>
      <c r="AG89" t="n">
        <v>1</v>
      </c>
      <c r="AH89" t="n">
        <v>3</v>
      </c>
      <c r="AI89" t="n">
        <v>3</v>
      </c>
      <c r="AJ89" t="n">
        <v>2</v>
      </c>
      <c r="AK89" t="n">
        <v>5</v>
      </c>
      <c r="AL89" t="n">
        <v>2</v>
      </c>
      <c r="AM89" t="n">
        <v>3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HYPERLINK("http://catalog.hathitrust.org/Record/000089891","HathiTrust Record")</f>
        <v/>
      </c>
      <c r="AS89">
        <f>HYPERLINK("https://creighton-primo.hosted.exlibrisgroup.com/primo-explore/search?tab=default_tab&amp;search_scope=EVERYTHING&amp;vid=01CRU&amp;lang=en_US&amp;offset=0&amp;query=any,contains,991004610949702656","Catalog Record")</f>
        <v/>
      </c>
      <c r="AT89">
        <f>HYPERLINK("http://www.worldcat.org/oclc/4212069","WorldCat Record")</f>
        <v/>
      </c>
      <c r="AU89" t="inlineStr">
        <is>
          <t>11505515:eng</t>
        </is>
      </c>
      <c r="AV89" t="inlineStr">
        <is>
          <t>4212069</t>
        </is>
      </c>
      <c r="AW89" t="inlineStr">
        <is>
          <t>991004610949702656</t>
        </is>
      </c>
      <c r="AX89" t="inlineStr">
        <is>
          <t>991004610949702656</t>
        </is>
      </c>
      <c r="AY89" t="inlineStr">
        <is>
          <t>2255358020002656</t>
        </is>
      </c>
      <c r="AZ89" t="inlineStr">
        <is>
          <t>BOOK</t>
        </is>
      </c>
      <c r="BB89" t="inlineStr">
        <is>
          <t>9780192184139</t>
        </is>
      </c>
      <c r="BC89" t="inlineStr">
        <is>
          <t>32285003149019</t>
        </is>
      </c>
      <c r="BD89" t="inlineStr">
        <is>
          <t>893600030</t>
        </is>
      </c>
    </row>
    <row r="90">
      <c r="A90" t="inlineStr">
        <is>
          <t>No</t>
        </is>
      </c>
      <c r="B90" t="inlineStr">
        <is>
          <t>HT1161 .S5</t>
        </is>
      </c>
      <c r="C90" t="inlineStr">
        <is>
          <t>0                      HT 1161000S  5</t>
        </is>
      </c>
      <c r="D90" t="inlineStr">
        <is>
          <t>Black slaves in Britain [by] F. O. Shyllon.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Shyllon, F. O.</t>
        </is>
      </c>
      <c r="L90" t="inlineStr">
        <is>
          <t>London, New York, published for the Institute of Race Relations by Oxford University Press, 1974.</t>
        </is>
      </c>
      <c r="M90" t="inlineStr">
        <is>
          <t>1974</t>
        </is>
      </c>
      <c r="O90" t="inlineStr">
        <is>
          <t>eng</t>
        </is>
      </c>
      <c r="P90" t="inlineStr">
        <is>
          <t>enk</t>
        </is>
      </c>
      <c r="R90" t="inlineStr">
        <is>
          <t xml:space="preserve">HT </t>
        </is>
      </c>
      <c r="S90" t="n">
        <v>3</v>
      </c>
      <c r="T90" t="n">
        <v>3</v>
      </c>
      <c r="U90" t="inlineStr">
        <is>
          <t>2008-09-17</t>
        </is>
      </c>
      <c r="V90" t="inlineStr">
        <is>
          <t>2008-09-17</t>
        </is>
      </c>
      <c r="W90" t="inlineStr">
        <is>
          <t>1997-08-19</t>
        </is>
      </c>
      <c r="X90" t="inlineStr">
        <is>
          <t>1997-08-19</t>
        </is>
      </c>
      <c r="Y90" t="n">
        <v>531</v>
      </c>
      <c r="Z90" t="n">
        <v>384</v>
      </c>
      <c r="AA90" t="n">
        <v>386</v>
      </c>
      <c r="AB90" t="n">
        <v>2</v>
      </c>
      <c r="AC90" t="n">
        <v>2</v>
      </c>
      <c r="AD90" t="n">
        <v>16</v>
      </c>
      <c r="AE90" t="n">
        <v>16</v>
      </c>
      <c r="AF90" t="n">
        <v>6</v>
      </c>
      <c r="AG90" t="n">
        <v>6</v>
      </c>
      <c r="AH90" t="n">
        <v>6</v>
      </c>
      <c r="AI90" t="n">
        <v>6</v>
      </c>
      <c r="AJ90" t="n">
        <v>10</v>
      </c>
      <c r="AK90" t="n">
        <v>10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HYPERLINK("http://catalog.hathitrust.org/Record/001130912","HathiTrust Record")</f>
        <v/>
      </c>
      <c r="AS90">
        <f>HYPERLINK("https://creighton-primo.hosted.exlibrisgroup.com/primo-explore/search?tab=default_tab&amp;search_scope=EVERYTHING&amp;vid=01CRU&amp;lang=en_US&amp;offset=0&amp;query=any,contains,991003432409702656","Catalog Record")</f>
        <v/>
      </c>
      <c r="AT90">
        <f>HYPERLINK("http://www.worldcat.org/oclc/967377","WorldCat Record")</f>
        <v/>
      </c>
      <c r="AU90" t="inlineStr">
        <is>
          <t>1922865:eng</t>
        </is>
      </c>
      <c r="AV90" t="inlineStr">
        <is>
          <t>967377</t>
        </is>
      </c>
      <c r="AW90" t="inlineStr">
        <is>
          <t>991003432409702656</t>
        </is>
      </c>
      <c r="AX90" t="inlineStr">
        <is>
          <t>991003432409702656</t>
        </is>
      </c>
      <c r="AY90" t="inlineStr">
        <is>
          <t>2264083580002656</t>
        </is>
      </c>
      <c r="AZ90" t="inlineStr">
        <is>
          <t>BOOK</t>
        </is>
      </c>
      <c r="BB90" t="inlineStr">
        <is>
          <t>9780192184115</t>
        </is>
      </c>
      <c r="BC90" t="inlineStr">
        <is>
          <t>32285003149027</t>
        </is>
      </c>
      <c r="BD90" t="inlineStr">
        <is>
          <t>893234158</t>
        </is>
      </c>
    </row>
    <row r="91">
      <c r="A91" t="inlineStr">
        <is>
          <t>No</t>
        </is>
      </c>
      <c r="B91" t="inlineStr">
        <is>
          <t>HT1162 .P65</t>
        </is>
      </c>
      <c r="C91" t="inlineStr">
        <is>
          <t>0                      HT 1162000P  65</t>
        </is>
      </c>
      <c r="D91" t="inlineStr">
        <is>
          <t>The abolition of the slave trade in England, 1784-1807, by Dale H. Porter.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Porter, Dale H.</t>
        </is>
      </c>
      <c r="L91" t="inlineStr">
        <is>
          <t>[Hamden, Conn.] Archon Books, 1970.</t>
        </is>
      </c>
      <c r="M91" t="inlineStr">
        <is>
          <t>1970</t>
        </is>
      </c>
      <c r="O91" t="inlineStr">
        <is>
          <t>eng</t>
        </is>
      </c>
      <c r="P91" t="inlineStr">
        <is>
          <t>ctu</t>
        </is>
      </c>
      <c r="R91" t="inlineStr">
        <is>
          <t xml:space="preserve">HT </t>
        </is>
      </c>
      <c r="S91" t="n">
        <v>1</v>
      </c>
      <c r="T91" t="n">
        <v>1</v>
      </c>
      <c r="U91" t="inlineStr">
        <is>
          <t>2002-11-10</t>
        </is>
      </c>
      <c r="V91" t="inlineStr">
        <is>
          <t>2002-11-10</t>
        </is>
      </c>
      <c r="W91" t="inlineStr">
        <is>
          <t>1997-08-19</t>
        </is>
      </c>
      <c r="X91" t="inlineStr">
        <is>
          <t>1997-08-19</t>
        </is>
      </c>
      <c r="Y91" t="n">
        <v>492</v>
      </c>
      <c r="Z91" t="n">
        <v>421</v>
      </c>
      <c r="AA91" t="n">
        <v>423</v>
      </c>
      <c r="AB91" t="n">
        <v>6</v>
      </c>
      <c r="AC91" t="n">
        <v>6</v>
      </c>
      <c r="AD91" t="n">
        <v>25</v>
      </c>
      <c r="AE91" t="n">
        <v>25</v>
      </c>
      <c r="AF91" t="n">
        <v>7</v>
      </c>
      <c r="AG91" t="n">
        <v>7</v>
      </c>
      <c r="AH91" t="n">
        <v>6</v>
      </c>
      <c r="AI91" t="n">
        <v>6</v>
      </c>
      <c r="AJ91" t="n">
        <v>12</v>
      </c>
      <c r="AK91" t="n">
        <v>12</v>
      </c>
      <c r="AL91" t="n">
        <v>5</v>
      </c>
      <c r="AM91" t="n">
        <v>5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HYPERLINK("http://catalog.hathitrust.org/Record/001130919","HathiTrust Record")</f>
        <v/>
      </c>
      <c r="AS91">
        <f>HYPERLINK("https://creighton-primo.hosted.exlibrisgroup.com/primo-explore/search?tab=default_tab&amp;search_scope=EVERYTHING&amp;vid=01CRU&amp;lang=en_US&amp;offset=0&amp;query=any,contains,991000565749702656","Catalog Record")</f>
        <v/>
      </c>
      <c r="AT91">
        <f>HYPERLINK("http://www.worldcat.org/oclc/94206","WorldCat Record")</f>
        <v/>
      </c>
      <c r="AU91" t="inlineStr">
        <is>
          <t>1313105:eng</t>
        </is>
      </c>
      <c r="AV91" t="inlineStr">
        <is>
          <t>94206</t>
        </is>
      </c>
      <c r="AW91" t="inlineStr">
        <is>
          <t>991000565749702656</t>
        </is>
      </c>
      <c r="AX91" t="inlineStr">
        <is>
          <t>991000565749702656</t>
        </is>
      </c>
      <c r="AY91" t="inlineStr">
        <is>
          <t>2266150730002656</t>
        </is>
      </c>
      <c r="AZ91" t="inlineStr">
        <is>
          <t>BOOK</t>
        </is>
      </c>
      <c r="BB91" t="inlineStr">
        <is>
          <t>9780208008961</t>
        </is>
      </c>
      <c r="BC91" t="inlineStr">
        <is>
          <t>32285003149050</t>
        </is>
      </c>
      <c r="BD91" t="inlineStr">
        <is>
          <t>893315059</t>
        </is>
      </c>
    </row>
    <row r="92">
      <c r="A92" t="inlineStr">
        <is>
          <t>No</t>
        </is>
      </c>
      <c r="B92" t="inlineStr">
        <is>
          <t>HT1163 .H63 2005</t>
        </is>
      </c>
      <c r="C92" t="inlineStr">
        <is>
          <t>0                      HT 1163000H  63          2005</t>
        </is>
      </c>
      <c r="D92" t="inlineStr">
        <is>
          <t>Bury the chains : prophets and rebels in the fight to free an empire's slaves / Adam Hochschild.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Hochschild, Adam.</t>
        </is>
      </c>
      <c r="L92" t="inlineStr">
        <is>
          <t>Boston : Houghton Mifflin, c2005.</t>
        </is>
      </c>
      <c r="M92" t="inlineStr">
        <is>
          <t>2005</t>
        </is>
      </c>
      <c r="O92" t="inlineStr">
        <is>
          <t>eng</t>
        </is>
      </c>
      <c r="P92" t="inlineStr">
        <is>
          <t>mau</t>
        </is>
      </c>
      <c r="R92" t="inlineStr">
        <is>
          <t xml:space="preserve">HT </t>
        </is>
      </c>
      <c r="S92" t="n">
        <v>5</v>
      </c>
      <c r="T92" t="n">
        <v>5</v>
      </c>
      <c r="U92" t="inlineStr">
        <is>
          <t>2010-09-12</t>
        </is>
      </c>
      <c r="V92" t="inlineStr">
        <is>
          <t>2010-09-12</t>
        </is>
      </c>
      <c r="W92" t="inlineStr">
        <is>
          <t>2005-02-14</t>
        </is>
      </c>
      <c r="X92" t="inlineStr">
        <is>
          <t>2005-02-14</t>
        </is>
      </c>
      <c r="Y92" t="n">
        <v>1940</v>
      </c>
      <c r="Z92" t="n">
        <v>1729</v>
      </c>
      <c r="AA92" t="n">
        <v>1791</v>
      </c>
      <c r="AB92" t="n">
        <v>15</v>
      </c>
      <c r="AC92" t="n">
        <v>15</v>
      </c>
      <c r="AD92" t="n">
        <v>53</v>
      </c>
      <c r="AE92" t="n">
        <v>53</v>
      </c>
      <c r="AF92" t="n">
        <v>22</v>
      </c>
      <c r="AG92" t="n">
        <v>22</v>
      </c>
      <c r="AH92" t="n">
        <v>9</v>
      </c>
      <c r="AI92" t="n">
        <v>9</v>
      </c>
      <c r="AJ92" t="n">
        <v>19</v>
      </c>
      <c r="AK92" t="n">
        <v>19</v>
      </c>
      <c r="AL92" t="n">
        <v>12</v>
      </c>
      <c r="AM92" t="n">
        <v>12</v>
      </c>
      <c r="AN92" t="n">
        <v>1</v>
      </c>
      <c r="AO92" t="n">
        <v>1</v>
      </c>
      <c r="AP92" t="inlineStr">
        <is>
          <t>No</t>
        </is>
      </c>
      <c r="AQ92" t="inlineStr">
        <is>
          <t>No</t>
        </is>
      </c>
      <c r="AS92">
        <f>HYPERLINK("https://creighton-primo.hosted.exlibrisgroup.com/primo-explore/search?tab=default_tab&amp;search_scope=EVERYTHING&amp;vid=01CRU&amp;lang=en_US&amp;offset=0&amp;query=any,contains,991004458429702656","Catalog Record")</f>
        <v/>
      </c>
      <c r="AT92">
        <f>HYPERLINK("http://www.worldcat.org/oclc/56390513","WorldCat Record")</f>
        <v/>
      </c>
      <c r="AU92" t="inlineStr">
        <is>
          <t>3372527351:eng</t>
        </is>
      </c>
      <c r="AV92" t="inlineStr">
        <is>
          <t>56390513</t>
        </is>
      </c>
      <c r="AW92" t="inlineStr">
        <is>
          <t>991004458429702656</t>
        </is>
      </c>
      <c r="AX92" t="inlineStr">
        <is>
          <t>991004458429702656</t>
        </is>
      </c>
      <c r="AY92" t="inlineStr">
        <is>
          <t>2259160970002656</t>
        </is>
      </c>
      <c r="AZ92" t="inlineStr">
        <is>
          <t>BOOK</t>
        </is>
      </c>
      <c r="BB92" t="inlineStr">
        <is>
          <t>9780618104697</t>
        </is>
      </c>
      <c r="BC92" t="inlineStr">
        <is>
          <t>32285005025639</t>
        </is>
      </c>
      <c r="BD92" t="inlineStr">
        <is>
          <t>893506872</t>
        </is>
      </c>
    </row>
    <row r="93">
      <c r="A93" t="inlineStr">
        <is>
          <t>No</t>
        </is>
      </c>
      <c r="B93" t="inlineStr">
        <is>
          <t>HT1163 .T43 1972b</t>
        </is>
      </c>
      <c r="C93" t="inlineStr">
        <is>
          <t>0                      HT 1163000T  43          1972b</t>
        </is>
      </c>
      <c r="D93" t="inlineStr">
        <is>
          <t>British antislavery, 1833-1870.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Temperley, Howard.</t>
        </is>
      </c>
      <c r="L93" t="inlineStr">
        <is>
          <t>Columbia, University of South Carolina Press [1972]</t>
        </is>
      </c>
      <c r="M93" t="inlineStr">
        <is>
          <t>1972</t>
        </is>
      </c>
      <c r="O93" t="inlineStr">
        <is>
          <t>eng</t>
        </is>
      </c>
      <c r="P93" t="inlineStr">
        <is>
          <t>scu</t>
        </is>
      </c>
      <c r="R93" t="inlineStr">
        <is>
          <t xml:space="preserve">HT </t>
        </is>
      </c>
      <c r="S93" t="n">
        <v>1</v>
      </c>
      <c r="T93" t="n">
        <v>1</v>
      </c>
      <c r="U93" t="inlineStr">
        <is>
          <t>2002-11-07</t>
        </is>
      </c>
      <c r="V93" t="inlineStr">
        <is>
          <t>2002-11-07</t>
        </is>
      </c>
      <c r="W93" t="inlineStr">
        <is>
          <t>1997-08-19</t>
        </is>
      </c>
      <c r="X93" t="inlineStr">
        <is>
          <t>1997-08-19</t>
        </is>
      </c>
      <c r="Y93" t="n">
        <v>392</v>
      </c>
      <c r="Z93" t="n">
        <v>357</v>
      </c>
      <c r="AA93" t="n">
        <v>492</v>
      </c>
      <c r="AB93" t="n">
        <v>6</v>
      </c>
      <c r="AC93" t="n">
        <v>7</v>
      </c>
      <c r="AD93" t="n">
        <v>20</v>
      </c>
      <c r="AE93" t="n">
        <v>26</v>
      </c>
      <c r="AF93" t="n">
        <v>5</v>
      </c>
      <c r="AG93" t="n">
        <v>5</v>
      </c>
      <c r="AH93" t="n">
        <v>7</v>
      </c>
      <c r="AI93" t="n">
        <v>9</v>
      </c>
      <c r="AJ93" t="n">
        <v>8</v>
      </c>
      <c r="AK93" t="n">
        <v>12</v>
      </c>
      <c r="AL93" t="n">
        <v>5</v>
      </c>
      <c r="AM93" t="n">
        <v>6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HYPERLINK("http://catalog.hathitrust.org/Record/009910933","HathiTrust Record")</f>
        <v/>
      </c>
      <c r="AS93">
        <f>HYPERLINK("https://creighton-primo.hosted.exlibrisgroup.com/primo-explore/search?tab=default_tab&amp;search_scope=EVERYTHING&amp;vid=01CRU&amp;lang=en_US&amp;offset=0&amp;query=any,contains,991003056929702656","Catalog Record")</f>
        <v/>
      </c>
      <c r="AT93">
        <f>HYPERLINK("http://www.worldcat.org/oclc/615020","WorldCat Record")</f>
        <v/>
      </c>
      <c r="AU93" t="inlineStr">
        <is>
          <t>1505731:eng</t>
        </is>
      </c>
      <c r="AV93" t="inlineStr">
        <is>
          <t>615020</t>
        </is>
      </c>
      <c r="AW93" t="inlineStr">
        <is>
          <t>991003056929702656</t>
        </is>
      </c>
      <c r="AX93" t="inlineStr">
        <is>
          <t>991003056929702656</t>
        </is>
      </c>
      <c r="AY93" t="inlineStr">
        <is>
          <t>2267330100002656</t>
        </is>
      </c>
      <c r="AZ93" t="inlineStr">
        <is>
          <t>BOOK</t>
        </is>
      </c>
      <c r="BB93" t="inlineStr">
        <is>
          <t>9780872492684</t>
        </is>
      </c>
      <c r="BC93" t="inlineStr">
        <is>
          <t>32285003149076</t>
        </is>
      </c>
      <c r="BD93" t="inlineStr">
        <is>
          <t>893805387</t>
        </is>
      </c>
    </row>
    <row r="94">
      <c r="A94" t="inlineStr">
        <is>
          <t>No</t>
        </is>
      </c>
      <c r="B94" t="inlineStr">
        <is>
          <t>HT1164.I73 R63 2007</t>
        </is>
      </c>
      <c r="C94" t="inlineStr">
        <is>
          <t>0                      HT 1164000I  73                 R  63          2007</t>
        </is>
      </c>
      <c r="D94" t="inlineStr">
        <is>
          <t>Ireland, slavery and anti-slavery, 1612-1865 / by Nini Rodgers.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Rodgers, Nini.</t>
        </is>
      </c>
      <c r="L94" t="inlineStr">
        <is>
          <t>Basingstoke [England] ; New York : Palgrave Macmillan, 2007.</t>
        </is>
      </c>
      <c r="M94" t="inlineStr">
        <is>
          <t>2007</t>
        </is>
      </c>
      <c r="O94" t="inlineStr">
        <is>
          <t>eng</t>
        </is>
      </c>
      <c r="P94" t="inlineStr">
        <is>
          <t>enk</t>
        </is>
      </c>
      <c r="R94" t="inlineStr">
        <is>
          <t xml:space="preserve">HT </t>
        </is>
      </c>
      <c r="S94" t="n">
        <v>1</v>
      </c>
      <c r="T94" t="n">
        <v>1</v>
      </c>
      <c r="U94" t="inlineStr">
        <is>
          <t>2008-08-06</t>
        </is>
      </c>
      <c r="V94" t="inlineStr">
        <is>
          <t>2008-08-06</t>
        </is>
      </c>
      <c r="W94" t="inlineStr">
        <is>
          <t>2008-08-06</t>
        </is>
      </c>
      <c r="X94" t="inlineStr">
        <is>
          <t>2008-08-06</t>
        </is>
      </c>
      <c r="Y94" t="n">
        <v>271</v>
      </c>
      <c r="Z94" t="n">
        <v>214</v>
      </c>
      <c r="AA94" t="n">
        <v>265</v>
      </c>
      <c r="AB94" t="n">
        <v>1</v>
      </c>
      <c r="AC94" t="n">
        <v>3</v>
      </c>
      <c r="AD94" t="n">
        <v>14</v>
      </c>
      <c r="AE94" t="n">
        <v>21</v>
      </c>
      <c r="AF94" t="n">
        <v>9</v>
      </c>
      <c r="AG94" t="n">
        <v>12</v>
      </c>
      <c r="AH94" t="n">
        <v>4</v>
      </c>
      <c r="AI94" t="n">
        <v>7</v>
      </c>
      <c r="AJ94" t="n">
        <v>7</v>
      </c>
      <c r="AK94" t="n">
        <v>9</v>
      </c>
      <c r="AL94" t="n">
        <v>0</v>
      </c>
      <c r="AM94" t="n">
        <v>2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HYPERLINK("https://creighton-primo.hosted.exlibrisgroup.com/primo-explore/search?tab=default_tab&amp;search_scope=EVERYTHING&amp;vid=01CRU&amp;lang=en_US&amp;offset=0&amp;query=any,contains,991005169859702656","Catalog Record")</f>
        <v/>
      </c>
      <c r="AT94">
        <f>HYPERLINK("http://www.worldcat.org/oclc/70673331","WorldCat Record")</f>
        <v/>
      </c>
      <c r="AU94" t="inlineStr">
        <is>
          <t>101335185:eng</t>
        </is>
      </c>
      <c r="AV94" t="inlineStr">
        <is>
          <t>70673331</t>
        </is>
      </c>
      <c r="AW94" t="inlineStr">
        <is>
          <t>991005169859702656</t>
        </is>
      </c>
      <c r="AX94" t="inlineStr">
        <is>
          <t>991005169859702656</t>
        </is>
      </c>
      <c r="AY94" t="inlineStr">
        <is>
          <t>2272376310002656</t>
        </is>
      </c>
      <c r="AZ94" t="inlineStr">
        <is>
          <t>BOOK</t>
        </is>
      </c>
      <c r="BB94" t="inlineStr">
        <is>
          <t>9780333770993</t>
        </is>
      </c>
      <c r="BC94" t="inlineStr">
        <is>
          <t>32285005451611</t>
        </is>
      </c>
      <c r="BD94" t="inlineStr">
        <is>
          <t>893713560</t>
        </is>
      </c>
    </row>
    <row r="95">
      <c r="A95" t="inlineStr">
        <is>
          <t>No</t>
        </is>
      </c>
      <c r="B95" t="inlineStr">
        <is>
          <t>HT1178 .J46 2000</t>
        </is>
      </c>
      <c r="C95" t="inlineStr">
        <is>
          <t>0                      HT 1178000J  46          2000</t>
        </is>
      </c>
      <c r="D95" t="inlineStr">
        <is>
          <t>French anti-slavery : the movement for the abolition of slavery in France, 1802-1848 / Lawrence C. Jennings.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Jennings, Lawrence C.</t>
        </is>
      </c>
      <c r="L95" t="inlineStr">
        <is>
          <t>Cambridge, UK ; New York : Cambridge University Press, 2000.</t>
        </is>
      </c>
      <c r="M95" t="inlineStr">
        <is>
          <t>2000</t>
        </is>
      </c>
      <c r="O95" t="inlineStr">
        <is>
          <t>eng</t>
        </is>
      </c>
      <c r="P95" t="inlineStr">
        <is>
          <t>enk</t>
        </is>
      </c>
      <c r="R95" t="inlineStr">
        <is>
          <t xml:space="preserve">HT </t>
        </is>
      </c>
      <c r="S95" t="n">
        <v>1</v>
      </c>
      <c r="T95" t="n">
        <v>1</v>
      </c>
      <c r="U95" t="inlineStr">
        <is>
          <t>2002-01-08</t>
        </is>
      </c>
      <c r="V95" t="inlineStr">
        <is>
          <t>2002-01-08</t>
        </is>
      </c>
      <c r="W95" t="inlineStr">
        <is>
          <t>2002-01-08</t>
        </is>
      </c>
      <c r="X95" t="inlineStr">
        <is>
          <t>2002-01-08</t>
        </is>
      </c>
      <c r="Y95" t="n">
        <v>416</v>
      </c>
      <c r="Z95" t="n">
        <v>326</v>
      </c>
      <c r="AA95" t="n">
        <v>332</v>
      </c>
      <c r="AB95" t="n">
        <v>2</v>
      </c>
      <c r="AC95" t="n">
        <v>2</v>
      </c>
      <c r="AD95" t="n">
        <v>21</v>
      </c>
      <c r="AE95" t="n">
        <v>21</v>
      </c>
      <c r="AF95" t="n">
        <v>7</v>
      </c>
      <c r="AG95" t="n">
        <v>7</v>
      </c>
      <c r="AH95" t="n">
        <v>8</v>
      </c>
      <c r="AI95" t="n">
        <v>8</v>
      </c>
      <c r="AJ95" t="n">
        <v>10</v>
      </c>
      <c r="AK95" t="n">
        <v>10</v>
      </c>
      <c r="AL95" t="n">
        <v>1</v>
      </c>
      <c r="AM95" t="n">
        <v>1</v>
      </c>
      <c r="AN95" t="n">
        <v>0</v>
      </c>
      <c r="AO95" t="n">
        <v>0</v>
      </c>
      <c r="AP95" t="inlineStr">
        <is>
          <t>No</t>
        </is>
      </c>
      <c r="AQ95" t="inlineStr">
        <is>
          <t>No</t>
        </is>
      </c>
      <c r="AS95">
        <f>HYPERLINK("https://creighton-primo.hosted.exlibrisgroup.com/primo-explore/search?tab=default_tab&amp;search_scope=EVERYTHING&amp;vid=01CRU&amp;lang=en_US&amp;offset=0&amp;query=any,contains,991003692239702656","Catalog Record")</f>
        <v/>
      </c>
      <c r="AT95">
        <f>HYPERLINK("http://www.worldcat.org/oclc/42291158","WorldCat Record")</f>
        <v/>
      </c>
      <c r="AU95" t="inlineStr">
        <is>
          <t>836947796:eng</t>
        </is>
      </c>
      <c r="AV95" t="inlineStr">
        <is>
          <t>42291158</t>
        </is>
      </c>
      <c r="AW95" t="inlineStr">
        <is>
          <t>991003692239702656</t>
        </is>
      </c>
      <c r="AX95" t="inlineStr">
        <is>
          <t>991003692239702656</t>
        </is>
      </c>
      <c r="AY95" t="inlineStr">
        <is>
          <t>2257471790002656</t>
        </is>
      </c>
      <c r="AZ95" t="inlineStr">
        <is>
          <t>BOOK</t>
        </is>
      </c>
      <c r="BB95" t="inlineStr">
        <is>
          <t>9780521772495</t>
        </is>
      </c>
      <c r="BC95" t="inlineStr">
        <is>
          <t>32285004446356</t>
        </is>
      </c>
      <c r="BD95" t="inlineStr">
        <is>
          <t>893234456</t>
        </is>
      </c>
    </row>
    <row r="96">
      <c r="A96" t="inlineStr">
        <is>
          <t>No</t>
        </is>
      </c>
      <c r="B96" t="inlineStr">
        <is>
          <t>HT119 .G65 2000</t>
        </is>
      </c>
      <c r="C96" t="inlineStr">
        <is>
          <t>0                      HT 0119000G  65          2000</t>
        </is>
      </c>
      <c r="D96" t="inlineStr">
        <is>
          <t>Globalizing cities : a new spatial order? / edited by Peter Marcuse and Ronald van Kempen.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L96" t="inlineStr">
        <is>
          <t>Oxford ; Malden, Mass : Blackwell publishers, 2000.</t>
        </is>
      </c>
      <c r="M96" t="inlineStr">
        <is>
          <t>2000</t>
        </is>
      </c>
      <c r="O96" t="inlineStr">
        <is>
          <t>eng</t>
        </is>
      </c>
      <c r="P96" t="inlineStr">
        <is>
          <t>enk</t>
        </is>
      </c>
      <c r="Q96" t="inlineStr">
        <is>
          <t>Studies in urban and social change</t>
        </is>
      </c>
      <c r="R96" t="inlineStr">
        <is>
          <t xml:space="preserve">HT </t>
        </is>
      </c>
      <c r="S96" t="n">
        <v>3</v>
      </c>
      <c r="T96" t="n">
        <v>3</v>
      </c>
      <c r="U96" t="inlineStr">
        <is>
          <t>2009-09-11</t>
        </is>
      </c>
      <c r="V96" t="inlineStr">
        <is>
          <t>2009-09-11</t>
        </is>
      </c>
      <c r="W96" t="inlineStr">
        <is>
          <t>2001-10-17</t>
        </is>
      </c>
      <c r="X96" t="inlineStr">
        <is>
          <t>2001-10-17</t>
        </is>
      </c>
      <c r="Y96" t="n">
        <v>436</v>
      </c>
      <c r="Z96" t="n">
        <v>243</v>
      </c>
      <c r="AA96" t="n">
        <v>326</v>
      </c>
      <c r="AB96" t="n">
        <v>1</v>
      </c>
      <c r="AC96" t="n">
        <v>1</v>
      </c>
      <c r="AD96" t="n">
        <v>10</v>
      </c>
      <c r="AE96" t="n">
        <v>12</v>
      </c>
      <c r="AF96" t="n">
        <v>3</v>
      </c>
      <c r="AG96" t="n">
        <v>4</v>
      </c>
      <c r="AH96" t="n">
        <v>4</v>
      </c>
      <c r="AI96" t="n">
        <v>4</v>
      </c>
      <c r="AJ96" t="n">
        <v>7</v>
      </c>
      <c r="AK96" t="n">
        <v>8</v>
      </c>
      <c r="AL96" t="n">
        <v>0</v>
      </c>
      <c r="AM96" t="n">
        <v>0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HYPERLINK("https://creighton-primo.hosted.exlibrisgroup.com/primo-explore/search?tab=default_tab&amp;search_scope=EVERYTHING&amp;vid=01CRU&amp;lang=en_US&amp;offset=0&amp;query=any,contains,991003623249702656","Catalog Record")</f>
        <v/>
      </c>
      <c r="AT96">
        <f>HYPERLINK("http://www.worldcat.org/oclc/42038596","WorldCat Record")</f>
        <v/>
      </c>
      <c r="AU96" t="inlineStr">
        <is>
          <t>795232281:eng</t>
        </is>
      </c>
      <c r="AV96" t="inlineStr">
        <is>
          <t>42038596</t>
        </is>
      </c>
      <c r="AW96" t="inlineStr">
        <is>
          <t>991003623249702656</t>
        </is>
      </c>
      <c r="AX96" t="inlineStr">
        <is>
          <t>991003623249702656</t>
        </is>
      </c>
      <c r="AY96" t="inlineStr">
        <is>
          <t>2266964750002656</t>
        </is>
      </c>
      <c r="AZ96" t="inlineStr">
        <is>
          <t>BOOK</t>
        </is>
      </c>
      <c r="BB96" t="inlineStr">
        <is>
          <t>9780631212898</t>
        </is>
      </c>
      <c r="BC96" t="inlineStr">
        <is>
          <t>32285004397948</t>
        </is>
      </c>
      <c r="BD96" t="inlineStr">
        <is>
          <t>893531372</t>
        </is>
      </c>
    </row>
    <row r="97">
      <c r="A97" t="inlineStr">
        <is>
          <t>No</t>
        </is>
      </c>
      <c r="B97" t="inlineStr">
        <is>
          <t>HT119 .K86 2003</t>
        </is>
      </c>
      <c r="C97" t="inlineStr">
        <is>
          <t>0                      HT 0119000K  86          2003</t>
        </is>
      </c>
      <c r="D97" t="inlineStr">
        <is>
          <t>The city in mind : meditations on the urban condition / James Howard Kunstler.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Kunstler, James Howard.</t>
        </is>
      </c>
      <c r="L97" t="inlineStr">
        <is>
          <t>New York : Free Press, 2003, c2001.</t>
        </is>
      </c>
      <c r="M97" t="inlineStr">
        <is>
          <t>2003</t>
        </is>
      </c>
      <c r="N97" t="inlineStr">
        <is>
          <t>1st Free Press trade pbk. ed.</t>
        </is>
      </c>
      <c r="O97" t="inlineStr">
        <is>
          <t>eng</t>
        </is>
      </c>
      <c r="P97" t="inlineStr">
        <is>
          <t>nyu</t>
        </is>
      </c>
      <c r="R97" t="inlineStr">
        <is>
          <t xml:space="preserve">HT </t>
        </is>
      </c>
      <c r="S97" t="n">
        <v>1</v>
      </c>
      <c r="T97" t="n">
        <v>1</v>
      </c>
      <c r="U97" t="inlineStr">
        <is>
          <t>2008-09-11</t>
        </is>
      </c>
      <c r="V97" t="inlineStr">
        <is>
          <t>2008-09-11</t>
        </is>
      </c>
      <c r="W97" t="inlineStr">
        <is>
          <t>2008-09-11</t>
        </is>
      </c>
      <c r="X97" t="inlineStr">
        <is>
          <t>2008-09-11</t>
        </is>
      </c>
      <c r="Y97" t="n">
        <v>621</v>
      </c>
      <c r="Z97" t="n">
        <v>537</v>
      </c>
      <c r="AA97" t="n">
        <v>569</v>
      </c>
      <c r="AB97" t="n">
        <v>5</v>
      </c>
      <c r="AC97" t="n">
        <v>5</v>
      </c>
      <c r="AD97" t="n">
        <v>18</v>
      </c>
      <c r="AE97" t="n">
        <v>19</v>
      </c>
      <c r="AF97" t="n">
        <v>8</v>
      </c>
      <c r="AG97" t="n">
        <v>8</v>
      </c>
      <c r="AH97" t="n">
        <v>5</v>
      </c>
      <c r="AI97" t="n">
        <v>5</v>
      </c>
      <c r="AJ97" t="n">
        <v>9</v>
      </c>
      <c r="AK97" t="n">
        <v>10</v>
      </c>
      <c r="AL97" t="n">
        <v>3</v>
      </c>
      <c r="AM97" t="n">
        <v>3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HYPERLINK("http://catalog.hathitrust.org/Record/004214705","HathiTrust Record")</f>
        <v/>
      </c>
      <c r="AS97">
        <f>HYPERLINK("https://creighton-primo.hosted.exlibrisgroup.com/primo-explore/search?tab=default_tab&amp;search_scope=EVERYTHING&amp;vid=01CRU&amp;lang=en_US&amp;offset=0&amp;query=any,contains,991005260209702656","Catalog Record")</f>
        <v/>
      </c>
      <c r="AT97">
        <f>HYPERLINK("http://www.worldcat.org/oclc/47844884","WorldCat Record")</f>
        <v/>
      </c>
      <c r="AU97" t="inlineStr">
        <is>
          <t>933167:eng</t>
        </is>
      </c>
      <c r="AV97" t="inlineStr">
        <is>
          <t>47844884</t>
        </is>
      </c>
      <c r="AW97" t="inlineStr">
        <is>
          <t>991005260209702656</t>
        </is>
      </c>
      <c r="AX97" t="inlineStr">
        <is>
          <t>991005260209702656</t>
        </is>
      </c>
      <c r="AY97" t="inlineStr">
        <is>
          <t>2260800420002656</t>
        </is>
      </c>
      <c r="AZ97" t="inlineStr">
        <is>
          <t>BOOK</t>
        </is>
      </c>
      <c r="BB97" t="inlineStr">
        <is>
          <t>9780684845913</t>
        </is>
      </c>
      <c r="BC97" t="inlineStr">
        <is>
          <t>32285005458020</t>
        </is>
      </c>
      <c r="BD97" t="inlineStr">
        <is>
          <t>893889937</t>
        </is>
      </c>
    </row>
    <row r="98">
      <c r="A98" t="inlineStr">
        <is>
          <t>No</t>
        </is>
      </c>
      <c r="B98" t="inlineStr">
        <is>
          <t>HT119 .M6</t>
        </is>
      </c>
      <c r="C98" t="inlineStr">
        <is>
          <t>0                      HT 0119000M  6</t>
        </is>
      </c>
      <c r="D98" t="inlineStr">
        <is>
          <t>Modern industrial cities : history, policy, and survival / edited by Bruce M. Stave.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L98" t="inlineStr">
        <is>
          <t>Beverly Hills, Calif. : Sage Publications, c1981.</t>
        </is>
      </c>
      <c r="M98" t="inlineStr">
        <is>
          <t>1981</t>
        </is>
      </c>
      <c r="O98" t="inlineStr">
        <is>
          <t>eng</t>
        </is>
      </c>
      <c r="P98" t="inlineStr">
        <is>
          <t>cau</t>
        </is>
      </c>
      <c r="Q98" t="inlineStr">
        <is>
          <t>Sage focus editions ; 44</t>
        </is>
      </c>
      <c r="R98" t="inlineStr">
        <is>
          <t xml:space="preserve">HT </t>
        </is>
      </c>
      <c r="S98" t="n">
        <v>1</v>
      </c>
      <c r="T98" t="n">
        <v>1</v>
      </c>
      <c r="U98" t="inlineStr">
        <is>
          <t>2002-03-18</t>
        </is>
      </c>
      <c r="V98" t="inlineStr">
        <is>
          <t>2002-03-18</t>
        </is>
      </c>
      <c r="W98" t="inlineStr">
        <is>
          <t>1993-04-29</t>
        </is>
      </c>
      <c r="X98" t="inlineStr">
        <is>
          <t>1993-04-29</t>
        </is>
      </c>
      <c r="Y98" t="n">
        <v>330</v>
      </c>
      <c r="Z98" t="n">
        <v>245</v>
      </c>
      <c r="AA98" t="n">
        <v>252</v>
      </c>
      <c r="AB98" t="n">
        <v>3</v>
      </c>
      <c r="AC98" t="n">
        <v>3</v>
      </c>
      <c r="AD98" t="n">
        <v>17</v>
      </c>
      <c r="AE98" t="n">
        <v>17</v>
      </c>
      <c r="AF98" t="n">
        <v>5</v>
      </c>
      <c r="AG98" t="n">
        <v>5</v>
      </c>
      <c r="AH98" t="n">
        <v>4</v>
      </c>
      <c r="AI98" t="n">
        <v>4</v>
      </c>
      <c r="AJ98" t="n">
        <v>9</v>
      </c>
      <c r="AK98" t="n">
        <v>9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HYPERLINK("http://catalog.hathitrust.org/Record/000762666","HathiTrust Record")</f>
        <v/>
      </c>
      <c r="AS98">
        <f>HYPERLINK("https://creighton-primo.hosted.exlibrisgroup.com/primo-explore/search?tab=default_tab&amp;search_scope=EVERYTHING&amp;vid=01CRU&amp;lang=en_US&amp;offset=0&amp;query=any,contains,991005161239702656","Catalog Record")</f>
        <v/>
      </c>
      <c r="AT98">
        <f>HYPERLINK("http://www.worldcat.org/oclc/7795060","WorldCat Record")</f>
        <v/>
      </c>
      <c r="AU98" t="inlineStr">
        <is>
          <t>807077333:eng</t>
        </is>
      </c>
      <c r="AV98" t="inlineStr">
        <is>
          <t>7795060</t>
        </is>
      </c>
      <c r="AW98" t="inlineStr">
        <is>
          <t>991005161239702656</t>
        </is>
      </c>
      <c r="AX98" t="inlineStr">
        <is>
          <t>991005161239702656</t>
        </is>
      </c>
      <c r="AY98" t="inlineStr">
        <is>
          <t>2267939280002656</t>
        </is>
      </c>
      <c r="AZ98" t="inlineStr">
        <is>
          <t>BOOK</t>
        </is>
      </c>
      <c r="BB98" t="inlineStr">
        <is>
          <t>9780803917606</t>
        </is>
      </c>
      <c r="BC98" t="inlineStr">
        <is>
          <t>32285001631976</t>
        </is>
      </c>
      <c r="BD98" t="inlineStr">
        <is>
          <t>893606934</t>
        </is>
      </c>
    </row>
    <row r="99">
      <c r="A99" t="inlineStr">
        <is>
          <t>No</t>
        </is>
      </c>
      <c r="B99" t="inlineStr">
        <is>
          <t>HT119 .P66 1982</t>
        </is>
      </c>
      <c r="C99" t="inlineStr">
        <is>
          <t>0                      HT 0119000P  66          1982</t>
        </is>
      </c>
      <c r="D99" t="inlineStr">
        <is>
          <t>Population and the urban future / Philip M. Hauser ... [et al.].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L99" t="inlineStr">
        <is>
          <t>Albany : State University of New York Press, c1982.</t>
        </is>
      </c>
      <c r="M99" t="inlineStr">
        <is>
          <t>1982</t>
        </is>
      </c>
      <c r="O99" t="inlineStr">
        <is>
          <t>eng</t>
        </is>
      </c>
      <c r="P99" t="inlineStr">
        <is>
          <t>nyu</t>
        </is>
      </c>
      <c r="R99" t="inlineStr">
        <is>
          <t xml:space="preserve">HT </t>
        </is>
      </c>
      <c r="S99" t="n">
        <v>8</v>
      </c>
      <c r="T99" t="n">
        <v>8</v>
      </c>
      <c r="U99" t="inlineStr">
        <is>
          <t>2006-11-02</t>
        </is>
      </c>
      <c r="V99" t="inlineStr">
        <is>
          <t>2006-11-02</t>
        </is>
      </c>
      <c r="W99" t="inlineStr">
        <is>
          <t>1992-11-10</t>
        </is>
      </c>
      <c r="X99" t="inlineStr">
        <is>
          <t>1992-11-10</t>
        </is>
      </c>
      <c r="Y99" t="n">
        <v>358</v>
      </c>
      <c r="Z99" t="n">
        <v>295</v>
      </c>
      <c r="AA99" t="n">
        <v>302</v>
      </c>
      <c r="AB99" t="n">
        <v>3</v>
      </c>
      <c r="AC99" t="n">
        <v>3</v>
      </c>
      <c r="AD99" t="n">
        <v>16</v>
      </c>
      <c r="AE99" t="n">
        <v>16</v>
      </c>
      <c r="AF99" t="n">
        <v>6</v>
      </c>
      <c r="AG99" t="n">
        <v>6</v>
      </c>
      <c r="AH99" t="n">
        <v>5</v>
      </c>
      <c r="AI99" t="n">
        <v>5</v>
      </c>
      <c r="AJ99" t="n">
        <v>10</v>
      </c>
      <c r="AK99" t="n">
        <v>10</v>
      </c>
      <c r="AL99" t="n">
        <v>2</v>
      </c>
      <c r="AM99" t="n">
        <v>2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HYPERLINK("http://catalog.hathitrust.org/Record/000270504","HathiTrust Record")</f>
        <v/>
      </c>
      <c r="AS99">
        <f>HYPERLINK("https://creighton-primo.hosted.exlibrisgroup.com/primo-explore/search?tab=default_tab&amp;search_scope=EVERYTHING&amp;vid=01CRU&amp;lang=en_US&amp;offset=0&amp;query=any,contains,991005236969702656","Catalog Record")</f>
        <v/>
      </c>
      <c r="AT99">
        <f>HYPERLINK("http://www.worldcat.org/oclc/8387664","WorldCat Record")</f>
        <v/>
      </c>
      <c r="AU99" t="inlineStr">
        <is>
          <t>195379252:eng</t>
        </is>
      </c>
      <c r="AV99" t="inlineStr">
        <is>
          <t>8387664</t>
        </is>
      </c>
      <c r="AW99" t="inlineStr">
        <is>
          <t>991005236969702656</t>
        </is>
      </c>
      <c r="AX99" t="inlineStr">
        <is>
          <t>991005236969702656</t>
        </is>
      </c>
      <c r="AY99" t="inlineStr">
        <is>
          <t>2266636400002656</t>
        </is>
      </c>
      <c r="AZ99" t="inlineStr">
        <is>
          <t>BOOK</t>
        </is>
      </c>
      <c r="BB99" t="inlineStr">
        <is>
          <t>9780873955911</t>
        </is>
      </c>
      <c r="BC99" t="inlineStr">
        <is>
          <t>32285001384154</t>
        </is>
      </c>
      <c r="BD99" t="inlineStr">
        <is>
          <t>893260785</t>
        </is>
      </c>
    </row>
    <row r="100">
      <c r="A100" t="inlineStr">
        <is>
          <t>No</t>
        </is>
      </c>
      <c r="B100" t="inlineStr">
        <is>
          <t>HT1191 .Y3813 1988</t>
        </is>
      </c>
      <c r="C100" t="inlineStr">
        <is>
          <t>0                      HT 1191000Y  3813        1988</t>
        </is>
      </c>
      <c r="D100" t="inlineStr">
        <is>
          <t>Slaves and slavery in ancient Rome / Zvi Yavetz.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Yavetz, Zvi, 1925-2013.</t>
        </is>
      </c>
      <c r="L100" t="inlineStr">
        <is>
          <t>New Brunswick, N.J., USA : Transaction Books, c1988.</t>
        </is>
      </c>
      <c r="M100" t="inlineStr">
        <is>
          <t>1988</t>
        </is>
      </c>
      <c r="O100" t="inlineStr">
        <is>
          <t>eng</t>
        </is>
      </c>
      <c r="P100" t="inlineStr">
        <is>
          <t>nju</t>
        </is>
      </c>
      <c r="R100" t="inlineStr">
        <is>
          <t xml:space="preserve">HT </t>
        </is>
      </c>
      <c r="S100" t="n">
        <v>4</v>
      </c>
      <c r="T100" t="n">
        <v>4</v>
      </c>
      <c r="U100" t="inlineStr">
        <is>
          <t>2009-02-16</t>
        </is>
      </c>
      <c r="V100" t="inlineStr">
        <is>
          <t>2009-02-16</t>
        </is>
      </c>
      <c r="W100" t="inlineStr">
        <is>
          <t>1993-05-11</t>
        </is>
      </c>
      <c r="X100" t="inlineStr">
        <is>
          <t>1993-05-11</t>
        </is>
      </c>
      <c r="Y100" t="n">
        <v>438</v>
      </c>
      <c r="Z100" t="n">
        <v>339</v>
      </c>
      <c r="AA100" t="n">
        <v>344</v>
      </c>
      <c r="AB100" t="n">
        <v>2</v>
      </c>
      <c r="AC100" t="n">
        <v>2</v>
      </c>
      <c r="AD100" t="n">
        <v>17</v>
      </c>
      <c r="AE100" t="n">
        <v>17</v>
      </c>
      <c r="AF100" t="n">
        <v>5</v>
      </c>
      <c r="AG100" t="n">
        <v>5</v>
      </c>
      <c r="AH100" t="n">
        <v>6</v>
      </c>
      <c r="AI100" t="n">
        <v>6</v>
      </c>
      <c r="AJ100" t="n">
        <v>12</v>
      </c>
      <c r="AK100" t="n">
        <v>12</v>
      </c>
      <c r="AL100" t="n">
        <v>1</v>
      </c>
      <c r="AM100" t="n">
        <v>1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HYPERLINK("https://creighton-primo.hosted.exlibrisgroup.com/primo-explore/search?tab=default_tab&amp;search_scope=EVERYTHING&amp;vid=01CRU&amp;lang=en_US&amp;offset=0&amp;query=any,contains,991001046839702656","Catalog Record")</f>
        <v/>
      </c>
      <c r="AT100">
        <f>HYPERLINK("http://www.worldcat.org/oclc/15629287","WorldCat Record")</f>
        <v/>
      </c>
      <c r="AU100" t="inlineStr">
        <is>
          <t>4801181:eng</t>
        </is>
      </c>
      <c r="AV100" t="inlineStr">
        <is>
          <t>15629287</t>
        </is>
      </c>
      <c r="AW100" t="inlineStr">
        <is>
          <t>991001046839702656</t>
        </is>
      </c>
      <c r="AX100" t="inlineStr">
        <is>
          <t>991001046839702656</t>
        </is>
      </c>
      <c r="AY100" t="inlineStr">
        <is>
          <t>2270002770002656</t>
        </is>
      </c>
      <c r="AZ100" t="inlineStr">
        <is>
          <t>BOOK</t>
        </is>
      </c>
      <c r="BB100" t="inlineStr">
        <is>
          <t>9780887381287</t>
        </is>
      </c>
      <c r="BC100" t="inlineStr">
        <is>
          <t>32285001680155</t>
        </is>
      </c>
      <c r="BD100" t="inlineStr">
        <is>
          <t>893438826</t>
        </is>
      </c>
    </row>
    <row r="101">
      <c r="A101" t="inlineStr">
        <is>
          <t>No</t>
        </is>
      </c>
      <c r="B101" t="inlineStr">
        <is>
          <t>HT121 .S83 1999</t>
        </is>
      </c>
      <c r="C101" t="inlineStr">
        <is>
          <t>0                      HT 0121000S  83          1999</t>
        </is>
      </c>
      <c r="D101" t="inlineStr">
        <is>
          <t>The old neighborhood : what we lost in the great suburban migration, 1966-1999 / Ray Suarez.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Suarez, Ray, 1957-</t>
        </is>
      </c>
      <c r="L101" t="inlineStr">
        <is>
          <t>New York : Free Press, c1999.</t>
        </is>
      </c>
      <c r="M101" t="inlineStr">
        <is>
          <t>1999</t>
        </is>
      </c>
      <c r="O101" t="inlineStr">
        <is>
          <t>eng</t>
        </is>
      </c>
      <c r="P101" t="inlineStr">
        <is>
          <t>nyu</t>
        </is>
      </c>
      <c r="R101" t="inlineStr">
        <is>
          <t xml:space="preserve">HT </t>
        </is>
      </c>
      <c r="S101" t="n">
        <v>2</v>
      </c>
      <c r="T101" t="n">
        <v>2</v>
      </c>
      <c r="U101" t="inlineStr">
        <is>
          <t>2009-06-15</t>
        </is>
      </c>
      <c r="V101" t="inlineStr">
        <is>
          <t>2009-06-15</t>
        </is>
      </c>
      <c r="W101" t="inlineStr">
        <is>
          <t>1999-12-02</t>
        </is>
      </c>
      <c r="X101" t="inlineStr">
        <is>
          <t>1999-12-02</t>
        </is>
      </c>
      <c r="Y101" t="n">
        <v>1060</v>
      </c>
      <c r="Z101" t="n">
        <v>1006</v>
      </c>
      <c r="AA101" t="n">
        <v>1012</v>
      </c>
      <c r="AB101" t="n">
        <v>11</v>
      </c>
      <c r="AC101" t="n">
        <v>11</v>
      </c>
      <c r="AD101" t="n">
        <v>35</v>
      </c>
      <c r="AE101" t="n">
        <v>35</v>
      </c>
      <c r="AF101" t="n">
        <v>11</v>
      </c>
      <c r="AG101" t="n">
        <v>11</v>
      </c>
      <c r="AH101" t="n">
        <v>8</v>
      </c>
      <c r="AI101" t="n">
        <v>8</v>
      </c>
      <c r="AJ101" t="n">
        <v>17</v>
      </c>
      <c r="AK101" t="n">
        <v>17</v>
      </c>
      <c r="AL101" t="n">
        <v>7</v>
      </c>
      <c r="AM101" t="n">
        <v>7</v>
      </c>
      <c r="AN101" t="n">
        <v>1</v>
      </c>
      <c r="AO101" t="n">
        <v>1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HYPERLINK("https://creighton-primo.hosted.exlibrisgroup.com/primo-explore/search?tab=default_tab&amp;search_scope=EVERYTHING&amp;vid=01CRU&amp;lang=en_US&amp;offset=0&amp;query=any,contains,991002997339702656","Catalog Record")</f>
        <v/>
      </c>
      <c r="AT101">
        <f>HYPERLINK("http://www.worldcat.org/oclc/40543598","WorldCat Record")</f>
        <v/>
      </c>
      <c r="AU101" t="inlineStr">
        <is>
          <t>20825666:eng</t>
        </is>
      </c>
      <c r="AV101" t="inlineStr">
        <is>
          <t>40543598</t>
        </is>
      </c>
      <c r="AW101" t="inlineStr">
        <is>
          <t>991002997339702656</t>
        </is>
      </c>
      <c r="AX101" t="inlineStr">
        <is>
          <t>991002997339702656</t>
        </is>
      </c>
      <c r="AY101" t="inlineStr">
        <is>
          <t>2266545590002656</t>
        </is>
      </c>
      <c r="AZ101" t="inlineStr">
        <is>
          <t>BOOK</t>
        </is>
      </c>
      <c r="BB101" t="inlineStr">
        <is>
          <t>9780684834023</t>
        </is>
      </c>
      <c r="BC101" t="inlineStr">
        <is>
          <t>32285003627436</t>
        </is>
      </c>
      <c r="BD101" t="inlineStr">
        <is>
          <t>893598145</t>
        </is>
      </c>
    </row>
    <row r="102">
      <c r="A102" t="inlineStr">
        <is>
          <t>No</t>
        </is>
      </c>
      <c r="B102" t="inlineStr">
        <is>
          <t>HT1221 .S28</t>
        </is>
      </c>
      <c r="C102" t="inlineStr">
        <is>
          <t>0                      HT 1221000S  28</t>
        </is>
      </c>
      <c r="D102" t="inlineStr">
        <is>
          <t>A social history of black slaves and freedmen in Portugal, 1441-1555 / A.C. de C.M. Saunders.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Saunders, A. C. de C. M.</t>
        </is>
      </c>
      <c r="L102" t="inlineStr">
        <is>
          <t>Cambridge [England] ; New York : Cambridge University Press, 1982.</t>
        </is>
      </c>
      <c r="M102" t="inlineStr">
        <is>
          <t>1982</t>
        </is>
      </c>
      <c r="O102" t="inlineStr">
        <is>
          <t>eng</t>
        </is>
      </c>
      <c r="P102" t="inlineStr">
        <is>
          <t>enk</t>
        </is>
      </c>
      <c r="Q102" t="inlineStr">
        <is>
          <t>Cambridge Iberian and Latin American studies</t>
        </is>
      </c>
      <c r="R102" t="inlineStr">
        <is>
          <t xml:space="preserve">HT </t>
        </is>
      </c>
      <c r="S102" t="n">
        <v>3</v>
      </c>
      <c r="T102" t="n">
        <v>3</v>
      </c>
      <c r="U102" t="inlineStr">
        <is>
          <t>2005-09-16</t>
        </is>
      </c>
      <c r="V102" t="inlineStr">
        <is>
          <t>2005-09-16</t>
        </is>
      </c>
      <c r="W102" t="inlineStr">
        <is>
          <t>1993-05-11</t>
        </is>
      </c>
      <c r="X102" t="inlineStr">
        <is>
          <t>1993-05-11</t>
        </is>
      </c>
      <c r="Y102" t="n">
        <v>388</v>
      </c>
      <c r="Z102" t="n">
        <v>283</v>
      </c>
      <c r="AA102" t="n">
        <v>297</v>
      </c>
      <c r="AB102" t="n">
        <v>2</v>
      </c>
      <c r="AC102" t="n">
        <v>2</v>
      </c>
      <c r="AD102" t="n">
        <v>16</v>
      </c>
      <c r="AE102" t="n">
        <v>16</v>
      </c>
      <c r="AF102" t="n">
        <v>2</v>
      </c>
      <c r="AG102" t="n">
        <v>2</v>
      </c>
      <c r="AH102" t="n">
        <v>7</v>
      </c>
      <c r="AI102" t="n">
        <v>7</v>
      </c>
      <c r="AJ102" t="n">
        <v>11</v>
      </c>
      <c r="AK102" t="n">
        <v>11</v>
      </c>
      <c r="AL102" t="n">
        <v>1</v>
      </c>
      <c r="AM102" t="n">
        <v>1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HYPERLINK("https://creighton-primo.hosted.exlibrisgroup.com/primo-explore/search?tab=default_tab&amp;search_scope=EVERYTHING&amp;vid=01CRU&amp;lang=en_US&amp;offset=0&amp;query=any,contains,991005124659702656","Catalog Record")</f>
        <v/>
      </c>
      <c r="AT102">
        <f>HYPERLINK("http://www.worldcat.org/oclc/7552549","WorldCat Record")</f>
        <v/>
      </c>
      <c r="AU102" t="inlineStr">
        <is>
          <t>504476:eng</t>
        </is>
      </c>
      <c r="AV102" t="inlineStr">
        <is>
          <t>7552549</t>
        </is>
      </c>
      <c r="AW102" t="inlineStr">
        <is>
          <t>991005124659702656</t>
        </is>
      </c>
      <c r="AX102" t="inlineStr">
        <is>
          <t>991005124659702656</t>
        </is>
      </c>
      <c r="AY102" t="inlineStr">
        <is>
          <t>2262978540002656</t>
        </is>
      </c>
      <c r="AZ102" t="inlineStr">
        <is>
          <t>BOOK</t>
        </is>
      </c>
      <c r="BB102" t="inlineStr">
        <is>
          <t>9780521231503</t>
        </is>
      </c>
      <c r="BC102" t="inlineStr">
        <is>
          <t>32285001680189</t>
        </is>
      </c>
      <c r="BD102" t="inlineStr">
        <is>
          <t>893722782</t>
        </is>
      </c>
    </row>
    <row r="103">
      <c r="A103" t="inlineStr">
        <is>
          <t>No</t>
        </is>
      </c>
      <c r="B103" t="inlineStr">
        <is>
          <t>HT1222 .N49 2007</t>
        </is>
      </c>
      <c r="C103" t="inlineStr">
        <is>
          <t>0                      HT 1222000N  49          2007</t>
        </is>
      </c>
      <c r="D103" t="inlineStr">
        <is>
          <t>From capture to sale : the Portuguese slave trade to Spanish South America in the early seventeenth century / by Linda A. Newson, Susie Minchin.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Newson, Linda A.</t>
        </is>
      </c>
      <c r="L103" t="inlineStr">
        <is>
          <t>Leiden ; Boston : Brill, 2007.</t>
        </is>
      </c>
      <c r="M103" t="inlineStr">
        <is>
          <t>2007</t>
        </is>
      </c>
      <c r="O103" t="inlineStr">
        <is>
          <t>eng</t>
        </is>
      </c>
      <c r="P103" t="inlineStr">
        <is>
          <t xml:space="preserve">ne </t>
        </is>
      </c>
      <c r="Q103" t="inlineStr">
        <is>
          <t>The Atlantic world, 1570-0542 ; v. 12</t>
        </is>
      </c>
      <c r="R103" t="inlineStr">
        <is>
          <t xml:space="preserve">HT </t>
        </is>
      </c>
      <c r="S103" t="n">
        <v>1</v>
      </c>
      <c r="T103" t="n">
        <v>1</v>
      </c>
      <c r="U103" t="inlineStr">
        <is>
          <t>2008-05-14</t>
        </is>
      </c>
      <c r="V103" t="inlineStr">
        <is>
          <t>2008-05-14</t>
        </is>
      </c>
      <c r="W103" t="inlineStr">
        <is>
          <t>2008-05-14</t>
        </is>
      </c>
      <c r="X103" t="inlineStr">
        <is>
          <t>2008-05-14</t>
        </is>
      </c>
      <c r="Y103" t="n">
        <v>306</v>
      </c>
      <c r="Z103" t="n">
        <v>246</v>
      </c>
      <c r="AA103" t="n">
        <v>900</v>
      </c>
      <c r="AB103" t="n">
        <v>1</v>
      </c>
      <c r="AC103" t="n">
        <v>7</v>
      </c>
      <c r="AD103" t="n">
        <v>11</v>
      </c>
      <c r="AE103" t="n">
        <v>33</v>
      </c>
      <c r="AF103" t="n">
        <v>6</v>
      </c>
      <c r="AG103" t="n">
        <v>13</v>
      </c>
      <c r="AH103" t="n">
        <v>3</v>
      </c>
      <c r="AI103" t="n">
        <v>8</v>
      </c>
      <c r="AJ103" t="n">
        <v>5</v>
      </c>
      <c r="AK103" t="n">
        <v>12</v>
      </c>
      <c r="AL103" t="n">
        <v>0</v>
      </c>
      <c r="AM103" t="n">
        <v>6</v>
      </c>
      <c r="AN103" t="n">
        <v>0</v>
      </c>
      <c r="AO103" t="n">
        <v>1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HYPERLINK("http://catalog.hathitrust.org/Record/005868320","HathiTrust Record")</f>
        <v/>
      </c>
      <c r="AS103">
        <f>HYPERLINK("https://creighton-primo.hosted.exlibrisgroup.com/primo-explore/search?tab=default_tab&amp;search_scope=EVERYTHING&amp;vid=01CRU&amp;lang=en_US&amp;offset=0&amp;query=any,contains,991005195069702656","Catalog Record")</f>
        <v/>
      </c>
      <c r="AT103">
        <f>HYPERLINK("http://www.worldcat.org/oclc/76967146","WorldCat Record")</f>
        <v/>
      </c>
      <c r="AU103" t="inlineStr">
        <is>
          <t>796980702:eng</t>
        </is>
      </c>
      <c r="AV103" t="inlineStr">
        <is>
          <t>76967146</t>
        </is>
      </c>
      <c r="AW103" t="inlineStr">
        <is>
          <t>991005195069702656</t>
        </is>
      </c>
      <c r="AX103" t="inlineStr">
        <is>
          <t>991005195069702656</t>
        </is>
      </c>
      <c r="AY103" t="inlineStr">
        <is>
          <t>2263633220002656</t>
        </is>
      </c>
      <c r="AZ103" t="inlineStr">
        <is>
          <t>BOOK</t>
        </is>
      </c>
      <c r="BB103" t="inlineStr">
        <is>
          <t>9789004156791</t>
        </is>
      </c>
      <c r="BC103" t="inlineStr">
        <is>
          <t>32285005407688</t>
        </is>
      </c>
      <c r="BD103" t="inlineStr">
        <is>
          <t>893412477</t>
        </is>
      </c>
    </row>
    <row r="104">
      <c r="A104" t="inlineStr">
        <is>
          <t>No</t>
        </is>
      </c>
      <c r="B104" t="inlineStr">
        <is>
          <t>HT123 .A615</t>
        </is>
      </c>
      <c r="C104" t="inlineStr">
        <is>
          <t>0                      HT 0123000A  615</t>
        </is>
      </c>
      <c r="D104" t="inlineStr">
        <is>
          <t>The Age of urban reform : new perspectives on the progressive era / Michael H. Ebner and Eugene M. Tobin, editors.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L104" t="inlineStr">
        <is>
          <t>Port Washington, N.Y. : Kennikat Press, 1977.</t>
        </is>
      </c>
      <c r="M104" t="inlineStr">
        <is>
          <t>1977</t>
        </is>
      </c>
      <c r="O104" t="inlineStr">
        <is>
          <t>eng</t>
        </is>
      </c>
      <c r="P104" t="inlineStr">
        <is>
          <t>nyu</t>
        </is>
      </c>
      <c r="Q104" t="inlineStr">
        <is>
          <t>Interdisciplinary urban series</t>
        </is>
      </c>
      <c r="R104" t="inlineStr">
        <is>
          <t xml:space="preserve">HT </t>
        </is>
      </c>
      <c r="S104" t="n">
        <v>6</v>
      </c>
      <c r="T104" t="n">
        <v>6</v>
      </c>
      <c r="U104" t="inlineStr">
        <is>
          <t>2001-12-01</t>
        </is>
      </c>
      <c r="V104" t="inlineStr">
        <is>
          <t>2001-12-01</t>
        </is>
      </c>
      <c r="W104" t="inlineStr">
        <is>
          <t>1997-08-18</t>
        </is>
      </c>
      <c r="X104" t="inlineStr">
        <is>
          <t>1997-08-18</t>
        </is>
      </c>
      <c r="Y104" t="n">
        <v>633</v>
      </c>
      <c r="Z104" t="n">
        <v>558</v>
      </c>
      <c r="AA104" t="n">
        <v>560</v>
      </c>
      <c r="AB104" t="n">
        <v>5</v>
      </c>
      <c r="AC104" t="n">
        <v>5</v>
      </c>
      <c r="AD104" t="n">
        <v>30</v>
      </c>
      <c r="AE104" t="n">
        <v>30</v>
      </c>
      <c r="AF104" t="n">
        <v>8</v>
      </c>
      <c r="AG104" t="n">
        <v>8</v>
      </c>
      <c r="AH104" t="n">
        <v>8</v>
      </c>
      <c r="AI104" t="n">
        <v>8</v>
      </c>
      <c r="AJ104" t="n">
        <v>17</v>
      </c>
      <c r="AK104" t="n">
        <v>17</v>
      </c>
      <c r="AL104" t="n">
        <v>4</v>
      </c>
      <c r="AM104" t="n">
        <v>4</v>
      </c>
      <c r="AN104" t="n">
        <v>2</v>
      </c>
      <c r="AO104" t="n">
        <v>2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HYPERLINK("http://catalog.hathitrust.org/Record/004400317","HathiTrust Record")</f>
        <v/>
      </c>
      <c r="AS104">
        <f>HYPERLINK("https://creighton-primo.hosted.exlibrisgroup.com/primo-explore/search?tab=default_tab&amp;search_scope=EVERYTHING&amp;vid=01CRU&amp;lang=en_US&amp;offset=0&amp;query=any,contains,991004268559702656","Catalog Record")</f>
        <v/>
      </c>
      <c r="AT104">
        <f>HYPERLINK("http://www.worldcat.org/oclc/2874012","WorldCat Record")</f>
        <v/>
      </c>
      <c r="AU104" t="inlineStr">
        <is>
          <t>1018370005:eng</t>
        </is>
      </c>
      <c r="AV104" t="inlineStr">
        <is>
          <t>2874012</t>
        </is>
      </c>
      <c r="AW104" t="inlineStr">
        <is>
          <t>991004268559702656</t>
        </is>
      </c>
      <c r="AX104" t="inlineStr">
        <is>
          <t>991004268559702656</t>
        </is>
      </c>
      <c r="AY104" t="inlineStr">
        <is>
          <t>2259031290002656</t>
        </is>
      </c>
      <c r="AZ104" t="inlineStr">
        <is>
          <t>BOOK</t>
        </is>
      </c>
      <c r="BB104" t="inlineStr">
        <is>
          <t>9780804691925</t>
        </is>
      </c>
      <c r="BC104" t="inlineStr">
        <is>
          <t>32285003145397</t>
        </is>
      </c>
      <c r="BD104" t="inlineStr">
        <is>
          <t>893500358</t>
        </is>
      </c>
    </row>
    <row r="105">
      <c r="A105" t="inlineStr">
        <is>
          <t>No</t>
        </is>
      </c>
      <c r="B105" t="inlineStr">
        <is>
          <t>HT123 .A666 1982</t>
        </is>
      </c>
      <c r="C105" t="inlineStr">
        <is>
          <t>0                      HT 0123000A  666         1982</t>
        </is>
      </c>
      <c r="D105" t="inlineStr">
        <is>
          <t>American urban history : an interpretive reader with commentaries / edited by Alexander B. Callow, Jr.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L105" t="inlineStr">
        <is>
          <t>New York : Oxford University Press, 1982.</t>
        </is>
      </c>
      <c r="M105" t="inlineStr">
        <is>
          <t>1982</t>
        </is>
      </c>
      <c r="N105" t="inlineStr">
        <is>
          <t>3rd ed.</t>
        </is>
      </c>
      <c r="O105" t="inlineStr">
        <is>
          <t>eng</t>
        </is>
      </c>
      <c r="P105" t="inlineStr">
        <is>
          <t>nyu</t>
        </is>
      </c>
      <c r="R105" t="inlineStr">
        <is>
          <t xml:space="preserve">HT </t>
        </is>
      </c>
      <c r="S105" t="n">
        <v>1</v>
      </c>
      <c r="T105" t="n">
        <v>1</v>
      </c>
      <c r="U105" t="inlineStr">
        <is>
          <t>2005-09-29</t>
        </is>
      </c>
      <c r="V105" t="inlineStr">
        <is>
          <t>2005-09-29</t>
        </is>
      </c>
      <c r="W105" t="inlineStr">
        <is>
          <t>1993-04-29</t>
        </is>
      </c>
      <c r="X105" t="inlineStr">
        <is>
          <t>1993-04-29</t>
        </is>
      </c>
      <c r="Y105" t="n">
        <v>409</v>
      </c>
      <c r="Z105" t="n">
        <v>322</v>
      </c>
      <c r="AA105" t="n">
        <v>893</v>
      </c>
      <c r="AB105" t="n">
        <v>2</v>
      </c>
      <c r="AC105" t="n">
        <v>5</v>
      </c>
      <c r="AD105" t="n">
        <v>18</v>
      </c>
      <c r="AE105" t="n">
        <v>36</v>
      </c>
      <c r="AF105" t="n">
        <v>6</v>
      </c>
      <c r="AG105" t="n">
        <v>11</v>
      </c>
      <c r="AH105" t="n">
        <v>5</v>
      </c>
      <c r="AI105" t="n">
        <v>7</v>
      </c>
      <c r="AJ105" t="n">
        <v>11</v>
      </c>
      <c r="AK105" t="n">
        <v>20</v>
      </c>
      <c r="AL105" t="n">
        <v>1</v>
      </c>
      <c r="AM105" t="n">
        <v>4</v>
      </c>
      <c r="AN105" t="n">
        <v>0</v>
      </c>
      <c r="AO105" t="n">
        <v>2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HYPERLINK("https://creighton-primo.hosted.exlibrisgroup.com/primo-explore/search?tab=default_tab&amp;search_scope=EVERYTHING&amp;vid=01CRU&amp;lang=en_US&amp;offset=0&amp;query=any,contains,991005102319702656","Catalog Record")</f>
        <v/>
      </c>
      <c r="AT105">
        <f>HYPERLINK("http://www.worldcat.org/oclc/7305959","WorldCat Record")</f>
        <v/>
      </c>
      <c r="AU105" t="inlineStr">
        <is>
          <t>876519672:eng</t>
        </is>
      </c>
      <c r="AV105" t="inlineStr">
        <is>
          <t>7305959</t>
        </is>
      </c>
      <c r="AW105" t="inlineStr">
        <is>
          <t>991005102319702656</t>
        </is>
      </c>
      <c r="AX105" t="inlineStr">
        <is>
          <t>991005102319702656</t>
        </is>
      </c>
      <c r="AY105" t="inlineStr">
        <is>
          <t>2271432220002656</t>
        </is>
      </c>
      <c r="AZ105" t="inlineStr">
        <is>
          <t>BOOK</t>
        </is>
      </c>
      <c r="BB105" t="inlineStr">
        <is>
          <t>9780195029819</t>
        </is>
      </c>
      <c r="BC105" t="inlineStr">
        <is>
          <t>32285001631992</t>
        </is>
      </c>
      <c r="BD105" t="inlineStr">
        <is>
          <t>893613127</t>
        </is>
      </c>
    </row>
    <row r="106">
      <c r="A106" t="inlineStr">
        <is>
          <t>No</t>
        </is>
      </c>
      <c r="B106" t="inlineStr">
        <is>
          <t>HT123 .B267 1990</t>
        </is>
      </c>
      <c r="C106" t="inlineStr">
        <is>
          <t>0                      HT 0123000B  267         1990</t>
        </is>
      </c>
      <c r="D106" t="inlineStr">
        <is>
          <t>The unheavenly city revisited / by Edward C. Banfield.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Banfield, Edward C.</t>
        </is>
      </c>
      <c r="L106" t="inlineStr">
        <is>
          <t>Prospect Heights, Ill. : Waveland, 1990.</t>
        </is>
      </c>
      <c r="M106" t="inlineStr">
        <is>
          <t>1990</t>
        </is>
      </c>
      <c r="O106" t="inlineStr">
        <is>
          <t>eng</t>
        </is>
      </c>
      <c r="P106" t="inlineStr">
        <is>
          <t>ilu</t>
        </is>
      </c>
      <c r="R106" t="inlineStr">
        <is>
          <t xml:space="preserve">HT </t>
        </is>
      </c>
      <c r="S106" t="n">
        <v>5</v>
      </c>
      <c r="T106" t="n">
        <v>5</v>
      </c>
      <c r="U106" t="inlineStr">
        <is>
          <t>2003-04-16</t>
        </is>
      </c>
      <c r="V106" t="inlineStr">
        <is>
          <t>2003-04-16</t>
        </is>
      </c>
      <c r="W106" t="inlineStr">
        <is>
          <t>1998-01-07</t>
        </is>
      </c>
      <c r="X106" t="inlineStr">
        <is>
          <t>1998-01-07</t>
        </is>
      </c>
      <c r="Y106" t="n">
        <v>106</v>
      </c>
      <c r="Z106" t="n">
        <v>100</v>
      </c>
      <c r="AA106" t="n">
        <v>1072</v>
      </c>
      <c r="AB106" t="n">
        <v>1</v>
      </c>
      <c r="AC106" t="n">
        <v>6</v>
      </c>
      <c r="AD106" t="n">
        <v>3</v>
      </c>
      <c r="AE106" t="n">
        <v>46</v>
      </c>
      <c r="AF106" t="n">
        <v>1</v>
      </c>
      <c r="AG106" t="n">
        <v>14</v>
      </c>
      <c r="AH106" t="n">
        <v>3</v>
      </c>
      <c r="AI106" t="n">
        <v>10</v>
      </c>
      <c r="AJ106" t="n">
        <v>0</v>
      </c>
      <c r="AK106" t="n">
        <v>21</v>
      </c>
      <c r="AL106" t="n">
        <v>0</v>
      </c>
      <c r="AM106" t="n">
        <v>4</v>
      </c>
      <c r="AN106" t="n">
        <v>0</v>
      </c>
      <c r="AO106" t="n">
        <v>7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HYPERLINK("https://creighton-primo.hosted.exlibrisgroup.com/primo-explore/search?tab=default_tab&amp;search_scope=EVERYTHING&amp;vid=01CRU&amp;lang=en_US&amp;offset=0&amp;query=any,contains,991001857309702656","Catalog Record")</f>
        <v/>
      </c>
      <c r="AT106">
        <f>HYPERLINK("http://www.worldcat.org/oclc/23295009","WorldCat Record")</f>
        <v/>
      </c>
      <c r="AU106" t="inlineStr">
        <is>
          <t>520654:eng</t>
        </is>
      </c>
      <c r="AV106" t="inlineStr">
        <is>
          <t>23295009</t>
        </is>
      </c>
      <c r="AW106" t="inlineStr">
        <is>
          <t>991001857309702656</t>
        </is>
      </c>
      <c r="AX106" t="inlineStr">
        <is>
          <t>991001857309702656</t>
        </is>
      </c>
      <c r="AY106" t="inlineStr">
        <is>
          <t>2266221740002656</t>
        </is>
      </c>
      <c r="AZ106" t="inlineStr">
        <is>
          <t>BOOK</t>
        </is>
      </c>
      <c r="BB106" t="inlineStr">
        <is>
          <t>9780881335293</t>
        </is>
      </c>
      <c r="BC106" t="inlineStr">
        <is>
          <t>32285003301693</t>
        </is>
      </c>
      <c r="BD106" t="inlineStr">
        <is>
          <t>893516627</t>
        </is>
      </c>
    </row>
    <row r="107">
      <c r="A107" t="inlineStr">
        <is>
          <t>No</t>
        </is>
      </c>
      <c r="B107" t="inlineStr">
        <is>
          <t>HT123 .B297</t>
        </is>
      </c>
      <c r="C107" t="inlineStr">
        <is>
          <t>0                      HT 0123000B  297</t>
        </is>
      </c>
      <c r="D107" t="inlineStr">
        <is>
          <t>City people : the rise of modern city culture in nineteenth-century America / Gunther Barth.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Barth, Gunther Paul.</t>
        </is>
      </c>
      <c r="L107" t="inlineStr">
        <is>
          <t>New York : Oxford University Press, 1980.</t>
        </is>
      </c>
      <c r="M107" t="inlineStr">
        <is>
          <t>1980</t>
        </is>
      </c>
      <c r="O107" t="inlineStr">
        <is>
          <t>eng</t>
        </is>
      </c>
      <c r="P107" t="inlineStr">
        <is>
          <t>nyu</t>
        </is>
      </c>
      <c r="R107" t="inlineStr">
        <is>
          <t xml:space="preserve">HT </t>
        </is>
      </c>
      <c r="S107" t="n">
        <v>5</v>
      </c>
      <c r="T107" t="n">
        <v>5</v>
      </c>
      <c r="U107" t="inlineStr">
        <is>
          <t>2000-11-07</t>
        </is>
      </c>
      <c r="V107" t="inlineStr">
        <is>
          <t>2000-11-07</t>
        </is>
      </c>
      <c r="W107" t="inlineStr">
        <is>
          <t>1993-04-29</t>
        </is>
      </c>
      <c r="X107" t="inlineStr">
        <is>
          <t>1993-04-29</t>
        </is>
      </c>
      <c r="Y107" t="n">
        <v>1217</v>
      </c>
      <c r="Z107" t="n">
        <v>1068</v>
      </c>
      <c r="AA107" t="n">
        <v>1180</v>
      </c>
      <c r="AB107" t="n">
        <v>9</v>
      </c>
      <c r="AC107" t="n">
        <v>10</v>
      </c>
      <c r="AD107" t="n">
        <v>44</v>
      </c>
      <c r="AE107" t="n">
        <v>47</v>
      </c>
      <c r="AF107" t="n">
        <v>15</v>
      </c>
      <c r="AG107" t="n">
        <v>17</v>
      </c>
      <c r="AH107" t="n">
        <v>10</v>
      </c>
      <c r="AI107" t="n">
        <v>10</v>
      </c>
      <c r="AJ107" t="n">
        <v>21</v>
      </c>
      <c r="AK107" t="n">
        <v>22</v>
      </c>
      <c r="AL107" t="n">
        <v>8</v>
      </c>
      <c r="AM107" t="n">
        <v>9</v>
      </c>
      <c r="AN107" t="n">
        <v>1</v>
      </c>
      <c r="AO107" t="n">
        <v>1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HYPERLINK("http://catalog.hathitrust.org/Record/000687008","HathiTrust Record")</f>
        <v/>
      </c>
      <c r="AS107">
        <f>HYPERLINK("https://creighton-primo.hosted.exlibrisgroup.com/primo-explore/search?tab=default_tab&amp;search_scope=EVERYTHING&amp;vid=01CRU&amp;lang=en_US&amp;offset=0&amp;query=any,contains,991004920339702656","Catalog Record")</f>
        <v/>
      </c>
      <c r="AT107">
        <f>HYPERLINK("http://www.worldcat.org/oclc/6042838","WorldCat Record")</f>
        <v/>
      </c>
      <c r="AU107" t="inlineStr">
        <is>
          <t>415294:eng</t>
        </is>
      </c>
      <c r="AV107" t="inlineStr">
        <is>
          <t>6042838</t>
        </is>
      </c>
      <c r="AW107" t="inlineStr">
        <is>
          <t>991004920339702656</t>
        </is>
      </c>
      <c r="AX107" t="inlineStr">
        <is>
          <t>991004920339702656</t>
        </is>
      </c>
      <c r="AY107" t="inlineStr">
        <is>
          <t>2256009460002656</t>
        </is>
      </c>
      <c r="AZ107" t="inlineStr">
        <is>
          <t>BOOK</t>
        </is>
      </c>
      <c r="BB107" t="inlineStr">
        <is>
          <t>9780195027556</t>
        </is>
      </c>
      <c r="BC107" t="inlineStr">
        <is>
          <t>32285001632008</t>
        </is>
      </c>
      <c r="BD107" t="inlineStr">
        <is>
          <t>893700825</t>
        </is>
      </c>
    </row>
    <row r="108">
      <c r="A108" t="inlineStr">
        <is>
          <t>No</t>
        </is>
      </c>
      <c r="B108" t="inlineStr">
        <is>
          <t>HT123 .B324 1998</t>
        </is>
      </c>
      <c r="C108" t="inlineStr">
        <is>
          <t>0                      HT 0123000B  324         1998</t>
        </is>
      </c>
      <c r="D108" t="inlineStr">
        <is>
          <t>The crisis of America's cities / Randall Bartlett.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Bartlett, Randall, 1945-</t>
        </is>
      </c>
      <c r="L108" t="inlineStr">
        <is>
          <t>Armonk, N.Y. : M.E. Sharpe, c1998.</t>
        </is>
      </c>
      <c r="M108" t="inlineStr">
        <is>
          <t>1998</t>
        </is>
      </c>
      <c r="O108" t="inlineStr">
        <is>
          <t>eng</t>
        </is>
      </c>
      <c r="P108" t="inlineStr">
        <is>
          <t>nyu</t>
        </is>
      </c>
      <c r="R108" t="inlineStr">
        <is>
          <t xml:space="preserve">HT </t>
        </is>
      </c>
      <c r="S108" t="n">
        <v>2</v>
      </c>
      <c r="T108" t="n">
        <v>2</v>
      </c>
      <c r="U108" t="inlineStr">
        <is>
          <t>2003-10-06</t>
        </is>
      </c>
      <c r="V108" t="inlineStr">
        <is>
          <t>2003-10-06</t>
        </is>
      </c>
      <c r="W108" t="inlineStr">
        <is>
          <t>1999-11-04</t>
        </is>
      </c>
      <c r="X108" t="inlineStr">
        <is>
          <t>1999-11-04</t>
        </is>
      </c>
      <c r="Y108" t="n">
        <v>558</v>
      </c>
      <c r="Z108" t="n">
        <v>497</v>
      </c>
      <c r="AA108" t="n">
        <v>1335</v>
      </c>
      <c r="AB108" t="n">
        <v>6</v>
      </c>
      <c r="AC108" t="n">
        <v>8</v>
      </c>
      <c r="AD108" t="n">
        <v>26</v>
      </c>
      <c r="AE108" t="n">
        <v>37</v>
      </c>
      <c r="AF108" t="n">
        <v>9</v>
      </c>
      <c r="AG108" t="n">
        <v>16</v>
      </c>
      <c r="AH108" t="n">
        <v>7</v>
      </c>
      <c r="AI108" t="n">
        <v>8</v>
      </c>
      <c r="AJ108" t="n">
        <v>11</v>
      </c>
      <c r="AK108" t="n">
        <v>16</v>
      </c>
      <c r="AL108" t="n">
        <v>4</v>
      </c>
      <c r="AM108" t="n">
        <v>6</v>
      </c>
      <c r="AN108" t="n">
        <v>0</v>
      </c>
      <c r="AO108" t="n">
        <v>0</v>
      </c>
      <c r="AP108" t="inlineStr">
        <is>
          <t>No</t>
        </is>
      </c>
      <c r="AQ108" t="inlineStr">
        <is>
          <t>Yes</t>
        </is>
      </c>
      <c r="AR108">
        <f>HYPERLINK("http://catalog.hathitrust.org/Record/003997537","HathiTrust Record")</f>
        <v/>
      </c>
      <c r="AS108">
        <f>HYPERLINK("https://creighton-primo.hosted.exlibrisgroup.com/primo-explore/search?tab=default_tab&amp;search_scope=EVERYTHING&amp;vid=01CRU&amp;lang=en_US&amp;offset=0&amp;query=any,contains,991002938869702656","Catalog Record")</f>
        <v/>
      </c>
      <c r="AT108">
        <f>HYPERLINK("http://www.worldcat.org/oclc/39093641","WorldCat Record")</f>
        <v/>
      </c>
      <c r="AU108" t="inlineStr">
        <is>
          <t>1047315:eng</t>
        </is>
      </c>
      <c r="AV108" t="inlineStr">
        <is>
          <t>39093641</t>
        </is>
      </c>
      <c r="AW108" t="inlineStr">
        <is>
          <t>991002938869702656</t>
        </is>
      </c>
      <c r="AX108" t="inlineStr">
        <is>
          <t>991002938869702656</t>
        </is>
      </c>
      <c r="AY108" t="inlineStr">
        <is>
          <t>2272761490002656</t>
        </is>
      </c>
      <c r="AZ108" t="inlineStr">
        <is>
          <t>BOOK</t>
        </is>
      </c>
      <c r="BB108" t="inlineStr">
        <is>
          <t>9780765603012</t>
        </is>
      </c>
      <c r="BC108" t="inlineStr">
        <is>
          <t>32285003618369</t>
        </is>
      </c>
      <c r="BD108" t="inlineStr">
        <is>
          <t>893251796</t>
        </is>
      </c>
    </row>
    <row r="109">
      <c r="A109" t="inlineStr">
        <is>
          <t>No</t>
        </is>
      </c>
      <c r="B109" t="inlineStr">
        <is>
          <t>HT123 .B48 1991</t>
        </is>
      </c>
      <c r="C109" t="inlineStr">
        <is>
          <t>0                      HT 0123000B  48          1991</t>
        </is>
      </c>
      <c r="D109" t="inlineStr">
        <is>
          <t>Secrets of a small town : the extraordinary confessions of ordinary people / Jerry Biederman.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Biederman, Jerry.</t>
        </is>
      </c>
      <c r="L109" t="inlineStr">
        <is>
          <t>New York : Pharos Books, 1991.</t>
        </is>
      </c>
      <c r="M109" t="inlineStr">
        <is>
          <t>1991</t>
        </is>
      </c>
      <c r="O109" t="inlineStr">
        <is>
          <t>eng</t>
        </is>
      </c>
      <c r="P109" t="inlineStr">
        <is>
          <t>nyu</t>
        </is>
      </c>
      <c r="R109" t="inlineStr">
        <is>
          <t xml:space="preserve">HT </t>
        </is>
      </c>
      <c r="S109" t="n">
        <v>2</v>
      </c>
      <c r="T109" t="n">
        <v>2</v>
      </c>
      <c r="U109" t="inlineStr">
        <is>
          <t>2002-03-18</t>
        </is>
      </c>
      <c r="V109" t="inlineStr">
        <is>
          <t>2002-03-18</t>
        </is>
      </c>
      <c r="W109" t="inlineStr">
        <is>
          <t>1991-08-13</t>
        </is>
      </c>
      <c r="X109" t="inlineStr">
        <is>
          <t>1991-08-13</t>
        </is>
      </c>
      <c r="Y109" t="n">
        <v>184</v>
      </c>
      <c r="Z109" t="n">
        <v>182</v>
      </c>
      <c r="AA109" t="n">
        <v>198</v>
      </c>
      <c r="AB109" t="n">
        <v>2</v>
      </c>
      <c r="AC109" t="n">
        <v>2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0</v>
      </c>
      <c r="AM109" t="n">
        <v>0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HYPERLINK("https://creighton-primo.hosted.exlibrisgroup.com/primo-explore/search?tab=default_tab&amp;search_scope=EVERYTHING&amp;vid=01CRU&amp;lang=en_US&amp;offset=0&amp;query=any,contains,991001819689702656","Catalog Record")</f>
        <v/>
      </c>
      <c r="AT109">
        <f>HYPERLINK("http://www.worldcat.org/oclc/22887405","WorldCat Record")</f>
        <v/>
      </c>
      <c r="AU109" t="inlineStr">
        <is>
          <t>24548634:eng</t>
        </is>
      </c>
      <c r="AV109" t="inlineStr">
        <is>
          <t>22887405</t>
        </is>
      </c>
      <c r="AW109" t="inlineStr">
        <is>
          <t>991001819689702656</t>
        </is>
      </c>
      <c r="AX109" t="inlineStr">
        <is>
          <t>991001819689702656</t>
        </is>
      </c>
      <c r="AY109" t="inlineStr">
        <is>
          <t>2268688930002656</t>
        </is>
      </c>
      <c r="AZ109" t="inlineStr">
        <is>
          <t>BOOK</t>
        </is>
      </c>
      <c r="BB109" t="inlineStr">
        <is>
          <t>9780886875282</t>
        </is>
      </c>
      <c r="BC109" t="inlineStr">
        <is>
          <t>32285000700517</t>
        </is>
      </c>
      <c r="BD109" t="inlineStr">
        <is>
          <t>893497409</t>
        </is>
      </c>
    </row>
    <row r="110">
      <c r="A110" t="inlineStr">
        <is>
          <t>No</t>
        </is>
      </c>
      <c r="B110" t="inlineStr">
        <is>
          <t>HT123 .B695</t>
        </is>
      </c>
      <c r="C110" t="inlineStr">
        <is>
          <t>0                      HT 0123000B  695</t>
        </is>
      </c>
      <c r="D110" t="inlineStr">
        <is>
          <t>Urban decline and the future of American cities / Katharine L. Bradbury, Anthony Downs, Kenneth A. Small.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Bradbury, Katharine L.</t>
        </is>
      </c>
      <c r="L110" t="inlineStr">
        <is>
          <t>Washington, D.C. : Brookings Institution, c1982.</t>
        </is>
      </c>
      <c r="M110" t="inlineStr">
        <is>
          <t>1982</t>
        </is>
      </c>
      <c r="O110" t="inlineStr">
        <is>
          <t>eng</t>
        </is>
      </c>
      <c r="P110" t="inlineStr">
        <is>
          <t>dcu</t>
        </is>
      </c>
      <c r="R110" t="inlineStr">
        <is>
          <t xml:space="preserve">HT </t>
        </is>
      </c>
      <c r="S110" t="n">
        <v>4</v>
      </c>
      <c r="T110" t="n">
        <v>4</v>
      </c>
      <c r="U110" t="inlineStr">
        <is>
          <t>2003-10-27</t>
        </is>
      </c>
      <c r="V110" t="inlineStr">
        <is>
          <t>2003-10-27</t>
        </is>
      </c>
      <c r="W110" t="inlineStr">
        <is>
          <t>1992-11-10</t>
        </is>
      </c>
      <c r="X110" t="inlineStr">
        <is>
          <t>1992-11-10</t>
        </is>
      </c>
      <c r="Y110" t="n">
        <v>1006</v>
      </c>
      <c r="Z110" t="n">
        <v>872</v>
      </c>
      <c r="AA110" t="n">
        <v>874</v>
      </c>
      <c r="AB110" t="n">
        <v>6</v>
      </c>
      <c r="AC110" t="n">
        <v>6</v>
      </c>
      <c r="AD110" t="n">
        <v>43</v>
      </c>
      <c r="AE110" t="n">
        <v>43</v>
      </c>
      <c r="AF110" t="n">
        <v>15</v>
      </c>
      <c r="AG110" t="n">
        <v>15</v>
      </c>
      <c r="AH110" t="n">
        <v>9</v>
      </c>
      <c r="AI110" t="n">
        <v>9</v>
      </c>
      <c r="AJ110" t="n">
        <v>19</v>
      </c>
      <c r="AK110" t="n">
        <v>19</v>
      </c>
      <c r="AL110" t="n">
        <v>4</v>
      </c>
      <c r="AM110" t="n">
        <v>4</v>
      </c>
      <c r="AN110" t="n">
        <v>8</v>
      </c>
      <c r="AO110" t="n">
        <v>8</v>
      </c>
      <c r="AP110" t="inlineStr">
        <is>
          <t>No</t>
        </is>
      </c>
      <c r="AQ110" t="inlineStr">
        <is>
          <t>Yes</t>
        </is>
      </c>
      <c r="AR110">
        <f>HYPERLINK("http://catalog.hathitrust.org/Record/000102986","HathiTrust Record")</f>
        <v/>
      </c>
      <c r="AS110">
        <f>HYPERLINK("https://creighton-primo.hosted.exlibrisgroup.com/primo-explore/search?tab=default_tab&amp;search_scope=EVERYTHING&amp;vid=01CRU&amp;lang=en_US&amp;offset=0&amp;query=any,contains,991005233919702656","Catalog Record")</f>
        <v/>
      </c>
      <c r="AT110">
        <f>HYPERLINK("http://www.worldcat.org/oclc/8346842","WorldCat Record")</f>
        <v/>
      </c>
      <c r="AU110" t="inlineStr">
        <is>
          <t>477860:eng</t>
        </is>
      </c>
      <c r="AV110" t="inlineStr">
        <is>
          <t>8346842</t>
        </is>
      </c>
      <c r="AW110" t="inlineStr">
        <is>
          <t>991005233919702656</t>
        </is>
      </c>
      <c r="AX110" t="inlineStr">
        <is>
          <t>991005233919702656</t>
        </is>
      </c>
      <c r="AY110" t="inlineStr">
        <is>
          <t>2263817340002656</t>
        </is>
      </c>
      <c r="AZ110" t="inlineStr">
        <is>
          <t>BOOK</t>
        </is>
      </c>
      <c r="BB110" t="inlineStr">
        <is>
          <t>9780815710530</t>
        </is>
      </c>
      <c r="BC110" t="inlineStr">
        <is>
          <t>32285001384147</t>
        </is>
      </c>
      <c r="BD110" t="inlineStr">
        <is>
          <t>893777076</t>
        </is>
      </c>
    </row>
    <row r="111">
      <c r="A111" t="inlineStr">
        <is>
          <t>No</t>
        </is>
      </c>
      <c r="B111" t="inlineStr">
        <is>
          <t>HT123 .B73 1996</t>
        </is>
      </c>
      <c r="C111" t="inlineStr">
        <is>
          <t>0                      HT 0123000B  73          1996</t>
        </is>
      </c>
      <c r="D111" t="inlineStr">
        <is>
          <t>Breaking away : the future of cities : essays in memory of Robert F. Wagner, Jr. / Julia Vitullo-Martin, editor.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L111" t="inlineStr">
        <is>
          <t>New York : Twenthieth Century Fund, 1996.</t>
        </is>
      </c>
      <c r="M111" t="inlineStr">
        <is>
          <t>1996</t>
        </is>
      </c>
      <c r="O111" t="inlineStr">
        <is>
          <t>eng</t>
        </is>
      </c>
      <c r="P111" t="inlineStr">
        <is>
          <t>nyu</t>
        </is>
      </c>
      <c r="R111" t="inlineStr">
        <is>
          <t xml:space="preserve">HT </t>
        </is>
      </c>
      <c r="S111" t="n">
        <v>1</v>
      </c>
      <c r="T111" t="n">
        <v>1</v>
      </c>
      <c r="U111" t="inlineStr">
        <is>
          <t>2004-07-21</t>
        </is>
      </c>
      <c r="V111" t="inlineStr">
        <is>
          <t>2004-07-21</t>
        </is>
      </c>
      <c r="W111" t="inlineStr">
        <is>
          <t>1999-03-16</t>
        </is>
      </c>
      <c r="X111" t="inlineStr">
        <is>
          <t>1999-03-16</t>
        </is>
      </c>
      <c r="Y111" t="n">
        <v>284</v>
      </c>
      <c r="Z111" t="n">
        <v>254</v>
      </c>
      <c r="AA111" t="n">
        <v>263</v>
      </c>
      <c r="AB111" t="n">
        <v>2</v>
      </c>
      <c r="AC111" t="n">
        <v>2</v>
      </c>
      <c r="AD111" t="n">
        <v>16</v>
      </c>
      <c r="AE111" t="n">
        <v>16</v>
      </c>
      <c r="AF111" t="n">
        <v>2</v>
      </c>
      <c r="AG111" t="n">
        <v>2</v>
      </c>
      <c r="AH111" t="n">
        <v>5</v>
      </c>
      <c r="AI111" t="n">
        <v>5</v>
      </c>
      <c r="AJ111" t="n">
        <v>9</v>
      </c>
      <c r="AK111" t="n">
        <v>9</v>
      </c>
      <c r="AL111" t="n">
        <v>1</v>
      </c>
      <c r="AM111" t="n">
        <v>1</v>
      </c>
      <c r="AN111" t="n">
        <v>2</v>
      </c>
      <c r="AO111" t="n">
        <v>2</v>
      </c>
      <c r="AP111" t="inlineStr">
        <is>
          <t>No</t>
        </is>
      </c>
      <c r="AQ111" t="inlineStr">
        <is>
          <t>Yes</t>
        </is>
      </c>
      <c r="AR111">
        <f>HYPERLINK("http://catalog.hathitrust.org/Record/003034971","HathiTrust Record")</f>
        <v/>
      </c>
      <c r="AS111">
        <f>HYPERLINK("https://creighton-primo.hosted.exlibrisgroup.com/primo-explore/search?tab=default_tab&amp;search_scope=EVERYTHING&amp;vid=01CRU&amp;lang=en_US&amp;offset=0&amp;query=any,contains,991002551599702656","Catalog Record")</f>
        <v/>
      </c>
      <c r="AT111">
        <f>HYPERLINK("http://www.worldcat.org/oclc/33160972","WorldCat Record")</f>
        <v/>
      </c>
      <c r="AU111" t="inlineStr">
        <is>
          <t>889666768:eng</t>
        </is>
      </c>
      <c r="AV111" t="inlineStr">
        <is>
          <t>33160972</t>
        </is>
      </c>
      <c r="AW111" t="inlineStr">
        <is>
          <t>991002551599702656</t>
        </is>
      </c>
      <c r="AX111" t="inlineStr">
        <is>
          <t>991002551599702656</t>
        </is>
      </c>
      <c r="AY111" t="inlineStr">
        <is>
          <t>2263945880002656</t>
        </is>
      </c>
      <c r="AZ111" t="inlineStr">
        <is>
          <t>BOOK</t>
        </is>
      </c>
      <c r="BB111" t="inlineStr">
        <is>
          <t>9780870783791</t>
        </is>
      </c>
      <c r="BC111" t="inlineStr">
        <is>
          <t>32285003533055</t>
        </is>
      </c>
      <c r="BD111" t="inlineStr">
        <is>
          <t>893597584</t>
        </is>
      </c>
    </row>
    <row r="112">
      <c r="A112" t="inlineStr">
        <is>
          <t>No</t>
        </is>
      </c>
      <c r="B112" t="inlineStr">
        <is>
          <t>HT123 .C4965 1983</t>
        </is>
      </c>
      <c r="C112" t="inlineStr">
        <is>
          <t>0                      HT 0123000C  4965        1983</t>
        </is>
      </c>
      <c r="D112" t="inlineStr">
        <is>
          <t>Cities and urban living / Mark Baldassare, editor.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L112" t="inlineStr">
        <is>
          <t>New York : Columbia University Press, 1983.</t>
        </is>
      </c>
      <c r="M112" t="inlineStr">
        <is>
          <t>1983</t>
        </is>
      </c>
      <c r="O112" t="inlineStr">
        <is>
          <t>eng</t>
        </is>
      </c>
      <c r="P112" t="inlineStr">
        <is>
          <t>nyu</t>
        </is>
      </c>
      <c r="R112" t="inlineStr">
        <is>
          <t xml:space="preserve">HT </t>
        </is>
      </c>
      <c r="S112" t="n">
        <v>2</v>
      </c>
      <c r="T112" t="n">
        <v>2</v>
      </c>
      <c r="U112" t="inlineStr">
        <is>
          <t>2002-03-18</t>
        </is>
      </c>
      <c r="V112" t="inlineStr">
        <is>
          <t>2002-03-18</t>
        </is>
      </c>
      <c r="W112" t="inlineStr">
        <is>
          <t>1993-04-29</t>
        </is>
      </c>
      <c r="X112" t="inlineStr">
        <is>
          <t>1993-04-29</t>
        </is>
      </c>
      <c r="Y112" t="n">
        <v>412</v>
      </c>
      <c r="Z112" t="n">
        <v>312</v>
      </c>
      <c r="AA112" t="n">
        <v>317</v>
      </c>
      <c r="AB112" t="n">
        <v>3</v>
      </c>
      <c r="AC112" t="n">
        <v>3</v>
      </c>
      <c r="AD112" t="n">
        <v>14</v>
      </c>
      <c r="AE112" t="n">
        <v>14</v>
      </c>
      <c r="AF112" t="n">
        <v>7</v>
      </c>
      <c r="AG112" t="n">
        <v>7</v>
      </c>
      <c r="AH112" t="n">
        <v>2</v>
      </c>
      <c r="AI112" t="n">
        <v>2</v>
      </c>
      <c r="AJ112" t="n">
        <v>8</v>
      </c>
      <c r="AK112" t="n">
        <v>8</v>
      </c>
      <c r="AL112" t="n">
        <v>2</v>
      </c>
      <c r="AM112" t="n">
        <v>2</v>
      </c>
      <c r="AN112" t="n">
        <v>0</v>
      </c>
      <c r="AO112" t="n">
        <v>0</v>
      </c>
      <c r="AP112" t="inlineStr">
        <is>
          <t>No</t>
        </is>
      </c>
      <c r="AQ112" t="inlineStr">
        <is>
          <t>No</t>
        </is>
      </c>
      <c r="AS112">
        <f>HYPERLINK("https://creighton-primo.hosted.exlibrisgroup.com/primo-explore/search?tab=default_tab&amp;search_scope=EVERYTHING&amp;vid=01CRU&amp;lang=en_US&amp;offset=0&amp;query=any,contains,991000223009702656","Catalog Record")</f>
        <v/>
      </c>
      <c r="AT112">
        <f>HYPERLINK("http://www.worldcat.org/oclc/9579966","WorldCat Record")</f>
        <v/>
      </c>
      <c r="AU112" t="inlineStr">
        <is>
          <t>43523604:eng</t>
        </is>
      </c>
      <c r="AV112" t="inlineStr">
        <is>
          <t>9579966</t>
        </is>
      </c>
      <c r="AW112" t="inlineStr">
        <is>
          <t>991000223009702656</t>
        </is>
      </c>
      <c r="AX112" t="inlineStr">
        <is>
          <t>991000223009702656</t>
        </is>
      </c>
      <c r="AY112" t="inlineStr">
        <is>
          <t>2272104100002656</t>
        </is>
      </c>
      <c r="AZ112" t="inlineStr">
        <is>
          <t>BOOK</t>
        </is>
      </c>
      <c r="BB112" t="inlineStr">
        <is>
          <t>9780231055031</t>
        </is>
      </c>
      <c r="BC112" t="inlineStr">
        <is>
          <t>32285001632024</t>
        </is>
      </c>
      <c r="BD112" t="inlineStr">
        <is>
          <t>893243094</t>
        </is>
      </c>
    </row>
    <row r="113">
      <c r="A113" t="inlineStr">
        <is>
          <t>No</t>
        </is>
      </c>
      <c r="B113" t="inlineStr">
        <is>
          <t>HT123 .C67 1966</t>
        </is>
      </c>
      <c r="C113" t="inlineStr">
        <is>
          <t>0                      HT 0123000C  67          1966</t>
        </is>
      </c>
      <c r="D113" t="inlineStr">
        <is>
          <t>The secular city : secularization and urbanization in theological perspective.</t>
        </is>
      </c>
      <c r="F113" t="inlineStr">
        <is>
          <t>No</t>
        </is>
      </c>
      <c r="G113" t="inlineStr">
        <is>
          <t>1</t>
        </is>
      </c>
      <c r="H113" t="inlineStr">
        <is>
          <t>Yes</t>
        </is>
      </c>
      <c r="I113" t="inlineStr">
        <is>
          <t>No</t>
        </is>
      </c>
      <c r="J113" t="inlineStr">
        <is>
          <t>0</t>
        </is>
      </c>
      <c r="K113" t="inlineStr">
        <is>
          <t>Cox, Harvey, 1929-</t>
        </is>
      </c>
      <c r="L113" t="inlineStr">
        <is>
          <t>New York : Macmillan, [1966]</t>
        </is>
      </c>
      <c r="M113" t="inlineStr">
        <is>
          <t>1966</t>
        </is>
      </c>
      <c r="N113" t="inlineStr">
        <is>
          <t>Rev. ed.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HT </t>
        </is>
      </c>
      <c r="S113" t="n">
        <v>0</v>
      </c>
      <c r="T113" t="n">
        <v>3</v>
      </c>
      <c r="V113" t="inlineStr">
        <is>
          <t>2008-12-06</t>
        </is>
      </c>
      <c r="W113" t="inlineStr">
        <is>
          <t>1993-04-29</t>
        </is>
      </c>
      <c r="X113" t="inlineStr">
        <is>
          <t>1993-04-29</t>
        </is>
      </c>
      <c r="Y113" t="n">
        <v>1043</v>
      </c>
      <c r="Z113" t="n">
        <v>954</v>
      </c>
      <c r="AA113" t="n">
        <v>1668</v>
      </c>
      <c r="AB113" t="n">
        <v>7</v>
      </c>
      <c r="AC113" t="n">
        <v>12</v>
      </c>
      <c r="AD113" t="n">
        <v>37</v>
      </c>
      <c r="AE113" t="n">
        <v>62</v>
      </c>
      <c r="AF113" t="n">
        <v>16</v>
      </c>
      <c r="AG113" t="n">
        <v>25</v>
      </c>
      <c r="AH113" t="n">
        <v>7</v>
      </c>
      <c r="AI113" t="n">
        <v>11</v>
      </c>
      <c r="AJ113" t="n">
        <v>17</v>
      </c>
      <c r="AK113" t="n">
        <v>29</v>
      </c>
      <c r="AL113" t="n">
        <v>4</v>
      </c>
      <c r="AM113" t="n">
        <v>8</v>
      </c>
      <c r="AN113" t="n">
        <v>2</v>
      </c>
      <c r="AO113" t="n">
        <v>3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HYPERLINK("http://catalog.hathitrust.org/Record/001117069","HathiTrust Record")</f>
        <v/>
      </c>
      <c r="AS113">
        <f>HYPERLINK("https://creighton-primo.hosted.exlibrisgroup.com/primo-explore/search?tab=default_tab&amp;search_scope=EVERYTHING&amp;vid=01CRU&amp;lang=en_US&amp;offset=0&amp;query=any,contains,991003660649702656","Catalog Record")</f>
        <v/>
      </c>
      <c r="AT113">
        <f>HYPERLINK("http://www.worldcat.org/oclc/1268747","WorldCat Record")</f>
        <v/>
      </c>
      <c r="AU113" t="inlineStr">
        <is>
          <t>148209746:eng</t>
        </is>
      </c>
      <c r="AV113" t="inlineStr">
        <is>
          <t>1268747</t>
        </is>
      </c>
      <c r="AW113" t="inlineStr">
        <is>
          <t>991003660649702656</t>
        </is>
      </c>
      <c r="AX113" t="inlineStr">
        <is>
          <t>991003660649702656</t>
        </is>
      </c>
      <c r="AY113" t="inlineStr">
        <is>
          <t>2260180090002656</t>
        </is>
      </c>
      <c r="AZ113" t="inlineStr">
        <is>
          <t>BOOK</t>
        </is>
      </c>
      <c r="BC113" t="inlineStr">
        <is>
          <t>32285001632040</t>
        </is>
      </c>
      <c r="BD113" t="inlineStr">
        <is>
          <t>893781248</t>
        </is>
      </c>
    </row>
    <row r="114">
      <c r="A114" t="inlineStr">
        <is>
          <t>No</t>
        </is>
      </c>
      <c r="B114" t="inlineStr">
        <is>
          <t>HT123 .C67 1966</t>
        </is>
      </c>
      <c r="C114" t="inlineStr">
        <is>
          <t>0                      HT 0123000C  67          1966</t>
        </is>
      </c>
      <c r="D114" t="inlineStr">
        <is>
          <t>The secular city : secularization and urbanization in theological perspective.</t>
        </is>
      </c>
      <c r="F114" t="inlineStr">
        <is>
          <t>No</t>
        </is>
      </c>
      <c r="G114" t="inlineStr">
        <is>
          <t>1</t>
        </is>
      </c>
      <c r="H114" t="inlineStr">
        <is>
          <t>Yes</t>
        </is>
      </c>
      <c r="I114" t="inlineStr">
        <is>
          <t>No</t>
        </is>
      </c>
      <c r="J114" t="inlineStr">
        <is>
          <t>0</t>
        </is>
      </c>
      <c r="K114" t="inlineStr">
        <is>
          <t>Cox, Harvey, 1929-</t>
        </is>
      </c>
      <c r="L114" t="inlineStr">
        <is>
          <t>New York : Macmillan, [1966]</t>
        </is>
      </c>
      <c r="M114" t="inlineStr">
        <is>
          <t>1966</t>
        </is>
      </c>
      <c r="N114" t="inlineStr">
        <is>
          <t>Rev. ed.</t>
        </is>
      </c>
      <c r="O114" t="inlineStr">
        <is>
          <t>eng</t>
        </is>
      </c>
      <c r="P114" t="inlineStr">
        <is>
          <t>nyu</t>
        </is>
      </c>
      <c r="R114" t="inlineStr">
        <is>
          <t xml:space="preserve">HT </t>
        </is>
      </c>
      <c r="S114" t="n">
        <v>3</v>
      </c>
      <c r="T114" t="n">
        <v>3</v>
      </c>
      <c r="U114" t="inlineStr">
        <is>
          <t>2008-12-06</t>
        </is>
      </c>
      <c r="V114" t="inlineStr">
        <is>
          <t>2008-12-06</t>
        </is>
      </c>
      <c r="W114" t="inlineStr">
        <is>
          <t>1992-09-16</t>
        </is>
      </c>
      <c r="X114" t="inlineStr">
        <is>
          <t>1993-04-29</t>
        </is>
      </c>
      <c r="Y114" t="n">
        <v>1043</v>
      </c>
      <c r="Z114" t="n">
        <v>954</v>
      </c>
      <c r="AA114" t="n">
        <v>1668</v>
      </c>
      <c r="AB114" t="n">
        <v>7</v>
      </c>
      <c r="AC114" t="n">
        <v>12</v>
      </c>
      <c r="AD114" t="n">
        <v>37</v>
      </c>
      <c r="AE114" t="n">
        <v>62</v>
      </c>
      <c r="AF114" t="n">
        <v>16</v>
      </c>
      <c r="AG114" t="n">
        <v>25</v>
      </c>
      <c r="AH114" t="n">
        <v>7</v>
      </c>
      <c r="AI114" t="n">
        <v>11</v>
      </c>
      <c r="AJ114" t="n">
        <v>17</v>
      </c>
      <c r="AK114" t="n">
        <v>29</v>
      </c>
      <c r="AL114" t="n">
        <v>4</v>
      </c>
      <c r="AM114" t="n">
        <v>8</v>
      </c>
      <c r="AN114" t="n">
        <v>2</v>
      </c>
      <c r="AO114" t="n">
        <v>3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HYPERLINK("http://catalog.hathitrust.org/Record/001117069","HathiTrust Record")</f>
        <v/>
      </c>
      <c r="AS114">
        <f>HYPERLINK("https://creighton-primo.hosted.exlibrisgroup.com/primo-explore/search?tab=default_tab&amp;search_scope=EVERYTHING&amp;vid=01CRU&amp;lang=en_US&amp;offset=0&amp;query=any,contains,991003660649702656","Catalog Record")</f>
        <v/>
      </c>
      <c r="AT114">
        <f>HYPERLINK("http://www.worldcat.org/oclc/1268747","WorldCat Record")</f>
        <v/>
      </c>
      <c r="AU114" t="inlineStr">
        <is>
          <t>148209746:eng</t>
        </is>
      </c>
      <c r="AV114" t="inlineStr">
        <is>
          <t>1268747</t>
        </is>
      </c>
      <c r="AW114" t="inlineStr">
        <is>
          <t>991003660649702656</t>
        </is>
      </c>
      <c r="AX114" t="inlineStr">
        <is>
          <t>991003660649702656</t>
        </is>
      </c>
      <c r="AY114" t="inlineStr">
        <is>
          <t>2260180090002656</t>
        </is>
      </c>
      <c r="AZ114" t="inlineStr">
        <is>
          <t>BOOK</t>
        </is>
      </c>
      <c r="BC114" t="inlineStr">
        <is>
          <t>32285001300754</t>
        </is>
      </c>
      <c r="BD114" t="inlineStr">
        <is>
          <t>893781249</t>
        </is>
      </c>
    </row>
    <row r="115">
      <c r="A115" t="inlineStr">
        <is>
          <t>No</t>
        </is>
      </c>
      <c r="B115" t="inlineStr">
        <is>
          <t>HT123 .D43 2002</t>
        </is>
      </c>
      <c r="C115" t="inlineStr">
        <is>
          <t>0                      HT 0123000D  43          2002</t>
        </is>
      </c>
      <c r="D115" t="inlineStr">
        <is>
          <t>Dead cities, and other tales / Mike Davis.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Davis, Mike, 1946-</t>
        </is>
      </c>
      <c r="L115" t="inlineStr">
        <is>
          <t>New York : New Press : Distributed by W.W. Norton, c2002.</t>
        </is>
      </c>
      <c r="M115" t="inlineStr">
        <is>
          <t>2002</t>
        </is>
      </c>
      <c r="O115" t="inlineStr">
        <is>
          <t>eng</t>
        </is>
      </c>
      <c r="P115" t="inlineStr">
        <is>
          <t>nyu</t>
        </is>
      </c>
      <c r="R115" t="inlineStr">
        <is>
          <t xml:space="preserve">HT </t>
        </is>
      </c>
      <c r="S115" t="n">
        <v>2</v>
      </c>
      <c r="T115" t="n">
        <v>2</v>
      </c>
      <c r="U115" t="inlineStr">
        <is>
          <t>2010-04-10</t>
        </is>
      </c>
      <c r="V115" t="inlineStr">
        <is>
          <t>2010-04-10</t>
        </is>
      </c>
      <c r="W115" t="inlineStr">
        <is>
          <t>2002-10-23</t>
        </is>
      </c>
      <c r="X115" t="inlineStr">
        <is>
          <t>2002-10-23</t>
        </is>
      </c>
      <c r="Y115" t="n">
        <v>749</v>
      </c>
      <c r="Z115" t="n">
        <v>602</v>
      </c>
      <c r="AA115" t="n">
        <v>624</v>
      </c>
      <c r="AB115" t="n">
        <v>4</v>
      </c>
      <c r="AC115" t="n">
        <v>4</v>
      </c>
      <c r="AD115" t="n">
        <v>22</v>
      </c>
      <c r="AE115" t="n">
        <v>23</v>
      </c>
      <c r="AF115" t="n">
        <v>7</v>
      </c>
      <c r="AG115" t="n">
        <v>7</v>
      </c>
      <c r="AH115" t="n">
        <v>8</v>
      </c>
      <c r="AI115" t="n">
        <v>9</v>
      </c>
      <c r="AJ115" t="n">
        <v>12</v>
      </c>
      <c r="AK115" t="n">
        <v>13</v>
      </c>
      <c r="AL115" t="n">
        <v>3</v>
      </c>
      <c r="AM115" t="n">
        <v>3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HYPERLINK("https://creighton-primo.hosted.exlibrisgroup.com/primo-explore/search?tab=default_tab&amp;search_scope=EVERYTHING&amp;vid=01CRU&amp;lang=en_US&amp;offset=0&amp;query=any,contains,991003917379702656","Catalog Record")</f>
        <v/>
      </c>
      <c r="AT115">
        <f>HYPERLINK("http://www.worldcat.org/oclc/50448138","WorldCat Record")</f>
        <v/>
      </c>
      <c r="AU115" t="inlineStr">
        <is>
          <t>941207:eng</t>
        </is>
      </c>
      <c r="AV115" t="inlineStr">
        <is>
          <t>50448138</t>
        </is>
      </c>
      <c r="AW115" t="inlineStr">
        <is>
          <t>991003917379702656</t>
        </is>
      </c>
      <c r="AX115" t="inlineStr">
        <is>
          <t>991003917379702656</t>
        </is>
      </c>
      <c r="AY115" t="inlineStr">
        <is>
          <t>2270964650002656</t>
        </is>
      </c>
      <c r="AZ115" t="inlineStr">
        <is>
          <t>BOOK</t>
        </is>
      </c>
      <c r="BB115" t="inlineStr">
        <is>
          <t>9781565847651</t>
        </is>
      </c>
      <c r="BC115" t="inlineStr">
        <is>
          <t>32285004657515</t>
        </is>
      </c>
      <c r="BD115" t="inlineStr">
        <is>
          <t>893881828</t>
        </is>
      </c>
    </row>
    <row r="116">
      <c r="A116" t="inlineStr">
        <is>
          <t>No</t>
        </is>
      </c>
      <c r="B116" t="inlineStr">
        <is>
          <t>HT123 .F38 1998</t>
        </is>
      </c>
      <c r="C116" t="inlineStr">
        <is>
          <t>0                      HT 0123000F  38          1998</t>
        </is>
      </c>
      <c r="D116" t="inlineStr">
        <is>
          <t>The new urban paradigm : critical perspectives on the city / Joe R. Feagin.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Feagin, Joe R.</t>
        </is>
      </c>
      <c r="L116" t="inlineStr">
        <is>
          <t>Lanham, MD : Rowman &amp; Littlefield Publishers, c1998.</t>
        </is>
      </c>
      <c r="M116" t="inlineStr">
        <is>
          <t>1998</t>
        </is>
      </c>
      <c r="O116" t="inlineStr">
        <is>
          <t>eng</t>
        </is>
      </c>
      <c r="P116" t="inlineStr">
        <is>
          <t>mdu</t>
        </is>
      </c>
      <c r="R116" t="inlineStr">
        <is>
          <t xml:space="preserve">HT </t>
        </is>
      </c>
      <c r="S116" t="n">
        <v>3</v>
      </c>
      <c r="T116" t="n">
        <v>3</v>
      </c>
      <c r="U116" t="inlineStr">
        <is>
          <t>2000-11-08</t>
        </is>
      </c>
      <c r="V116" t="inlineStr">
        <is>
          <t>2000-11-08</t>
        </is>
      </c>
      <c r="W116" t="inlineStr">
        <is>
          <t>2000-01-31</t>
        </is>
      </c>
      <c r="X116" t="inlineStr">
        <is>
          <t>2000-01-31</t>
        </is>
      </c>
      <c r="Y116" t="n">
        <v>512</v>
      </c>
      <c r="Z116" t="n">
        <v>416</v>
      </c>
      <c r="AA116" t="n">
        <v>419</v>
      </c>
      <c r="AB116" t="n">
        <v>5</v>
      </c>
      <c r="AC116" t="n">
        <v>5</v>
      </c>
      <c r="AD116" t="n">
        <v>29</v>
      </c>
      <c r="AE116" t="n">
        <v>29</v>
      </c>
      <c r="AF116" t="n">
        <v>11</v>
      </c>
      <c r="AG116" t="n">
        <v>11</v>
      </c>
      <c r="AH116" t="n">
        <v>8</v>
      </c>
      <c r="AI116" t="n">
        <v>8</v>
      </c>
      <c r="AJ116" t="n">
        <v>16</v>
      </c>
      <c r="AK116" t="n">
        <v>16</v>
      </c>
      <c r="AL116" t="n">
        <v>4</v>
      </c>
      <c r="AM116" t="n">
        <v>4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HYPERLINK("http://catalog.hathitrust.org/Record/003957338","HathiTrust Record")</f>
        <v/>
      </c>
      <c r="AS116">
        <f>HYPERLINK("https://creighton-primo.hosted.exlibrisgroup.com/primo-explore/search?tab=default_tab&amp;search_scope=EVERYTHING&amp;vid=01CRU&amp;lang=en_US&amp;offset=0&amp;query=any,contains,991002827369702656","Catalog Record")</f>
        <v/>
      </c>
      <c r="AT116">
        <f>HYPERLINK("http://www.worldcat.org/oclc/37226884","WorldCat Record")</f>
        <v/>
      </c>
      <c r="AU116" t="inlineStr">
        <is>
          <t>836978600:eng</t>
        </is>
      </c>
      <c r="AV116" t="inlineStr">
        <is>
          <t>37226884</t>
        </is>
      </c>
      <c r="AW116" t="inlineStr">
        <is>
          <t>991002827369702656</t>
        </is>
      </c>
      <c r="AX116" t="inlineStr">
        <is>
          <t>991002827369702656</t>
        </is>
      </c>
      <c r="AY116" t="inlineStr">
        <is>
          <t>2255029990002656</t>
        </is>
      </c>
      <c r="AZ116" t="inlineStr">
        <is>
          <t>BOOK</t>
        </is>
      </c>
      <c r="BB116" t="inlineStr">
        <is>
          <t>9780847684984</t>
        </is>
      </c>
      <c r="BC116" t="inlineStr">
        <is>
          <t>32285003656781</t>
        </is>
      </c>
      <c r="BD116" t="inlineStr">
        <is>
          <t>893622783</t>
        </is>
      </c>
    </row>
    <row r="117">
      <c r="A117" t="inlineStr">
        <is>
          <t>No</t>
        </is>
      </c>
      <c r="B117" t="inlineStr">
        <is>
          <t>HT123 .G565</t>
        </is>
      </c>
      <c r="C117" t="inlineStr">
        <is>
          <t>0                      HT 0123000G  565</t>
        </is>
      </c>
      <c r="D117" t="inlineStr">
        <is>
          <t>Cities in trouble. Edited with an introd. by Nathan Glazer.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Glazer, Nathan compiler.</t>
        </is>
      </c>
      <c r="L117" t="inlineStr">
        <is>
          <t>Chicago, Quadrangle Books [1970]</t>
        </is>
      </c>
      <c r="M117" t="inlineStr">
        <is>
          <t>1970</t>
        </is>
      </c>
      <c r="O117" t="inlineStr">
        <is>
          <t>eng</t>
        </is>
      </c>
      <c r="P117" t="inlineStr">
        <is>
          <t>ilu</t>
        </is>
      </c>
      <c r="Q117" t="inlineStr">
        <is>
          <t>A Quadrangle paperback original</t>
        </is>
      </c>
      <c r="R117" t="inlineStr">
        <is>
          <t xml:space="preserve">HT </t>
        </is>
      </c>
      <c r="S117" t="n">
        <v>6</v>
      </c>
      <c r="T117" t="n">
        <v>6</v>
      </c>
      <c r="U117" t="inlineStr">
        <is>
          <t>2000-04-13</t>
        </is>
      </c>
      <c r="V117" t="inlineStr">
        <is>
          <t>2000-04-13</t>
        </is>
      </c>
      <c r="W117" t="inlineStr">
        <is>
          <t>1997-08-18</t>
        </is>
      </c>
      <c r="X117" t="inlineStr">
        <is>
          <t>1997-08-18</t>
        </is>
      </c>
      <c r="Y117" t="n">
        <v>688</v>
      </c>
      <c r="Z117" t="n">
        <v>601</v>
      </c>
      <c r="AA117" t="n">
        <v>605</v>
      </c>
      <c r="AB117" t="n">
        <v>6</v>
      </c>
      <c r="AC117" t="n">
        <v>6</v>
      </c>
      <c r="AD117" t="n">
        <v>31</v>
      </c>
      <c r="AE117" t="n">
        <v>31</v>
      </c>
      <c r="AF117" t="n">
        <v>7</v>
      </c>
      <c r="AG117" t="n">
        <v>7</v>
      </c>
      <c r="AH117" t="n">
        <v>6</v>
      </c>
      <c r="AI117" t="n">
        <v>6</v>
      </c>
      <c r="AJ117" t="n">
        <v>15</v>
      </c>
      <c r="AK117" t="n">
        <v>15</v>
      </c>
      <c r="AL117" t="n">
        <v>5</v>
      </c>
      <c r="AM117" t="n">
        <v>5</v>
      </c>
      <c r="AN117" t="n">
        <v>2</v>
      </c>
      <c r="AO117" t="n">
        <v>2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HYPERLINK("https://creighton-primo.hosted.exlibrisgroup.com/primo-explore/search?tab=default_tab&amp;search_scope=EVERYTHING&amp;vid=01CRU&amp;lang=en_US&amp;offset=0&amp;query=any,contains,991000144099702656","Catalog Record")</f>
        <v/>
      </c>
      <c r="AT117">
        <f>HYPERLINK("http://www.worldcat.org/oclc/58588","WorldCat Record")</f>
        <v/>
      </c>
      <c r="AU117" t="inlineStr">
        <is>
          <t>1196597:eng</t>
        </is>
      </c>
      <c r="AV117" t="inlineStr">
        <is>
          <t>58588</t>
        </is>
      </c>
      <c r="AW117" t="inlineStr">
        <is>
          <t>991000144099702656</t>
        </is>
      </c>
      <c r="AX117" t="inlineStr">
        <is>
          <t>991000144099702656</t>
        </is>
      </c>
      <c r="AY117" t="inlineStr">
        <is>
          <t>2260113120002656</t>
        </is>
      </c>
      <c r="AZ117" t="inlineStr">
        <is>
          <t>BOOK</t>
        </is>
      </c>
      <c r="BC117" t="inlineStr">
        <is>
          <t>32285003145694</t>
        </is>
      </c>
      <c r="BD117" t="inlineStr">
        <is>
          <t>893425470</t>
        </is>
      </c>
    </row>
    <row r="118">
      <c r="A118" t="inlineStr">
        <is>
          <t>No</t>
        </is>
      </c>
      <c r="B118" t="inlineStr">
        <is>
          <t>HT123 .H337 1998</t>
        </is>
      </c>
      <c r="C118" t="inlineStr">
        <is>
          <t>0                      HT 0123000H  337         1998</t>
        </is>
      </c>
      <c r="D118" t="inlineStr">
        <is>
          <t>Fantasy city : pleasure and profit in the postmodern metropolis / John Hannigan.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Hannigan, John.</t>
        </is>
      </c>
      <c r="L118" t="inlineStr">
        <is>
          <t>London ; New York : Routledge, 1998.</t>
        </is>
      </c>
      <c r="M118" t="inlineStr">
        <is>
          <t>1998</t>
        </is>
      </c>
      <c r="O118" t="inlineStr">
        <is>
          <t>eng</t>
        </is>
      </c>
      <c r="P118" t="inlineStr">
        <is>
          <t>enk</t>
        </is>
      </c>
      <c r="R118" t="inlineStr">
        <is>
          <t xml:space="preserve">HT </t>
        </is>
      </c>
      <c r="S118" t="n">
        <v>2</v>
      </c>
      <c r="T118" t="n">
        <v>2</v>
      </c>
      <c r="U118" t="inlineStr">
        <is>
          <t>2003-10-27</t>
        </is>
      </c>
      <c r="V118" t="inlineStr">
        <is>
          <t>2003-10-27</t>
        </is>
      </c>
      <c r="W118" t="inlineStr">
        <is>
          <t>1999-11-08</t>
        </is>
      </c>
      <c r="X118" t="inlineStr">
        <is>
          <t>1999-11-08</t>
        </is>
      </c>
      <c r="Y118" t="n">
        <v>547</v>
      </c>
      <c r="Z118" t="n">
        <v>374</v>
      </c>
      <c r="AA118" t="n">
        <v>405</v>
      </c>
      <c r="AB118" t="n">
        <v>3</v>
      </c>
      <c r="AC118" t="n">
        <v>3</v>
      </c>
      <c r="AD118" t="n">
        <v>20</v>
      </c>
      <c r="AE118" t="n">
        <v>20</v>
      </c>
      <c r="AF118" t="n">
        <v>7</v>
      </c>
      <c r="AG118" t="n">
        <v>7</v>
      </c>
      <c r="AH118" t="n">
        <v>8</v>
      </c>
      <c r="AI118" t="n">
        <v>8</v>
      </c>
      <c r="AJ118" t="n">
        <v>11</v>
      </c>
      <c r="AK118" t="n">
        <v>11</v>
      </c>
      <c r="AL118" t="n">
        <v>2</v>
      </c>
      <c r="AM118" t="n">
        <v>2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HYPERLINK("https://creighton-primo.hosted.exlibrisgroup.com/primo-explore/search?tab=default_tab&amp;search_scope=EVERYTHING&amp;vid=01CRU&amp;lang=en_US&amp;offset=0&amp;query=any,contains,991002937209702656","Catalog Record")</f>
        <v/>
      </c>
      <c r="AT118">
        <f>HYPERLINK("http://www.worldcat.org/oclc/39069508","WorldCat Record")</f>
        <v/>
      </c>
      <c r="AU118" t="inlineStr">
        <is>
          <t>793098064:eng</t>
        </is>
      </c>
      <c r="AV118" t="inlineStr">
        <is>
          <t>39069508</t>
        </is>
      </c>
      <c r="AW118" t="inlineStr">
        <is>
          <t>991002937209702656</t>
        </is>
      </c>
      <c r="AX118" t="inlineStr">
        <is>
          <t>991002937209702656</t>
        </is>
      </c>
      <c r="AY118" t="inlineStr">
        <is>
          <t>2261855580002656</t>
        </is>
      </c>
      <c r="AZ118" t="inlineStr">
        <is>
          <t>BOOK</t>
        </is>
      </c>
      <c r="BB118" t="inlineStr">
        <is>
          <t>9780415150972</t>
        </is>
      </c>
      <c r="BC118" t="inlineStr">
        <is>
          <t>32285003619342</t>
        </is>
      </c>
      <c r="BD118" t="inlineStr">
        <is>
          <t>893793129</t>
        </is>
      </c>
    </row>
    <row r="119">
      <c r="A119" t="inlineStr">
        <is>
          <t>No</t>
        </is>
      </c>
      <c r="B119" t="inlineStr">
        <is>
          <t>HT123 .H88</t>
        </is>
      </c>
      <c r="C119" t="inlineStr">
        <is>
          <t>0                      HT 0123000H  88</t>
        </is>
      </c>
      <c r="D119" t="inlineStr">
        <is>
          <t>The urban habitat : past, present, and future / Mary Jo Huth. --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Huth, Mary Jo.</t>
        </is>
      </c>
      <c r="L119" t="inlineStr">
        <is>
          <t>Chicago : Nelson-Hall, c1978.</t>
        </is>
      </c>
      <c r="M119" t="inlineStr">
        <is>
          <t>1978</t>
        </is>
      </c>
      <c r="O119" t="inlineStr">
        <is>
          <t>eng</t>
        </is>
      </c>
      <c r="P119" t="inlineStr">
        <is>
          <t>ilu</t>
        </is>
      </c>
      <c r="R119" t="inlineStr">
        <is>
          <t xml:space="preserve">HT </t>
        </is>
      </c>
      <c r="S119" t="n">
        <v>3</v>
      </c>
      <c r="T119" t="n">
        <v>3</v>
      </c>
      <c r="U119" t="inlineStr">
        <is>
          <t>1996-03-24</t>
        </is>
      </c>
      <c r="V119" t="inlineStr">
        <is>
          <t>1996-03-24</t>
        </is>
      </c>
      <c r="W119" t="inlineStr">
        <is>
          <t>1992-04-16</t>
        </is>
      </c>
      <c r="X119" t="inlineStr">
        <is>
          <t>1992-04-16</t>
        </is>
      </c>
      <c r="Y119" t="n">
        <v>399</v>
      </c>
      <c r="Z119" t="n">
        <v>343</v>
      </c>
      <c r="AA119" t="n">
        <v>348</v>
      </c>
      <c r="AB119" t="n">
        <v>3</v>
      </c>
      <c r="AC119" t="n">
        <v>3</v>
      </c>
      <c r="AD119" t="n">
        <v>12</v>
      </c>
      <c r="AE119" t="n">
        <v>12</v>
      </c>
      <c r="AF119" t="n">
        <v>4</v>
      </c>
      <c r="AG119" t="n">
        <v>4</v>
      </c>
      <c r="AH119" t="n">
        <v>2</v>
      </c>
      <c r="AI119" t="n">
        <v>2</v>
      </c>
      <c r="AJ119" t="n">
        <v>6</v>
      </c>
      <c r="AK119" t="n">
        <v>6</v>
      </c>
      <c r="AL119" t="n">
        <v>2</v>
      </c>
      <c r="AM119" t="n">
        <v>2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HYPERLINK("http://catalog.hathitrust.org/Record/000213630","HathiTrust Record")</f>
        <v/>
      </c>
      <c r="AS119">
        <f>HYPERLINK("https://creighton-primo.hosted.exlibrisgroup.com/primo-explore/search?tab=default_tab&amp;search_scope=EVERYTHING&amp;vid=01CRU&amp;lang=en_US&amp;offset=0&amp;query=any,contains,991004296489702656","Catalog Record")</f>
        <v/>
      </c>
      <c r="AT119">
        <f>HYPERLINK("http://www.worldcat.org/oclc/2965150","WorldCat Record")</f>
        <v/>
      </c>
      <c r="AU119" t="inlineStr">
        <is>
          <t>308991795:eng</t>
        </is>
      </c>
      <c r="AV119" t="inlineStr">
        <is>
          <t>2965150</t>
        </is>
      </c>
      <c r="AW119" t="inlineStr">
        <is>
          <t>991004296489702656</t>
        </is>
      </c>
      <c r="AX119" t="inlineStr">
        <is>
          <t>991004296489702656</t>
        </is>
      </c>
      <c r="AY119" t="inlineStr">
        <is>
          <t>2270273600002656</t>
        </is>
      </c>
      <c r="AZ119" t="inlineStr">
        <is>
          <t>BOOK</t>
        </is>
      </c>
      <c r="BB119" t="inlineStr">
        <is>
          <t>9780882293332</t>
        </is>
      </c>
      <c r="BC119" t="inlineStr">
        <is>
          <t>32285001044691</t>
        </is>
      </c>
      <c r="BD119" t="inlineStr">
        <is>
          <t>893800830</t>
        </is>
      </c>
    </row>
    <row r="120">
      <c r="A120" t="inlineStr">
        <is>
          <t>No</t>
        </is>
      </c>
      <c r="B120" t="inlineStr">
        <is>
          <t>HT123 .I43 1997</t>
        </is>
      </c>
      <c r="C120" t="inlineStr">
        <is>
          <t>0                      HT 0123000I  43          1997</t>
        </is>
      </c>
      <c r="D120" t="inlineStr">
        <is>
          <t>Reconstructing city politics : alternative economic development and urban regimes / David L. Imbroscio.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Imbroscio, David L.</t>
        </is>
      </c>
      <c r="L120" t="inlineStr">
        <is>
          <t>Thousand Oaks, Calif. : Sage Publications, c1997.</t>
        </is>
      </c>
      <c r="M120" t="inlineStr">
        <is>
          <t>1997</t>
        </is>
      </c>
      <c r="O120" t="inlineStr">
        <is>
          <t>eng</t>
        </is>
      </c>
      <c r="P120" t="inlineStr">
        <is>
          <t>cau</t>
        </is>
      </c>
      <c r="Q120" t="inlineStr">
        <is>
          <t>Cities &amp; planning series ; v. 1</t>
        </is>
      </c>
      <c r="R120" t="inlineStr">
        <is>
          <t xml:space="preserve">HT </t>
        </is>
      </c>
      <c r="S120" t="n">
        <v>8</v>
      </c>
      <c r="T120" t="n">
        <v>8</v>
      </c>
      <c r="U120" t="inlineStr">
        <is>
          <t>2000-11-26</t>
        </is>
      </c>
      <c r="V120" t="inlineStr">
        <is>
          <t>2000-11-26</t>
        </is>
      </c>
      <c r="W120" t="inlineStr">
        <is>
          <t>1997-05-05</t>
        </is>
      </c>
      <c r="X120" t="inlineStr">
        <is>
          <t>1997-05-05</t>
        </is>
      </c>
      <c r="Y120" t="n">
        <v>402</v>
      </c>
      <c r="Z120" t="n">
        <v>342</v>
      </c>
      <c r="AA120" t="n">
        <v>407</v>
      </c>
      <c r="AB120" t="n">
        <v>3</v>
      </c>
      <c r="AC120" t="n">
        <v>3</v>
      </c>
      <c r="AD120" t="n">
        <v>21</v>
      </c>
      <c r="AE120" t="n">
        <v>24</v>
      </c>
      <c r="AF120" t="n">
        <v>6</v>
      </c>
      <c r="AG120" t="n">
        <v>7</v>
      </c>
      <c r="AH120" t="n">
        <v>5</v>
      </c>
      <c r="AI120" t="n">
        <v>7</v>
      </c>
      <c r="AJ120" t="n">
        <v>12</v>
      </c>
      <c r="AK120" t="n">
        <v>13</v>
      </c>
      <c r="AL120" t="n">
        <v>2</v>
      </c>
      <c r="AM120" t="n">
        <v>2</v>
      </c>
      <c r="AN120" t="n">
        <v>1</v>
      </c>
      <c r="AO120" t="n">
        <v>1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HYPERLINK("http://catalog.hathitrust.org/Record/003150569","HathiTrust Record")</f>
        <v/>
      </c>
      <c r="AS120">
        <f>HYPERLINK("https://creighton-primo.hosted.exlibrisgroup.com/primo-explore/search?tab=default_tab&amp;search_scope=EVERYTHING&amp;vid=01CRU&amp;lang=en_US&amp;offset=0&amp;query=any,contains,991002706319702656","Catalog Record")</f>
        <v/>
      </c>
      <c r="AT120">
        <f>HYPERLINK("http://www.worldcat.org/oclc/35331236","WorldCat Record")</f>
        <v/>
      </c>
      <c r="AU120" t="inlineStr">
        <is>
          <t>40394721:eng</t>
        </is>
      </c>
      <c r="AV120" t="inlineStr">
        <is>
          <t>35331236</t>
        </is>
      </c>
      <c r="AW120" t="inlineStr">
        <is>
          <t>991002706319702656</t>
        </is>
      </c>
      <c r="AX120" t="inlineStr">
        <is>
          <t>991002706319702656</t>
        </is>
      </c>
      <c r="AY120" t="inlineStr">
        <is>
          <t>2262630960002656</t>
        </is>
      </c>
      <c r="AZ120" t="inlineStr">
        <is>
          <t>BOOK</t>
        </is>
      </c>
      <c r="BB120" t="inlineStr">
        <is>
          <t>9780761906124</t>
        </is>
      </c>
      <c r="BC120" t="inlineStr">
        <is>
          <t>32285002544277</t>
        </is>
      </c>
      <c r="BD120" t="inlineStr">
        <is>
          <t>893798906</t>
        </is>
      </c>
    </row>
    <row r="121">
      <c r="A121" t="inlineStr">
        <is>
          <t>No</t>
        </is>
      </c>
      <c r="B121" t="inlineStr">
        <is>
          <t>HT123 .L47 1980</t>
        </is>
      </c>
      <c r="C121" t="inlineStr">
        <is>
          <t>0                      HT 0123000L  47          1980</t>
        </is>
      </c>
      <c r="D121" t="inlineStr">
        <is>
          <t>Small town America : a narrative history, 1620- the present / Richard Lingeman.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Lingeman, Richard R.</t>
        </is>
      </c>
      <c r="L121" t="inlineStr">
        <is>
          <t>New York : Putnam, c1980.</t>
        </is>
      </c>
      <c r="M121" t="inlineStr">
        <is>
          <t>1980</t>
        </is>
      </c>
      <c r="O121" t="inlineStr">
        <is>
          <t>eng</t>
        </is>
      </c>
      <c r="P121" t="inlineStr">
        <is>
          <t>nyu</t>
        </is>
      </c>
      <c r="R121" t="inlineStr">
        <is>
          <t xml:space="preserve">HT </t>
        </is>
      </c>
      <c r="S121" t="n">
        <v>1</v>
      </c>
      <c r="T121" t="n">
        <v>1</v>
      </c>
      <c r="U121" t="inlineStr">
        <is>
          <t>2000-11-07</t>
        </is>
      </c>
      <c r="V121" t="inlineStr">
        <is>
          <t>2000-11-07</t>
        </is>
      </c>
      <c r="W121" t="inlineStr">
        <is>
          <t>1990-02-13</t>
        </is>
      </c>
      <c r="X121" t="inlineStr">
        <is>
          <t>1990-02-13</t>
        </is>
      </c>
      <c r="Y121" t="n">
        <v>1287</v>
      </c>
      <c r="Z121" t="n">
        <v>1218</v>
      </c>
      <c r="AA121" t="n">
        <v>1358</v>
      </c>
      <c r="AB121" t="n">
        <v>8</v>
      </c>
      <c r="AC121" t="n">
        <v>8</v>
      </c>
      <c r="AD121" t="n">
        <v>27</v>
      </c>
      <c r="AE121" t="n">
        <v>33</v>
      </c>
      <c r="AF121" t="n">
        <v>9</v>
      </c>
      <c r="AG121" t="n">
        <v>12</v>
      </c>
      <c r="AH121" t="n">
        <v>8</v>
      </c>
      <c r="AI121" t="n">
        <v>9</v>
      </c>
      <c r="AJ121" t="n">
        <v>16</v>
      </c>
      <c r="AK121" t="n">
        <v>20</v>
      </c>
      <c r="AL121" t="n">
        <v>4</v>
      </c>
      <c r="AM121" t="n">
        <v>4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HYPERLINK("https://creighton-primo.hosted.exlibrisgroup.com/primo-explore/search?tab=default_tab&amp;search_scope=EVERYTHING&amp;vid=01CRU&amp;lang=en_US&amp;offset=0&amp;query=any,contains,991004767009702656","Catalog Record")</f>
        <v/>
      </c>
      <c r="AT121">
        <f>HYPERLINK("http://www.worldcat.org/oclc/5029824","WorldCat Record")</f>
        <v/>
      </c>
      <c r="AU121" t="inlineStr">
        <is>
          <t>469072:eng</t>
        </is>
      </c>
      <c r="AV121" t="inlineStr">
        <is>
          <t>5029824</t>
        </is>
      </c>
      <c r="AW121" t="inlineStr">
        <is>
          <t>991004767009702656</t>
        </is>
      </c>
      <c r="AX121" t="inlineStr">
        <is>
          <t>991004767009702656</t>
        </is>
      </c>
      <c r="AY121" t="inlineStr">
        <is>
          <t>2271133080002656</t>
        </is>
      </c>
      <c r="AZ121" t="inlineStr">
        <is>
          <t>BOOK</t>
        </is>
      </c>
      <c r="BB121" t="inlineStr">
        <is>
          <t>9780399119880</t>
        </is>
      </c>
      <c r="BC121" t="inlineStr">
        <is>
          <t>32285000050939</t>
        </is>
      </c>
      <c r="BD121" t="inlineStr">
        <is>
          <t>893500932</t>
        </is>
      </c>
    </row>
    <row r="122">
      <c r="A122" t="inlineStr">
        <is>
          <t>No</t>
        </is>
      </c>
      <c r="B122" t="inlineStr">
        <is>
          <t>HT123 .M284 1984</t>
        </is>
      </c>
      <c r="C122" t="inlineStr">
        <is>
          <t>0                      HT 0123000M  284         1984</t>
        </is>
      </c>
      <c r="D122" t="inlineStr">
        <is>
          <t>America's cities : a report on the myth of urban renaissance / by Michael C.D. Macdonald.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K122" t="inlineStr">
        <is>
          <t>Macdonald, Michael C. D.</t>
        </is>
      </c>
      <c r="L122" t="inlineStr">
        <is>
          <t>New York : Simon and Schuster, c1984.</t>
        </is>
      </c>
      <c r="M122" t="inlineStr">
        <is>
          <t>1984</t>
        </is>
      </c>
      <c r="O122" t="inlineStr">
        <is>
          <t>eng</t>
        </is>
      </c>
      <c r="P122" t="inlineStr">
        <is>
          <t>nyu</t>
        </is>
      </c>
      <c r="R122" t="inlineStr">
        <is>
          <t xml:space="preserve">HT </t>
        </is>
      </c>
      <c r="S122" t="n">
        <v>3</v>
      </c>
      <c r="T122" t="n">
        <v>3</v>
      </c>
      <c r="U122" t="inlineStr">
        <is>
          <t>1998-11-23</t>
        </is>
      </c>
      <c r="V122" t="inlineStr">
        <is>
          <t>1998-11-23</t>
        </is>
      </c>
      <c r="W122" t="inlineStr">
        <is>
          <t>1991-12-09</t>
        </is>
      </c>
      <c r="X122" t="inlineStr">
        <is>
          <t>1991-12-09</t>
        </is>
      </c>
      <c r="Y122" t="n">
        <v>657</v>
      </c>
      <c r="Z122" t="n">
        <v>584</v>
      </c>
      <c r="AA122" t="n">
        <v>590</v>
      </c>
      <c r="AB122" t="n">
        <v>5</v>
      </c>
      <c r="AC122" t="n">
        <v>5</v>
      </c>
      <c r="AD122" t="n">
        <v>30</v>
      </c>
      <c r="AE122" t="n">
        <v>30</v>
      </c>
      <c r="AF122" t="n">
        <v>9</v>
      </c>
      <c r="AG122" t="n">
        <v>9</v>
      </c>
      <c r="AH122" t="n">
        <v>5</v>
      </c>
      <c r="AI122" t="n">
        <v>5</v>
      </c>
      <c r="AJ122" t="n">
        <v>15</v>
      </c>
      <c r="AK122" t="n">
        <v>15</v>
      </c>
      <c r="AL122" t="n">
        <v>4</v>
      </c>
      <c r="AM122" t="n">
        <v>4</v>
      </c>
      <c r="AN122" t="n">
        <v>4</v>
      </c>
      <c r="AO122" t="n">
        <v>4</v>
      </c>
      <c r="AP122" t="inlineStr">
        <is>
          <t>No</t>
        </is>
      </c>
      <c r="AQ122" t="inlineStr">
        <is>
          <t>No</t>
        </is>
      </c>
      <c r="AS122">
        <f>HYPERLINK("https://creighton-primo.hosted.exlibrisgroup.com/primo-explore/search?tab=default_tab&amp;search_scope=EVERYTHING&amp;vid=01CRU&amp;lang=en_US&amp;offset=0&amp;query=any,contains,991000410769702656","Catalog Record")</f>
        <v/>
      </c>
      <c r="AT122">
        <f>HYPERLINK("http://www.worldcat.org/oclc/10710606","WorldCat Record")</f>
        <v/>
      </c>
      <c r="AU122" t="inlineStr">
        <is>
          <t>2965599:eng</t>
        </is>
      </c>
      <c r="AV122" t="inlineStr">
        <is>
          <t>10710606</t>
        </is>
      </c>
      <c r="AW122" t="inlineStr">
        <is>
          <t>991000410769702656</t>
        </is>
      </c>
      <c r="AX122" t="inlineStr">
        <is>
          <t>991000410769702656</t>
        </is>
      </c>
      <c r="AY122" t="inlineStr">
        <is>
          <t>2260655900002656</t>
        </is>
      </c>
      <c r="AZ122" t="inlineStr">
        <is>
          <t>BOOK</t>
        </is>
      </c>
      <c r="BB122" t="inlineStr">
        <is>
          <t>9780671439132</t>
        </is>
      </c>
      <c r="BC122" t="inlineStr">
        <is>
          <t>32285000839570</t>
        </is>
      </c>
      <c r="BD122" t="inlineStr">
        <is>
          <t>893413331</t>
        </is>
      </c>
    </row>
    <row r="123">
      <c r="A123" t="inlineStr">
        <is>
          <t>No</t>
        </is>
      </c>
      <c r="B123" t="inlineStr">
        <is>
          <t>HT123 .M286 1997</t>
        </is>
      </c>
      <c r="C123" t="inlineStr">
        <is>
          <t>0                      HT 0123000M  286         1997</t>
        </is>
      </c>
      <c r="D123" t="inlineStr">
        <is>
          <t>The making of urban America / Raymond A. Mohl, editor.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L123" t="inlineStr">
        <is>
          <t>Wilmington, Del. : Scholarly Resources, c1997.</t>
        </is>
      </c>
      <c r="M123" t="inlineStr">
        <is>
          <t>1997</t>
        </is>
      </c>
      <c r="N123" t="inlineStr">
        <is>
          <t>2nd ed.</t>
        </is>
      </c>
      <c r="O123" t="inlineStr">
        <is>
          <t>eng</t>
        </is>
      </c>
      <c r="P123" t="inlineStr">
        <is>
          <t>deu</t>
        </is>
      </c>
      <c r="R123" t="inlineStr">
        <is>
          <t xml:space="preserve">HT </t>
        </is>
      </c>
      <c r="S123" t="n">
        <v>3</v>
      </c>
      <c r="T123" t="n">
        <v>3</v>
      </c>
      <c r="U123" t="inlineStr">
        <is>
          <t>2006-02-14</t>
        </is>
      </c>
      <c r="V123" t="inlineStr">
        <is>
          <t>2006-02-14</t>
        </is>
      </c>
      <c r="W123" t="inlineStr">
        <is>
          <t>1997-08-29</t>
        </is>
      </c>
      <c r="X123" t="inlineStr">
        <is>
          <t>1997-08-29</t>
        </is>
      </c>
      <c r="Y123" t="n">
        <v>245</v>
      </c>
      <c r="Z123" t="n">
        <v>203</v>
      </c>
      <c r="AA123" t="n">
        <v>477</v>
      </c>
      <c r="AB123" t="n">
        <v>1</v>
      </c>
      <c r="AC123" t="n">
        <v>2</v>
      </c>
      <c r="AD123" t="n">
        <v>12</v>
      </c>
      <c r="AE123" t="n">
        <v>23</v>
      </c>
      <c r="AF123" t="n">
        <v>7</v>
      </c>
      <c r="AG123" t="n">
        <v>12</v>
      </c>
      <c r="AH123" t="n">
        <v>2</v>
      </c>
      <c r="AI123" t="n">
        <v>5</v>
      </c>
      <c r="AJ123" t="n">
        <v>8</v>
      </c>
      <c r="AK123" t="n">
        <v>13</v>
      </c>
      <c r="AL123" t="n">
        <v>0</v>
      </c>
      <c r="AM123" t="n">
        <v>1</v>
      </c>
      <c r="AN123" t="n">
        <v>0</v>
      </c>
      <c r="AO123" t="n">
        <v>1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HYPERLINK("https://creighton-primo.hosted.exlibrisgroup.com/primo-explore/search?tab=default_tab&amp;search_scope=EVERYTHING&amp;vid=01CRU&amp;lang=en_US&amp;offset=0&amp;query=any,contains,991002770059702656","Catalog Record")</f>
        <v/>
      </c>
      <c r="AT123">
        <f>HYPERLINK("http://www.worldcat.org/oclc/36364119","WorldCat Record")</f>
        <v/>
      </c>
      <c r="AU123" t="inlineStr">
        <is>
          <t>3943300819:eng</t>
        </is>
      </c>
      <c r="AV123" t="inlineStr">
        <is>
          <t>36364119</t>
        </is>
      </c>
      <c r="AW123" t="inlineStr">
        <is>
          <t>991002770059702656</t>
        </is>
      </c>
      <c r="AX123" t="inlineStr">
        <is>
          <t>991002770059702656</t>
        </is>
      </c>
      <c r="AY123" t="inlineStr">
        <is>
          <t>2265042270002656</t>
        </is>
      </c>
      <c r="AZ123" t="inlineStr">
        <is>
          <t>BOOK</t>
        </is>
      </c>
      <c r="BB123" t="inlineStr">
        <is>
          <t>9780842026376</t>
        </is>
      </c>
      <c r="BC123" t="inlineStr">
        <is>
          <t>32285003003067</t>
        </is>
      </c>
      <c r="BD123" t="inlineStr">
        <is>
          <t>893591750</t>
        </is>
      </c>
    </row>
    <row r="124">
      <c r="A124" t="inlineStr">
        <is>
          <t>No</t>
        </is>
      </c>
      <c r="B124" t="inlineStr">
        <is>
          <t>HT123 .M58 1985</t>
        </is>
      </c>
      <c r="C124" t="inlineStr">
        <is>
          <t>0                      HT 0123000M  58          1985</t>
        </is>
      </c>
      <c r="D124" t="inlineStr">
        <is>
          <t>The new city : urban America in the Industrial Age, 1860-1920 / Raymond A. Mohl.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Mohl, Raymond A.</t>
        </is>
      </c>
      <c r="L124" t="inlineStr">
        <is>
          <t>Arlington Heights, Ill. : H. Davidson, c1985.</t>
        </is>
      </c>
      <c r="M124" t="inlineStr">
        <is>
          <t>1985</t>
        </is>
      </c>
      <c r="O124" t="inlineStr">
        <is>
          <t>eng</t>
        </is>
      </c>
      <c r="P124" t="inlineStr">
        <is>
          <t>ilu</t>
        </is>
      </c>
      <c r="Q124" t="inlineStr">
        <is>
          <t>The American history series</t>
        </is>
      </c>
      <c r="R124" t="inlineStr">
        <is>
          <t xml:space="preserve">HT </t>
        </is>
      </c>
      <c r="S124" t="n">
        <v>4</v>
      </c>
      <c r="T124" t="n">
        <v>4</v>
      </c>
      <c r="U124" t="inlineStr">
        <is>
          <t>1998-02-23</t>
        </is>
      </c>
      <c r="V124" t="inlineStr">
        <is>
          <t>1998-02-23</t>
        </is>
      </c>
      <c r="W124" t="inlineStr">
        <is>
          <t>1992-03-30</t>
        </is>
      </c>
      <c r="X124" t="inlineStr">
        <is>
          <t>1992-03-30</t>
        </is>
      </c>
      <c r="Y124" t="n">
        <v>446</v>
      </c>
      <c r="Z124" t="n">
        <v>367</v>
      </c>
      <c r="AA124" t="n">
        <v>369</v>
      </c>
      <c r="AB124" t="n">
        <v>5</v>
      </c>
      <c r="AC124" t="n">
        <v>5</v>
      </c>
      <c r="AD124" t="n">
        <v>22</v>
      </c>
      <c r="AE124" t="n">
        <v>22</v>
      </c>
      <c r="AF124" t="n">
        <v>8</v>
      </c>
      <c r="AG124" t="n">
        <v>8</v>
      </c>
      <c r="AH124" t="n">
        <v>5</v>
      </c>
      <c r="AI124" t="n">
        <v>5</v>
      </c>
      <c r="AJ124" t="n">
        <v>13</v>
      </c>
      <c r="AK124" t="n">
        <v>13</v>
      </c>
      <c r="AL124" t="n">
        <v>3</v>
      </c>
      <c r="AM124" t="n">
        <v>3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HYPERLINK("http://catalog.hathitrust.org/Record/000447409","HathiTrust Record")</f>
        <v/>
      </c>
      <c r="AS124">
        <f>HYPERLINK("https://creighton-primo.hosted.exlibrisgroup.com/primo-explore/search?tab=default_tab&amp;search_scope=EVERYTHING&amp;vid=01CRU&amp;lang=en_US&amp;offset=0&amp;query=any,contains,991000510239702656","Catalog Record")</f>
        <v/>
      </c>
      <c r="AT124">
        <f>HYPERLINK("http://www.worldcat.org/oclc/11235049","WorldCat Record")</f>
        <v/>
      </c>
      <c r="AU124" t="inlineStr">
        <is>
          <t>4111282:eng</t>
        </is>
      </c>
      <c r="AV124" t="inlineStr">
        <is>
          <t>11235049</t>
        </is>
      </c>
      <c r="AW124" t="inlineStr">
        <is>
          <t>991000510239702656</t>
        </is>
      </c>
      <c r="AX124" t="inlineStr">
        <is>
          <t>991000510239702656</t>
        </is>
      </c>
      <c r="AY124" t="inlineStr">
        <is>
          <t>2259467820002656</t>
        </is>
      </c>
      <c r="AZ124" t="inlineStr">
        <is>
          <t>BOOK</t>
        </is>
      </c>
      <c r="BB124" t="inlineStr">
        <is>
          <t>9780882958309</t>
        </is>
      </c>
      <c r="BC124" t="inlineStr">
        <is>
          <t>32285001041234</t>
        </is>
      </c>
      <c r="BD124" t="inlineStr">
        <is>
          <t>893345730</t>
        </is>
      </c>
    </row>
    <row r="125">
      <c r="A125" t="inlineStr">
        <is>
          <t>No</t>
        </is>
      </c>
      <c r="B125" t="inlineStr">
        <is>
          <t>HT123 .M635 1999</t>
        </is>
      </c>
      <c r="C125" t="inlineStr">
        <is>
          <t>0                      HT 0123000M  635         1999</t>
        </is>
      </c>
      <c r="D125" t="inlineStr">
        <is>
          <t>The American city : a social and cultural history / Daniel J. Monti, Jr.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Monti, Daniel J., Jr., 1949-</t>
        </is>
      </c>
      <c r="L125" t="inlineStr">
        <is>
          <t>Malden, Mass. : Blackwell Publishers, 1999.</t>
        </is>
      </c>
      <c r="M125" t="inlineStr">
        <is>
          <t>1999</t>
        </is>
      </c>
      <c r="O125" t="inlineStr">
        <is>
          <t>eng</t>
        </is>
      </c>
      <c r="P125" t="inlineStr">
        <is>
          <t>mau</t>
        </is>
      </c>
      <c r="R125" t="inlineStr">
        <is>
          <t xml:space="preserve">HT </t>
        </is>
      </c>
      <c r="S125" t="n">
        <v>3</v>
      </c>
      <c r="T125" t="n">
        <v>3</v>
      </c>
      <c r="U125" t="inlineStr">
        <is>
          <t>2001-12-13</t>
        </is>
      </c>
      <c r="V125" t="inlineStr">
        <is>
          <t>2001-12-13</t>
        </is>
      </c>
      <c r="W125" t="inlineStr">
        <is>
          <t>2001-12-12</t>
        </is>
      </c>
      <c r="X125" t="inlineStr">
        <is>
          <t>2001-12-12</t>
        </is>
      </c>
      <c r="Y125" t="n">
        <v>427</v>
      </c>
      <c r="Z125" t="n">
        <v>315</v>
      </c>
      <c r="AA125" t="n">
        <v>1032</v>
      </c>
      <c r="AB125" t="n">
        <v>3</v>
      </c>
      <c r="AC125" t="n">
        <v>3</v>
      </c>
      <c r="AD125" t="n">
        <v>14</v>
      </c>
      <c r="AE125" t="n">
        <v>22</v>
      </c>
      <c r="AF125" t="n">
        <v>3</v>
      </c>
      <c r="AG125" t="n">
        <v>9</v>
      </c>
      <c r="AH125" t="n">
        <v>3</v>
      </c>
      <c r="AI125" t="n">
        <v>4</v>
      </c>
      <c r="AJ125" t="n">
        <v>11</v>
      </c>
      <c r="AK125" t="n">
        <v>13</v>
      </c>
      <c r="AL125" t="n">
        <v>2</v>
      </c>
      <c r="AM125" t="n">
        <v>2</v>
      </c>
      <c r="AN125" t="n">
        <v>0</v>
      </c>
      <c r="AO125" t="n">
        <v>0</v>
      </c>
      <c r="AP125" t="inlineStr">
        <is>
          <t>No</t>
        </is>
      </c>
      <c r="AQ125" t="inlineStr">
        <is>
          <t>No</t>
        </is>
      </c>
      <c r="AS125">
        <f>HYPERLINK("https://creighton-primo.hosted.exlibrisgroup.com/primo-explore/search?tab=default_tab&amp;search_scope=EVERYTHING&amp;vid=01CRU&amp;lang=en_US&amp;offset=0&amp;query=any,contains,991003571499702656","Catalog Record")</f>
        <v/>
      </c>
      <c r="AT125">
        <f>HYPERLINK("http://www.worldcat.org/oclc/40881665","WorldCat Record")</f>
        <v/>
      </c>
      <c r="AU125" t="inlineStr">
        <is>
          <t>799987071:eng</t>
        </is>
      </c>
      <c r="AV125" t="inlineStr">
        <is>
          <t>40881665</t>
        </is>
      </c>
      <c r="AW125" t="inlineStr">
        <is>
          <t>991003571499702656</t>
        </is>
      </c>
      <c r="AX125" t="inlineStr">
        <is>
          <t>991003571499702656</t>
        </is>
      </c>
      <c r="AY125" t="inlineStr">
        <is>
          <t>2256404890002656</t>
        </is>
      </c>
      <c r="AZ125" t="inlineStr">
        <is>
          <t>BOOK</t>
        </is>
      </c>
      <c r="BB125" t="inlineStr">
        <is>
          <t>9781557869173</t>
        </is>
      </c>
      <c r="BC125" t="inlineStr">
        <is>
          <t>32285004428248</t>
        </is>
      </c>
      <c r="BD125" t="inlineStr">
        <is>
          <t>893336636</t>
        </is>
      </c>
    </row>
    <row r="126">
      <c r="A126" t="inlineStr">
        <is>
          <t>No</t>
        </is>
      </c>
      <c r="B126" t="inlineStr">
        <is>
          <t>HT123 .N45 1985</t>
        </is>
      </c>
      <c r="C126" t="inlineStr">
        <is>
          <t>0                      HT 0123000N  45          1985</t>
        </is>
      </c>
      <c r="D126" t="inlineStr">
        <is>
          <t>The New urban reality / Paul E. Peterson, editor.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L126" t="inlineStr">
        <is>
          <t>Washington, D.C. : Brookings Institution, c1985.</t>
        </is>
      </c>
      <c r="M126" t="inlineStr">
        <is>
          <t>1985</t>
        </is>
      </c>
      <c r="O126" t="inlineStr">
        <is>
          <t>eng</t>
        </is>
      </c>
      <c r="P126" t="inlineStr">
        <is>
          <t>dcu</t>
        </is>
      </c>
      <c r="R126" t="inlineStr">
        <is>
          <t xml:space="preserve">HT </t>
        </is>
      </c>
      <c r="S126" t="n">
        <v>2</v>
      </c>
      <c r="T126" t="n">
        <v>2</v>
      </c>
      <c r="U126" t="inlineStr">
        <is>
          <t>2003-10-27</t>
        </is>
      </c>
      <c r="V126" t="inlineStr">
        <is>
          <t>2003-10-27</t>
        </is>
      </c>
      <c r="W126" t="inlineStr">
        <is>
          <t>1990-06-06</t>
        </is>
      </c>
      <c r="X126" t="inlineStr">
        <is>
          <t>1990-06-06</t>
        </is>
      </c>
      <c r="Y126" t="n">
        <v>816</v>
      </c>
      <c r="Z126" t="n">
        <v>711</v>
      </c>
      <c r="AA126" t="n">
        <v>1002</v>
      </c>
      <c r="AB126" t="n">
        <v>5</v>
      </c>
      <c r="AC126" t="n">
        <v>7</v>
      </c>
      <c r="AD126" t="n">
        <v>34</v>
      </c>
      <c r="AE126" t="n">
        <v>36</v>
      </c>
      <c r="AF126" t="n">
        <v>11</v>
      </c>
      <c r="AG126" t="n">
        <v>11</v>
      </c>
      <c r="AH126" t="n">
        <v>8</v>
      </c>
      <c r="AI126" t="n">
        <v>8</v>
      </c>
      <c r="AJ126" t="n">
        <v>19</v>
      </c>
      <c r="AK126" t="n">
        <v>19</v>
      </c>
      <c r="AL126" t="n">
        <v>4</v>
      </c>
      <c r="AM126" t="n">
        <v>6</v>
      </c>
      <c r="AN126" t="n">
        <v>2</v>
      </c>
      <c r="AO126" t="n">
        <v>2</v>
      </c>
      <c r="AP126" t="inlineStr">
        <is>
          <t>No</t>
        </is>
      </c>
      <c r="AQ126" t="inlineStr">
        <is>
          <t>Yes</t>
        </is>
      </c>
      <c r="AR126">
        <f>HYPERLINK("http://catalog.hathitrust.org/Record/000347041","HathiTrust Record")</f>
        <v/>
      </c>
      <c r="AS126">
        <f>HYPERLINK("https://creighton-primo.hosted.exlibrisgroup.com/primo-explore/search?tab=default_tab&amp;search_scope=EVERYTHING&amp;vid=01CRU&amp;lang=en_US&amp;offset=0&amp;query=any,contains,991000580439702656","Catalog Record")</f>
        <v/>
      </c>
      <c r="AT126">
        <f>HYPERLINK("http://www.worldcat.org/oclc/11728365","WorldCat Record")</f>
        <v/>
      </c>
      <c r="AU126" t="inlineStr">
        <is>
          <t>344570522:eng</t>
        </is>
      </c>
      <c r="AV126" t="inlineStr">
        <is>
          <t>11728365</t>
        </is>
      </c>
      <c r="AW126" t="inlineStr">
        <is>
          <t>991000580439702656</t>
        </is>
      </c>
      <c r="AX126" t="inlineStr">
        <is>
          <t>991000580439702656</t>
        </is>
      </c>
      <c r="AY126" t="inlineStr">
        <is>
          <t>2262306590002656</t>
        </is>
      </c>
      <c r="AZ126" t="inlineStr">
        <is>
          <t>BOOK</t>
        </is>
      </c>
      <c r="BB126" t="inlineStr">
        <is>
          <t>9780815770176</t>
        </is>
      </c>
      <c r="BC126" t="inlineStr">
        <is>
          <t>32285000182211</t>
        </is>
      </c>
      <c r="BD126" t="inlineStr">
        <is>
          <t>893339684</t>
        </is>
      </c>
    </row>
    <row r="127">
      <c r="A127" t="inlineStr">
        <is>
          <t>No</t>
        </is>
      </c>
      <c r="B127" t="inlineStr">
        <is>
          <t>HT123 .N655 1998</t>
        </is>
      </c>
      <c r="C127" t="inlineStr">
        <is>
          <t>0                      HT 0123000N  655         1998</t>
        </is>
      </c>
      <c r="D127" t="inlineStr">
        <is>
          <t>The wealth of cities : revitalizing the centers of American life / John O. Norquist.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Norquist, John O.</t>
        </is>
      </c>
      <c r="L127" t="inlineStr">
        <is>
          <t>Reading, Mass. : Addison-Wesley, c1998.</t>
        </is>
      </c>
      <c r="M127" t="inlineStr">
        <is>
          <t>1998</t>
        </is>
      </c>
      <c r="O127" t="inlineStr">
        <is>
          <t>eng</t>
        </is>
      </c>
      <c r="P127" t="inlineStr">
        <is>
          <t>mau</t>
        </is>
      </c>
      <c r="R127" t="inlineStr">
        <is>
          <t xml:space="preserve">HT </t>
        </is>
      </c>
      <c r="S127" t="n">
        <v>2</v>
      </c>
      <c r="T127" t="n">
        <v>2</v>
      </c>
      <c r="U127" t="inlineStr">
        <is>
          <t>2007-09-16</t>
        </is>
      </c>
      <c r="V127" t="inlineStr">
        <is>
          <t>2007-09-16</t>
        </is>
      </c>
      <c r="W127" t="inlineStr">
        <is>
          <t>2001-05-02</t>
        </is>
      </c>
      <c r="X127" t="inlineStr">
        <is>
          <t>2001-05-02</t>
        </is>
      </c>
      <c r="Y127" t="n">
        <v>429</v>
      </c>
      <c r="Z127" t="n">
        <v>406</v>
      </c>
      <c r="AA127" t="n">
        <v>500</v>
      </c>
      <c r="AB127" t="n">
        <v>3</v>
      </c>
      <c r="AC127" t="n">
        <v>3</v>
      </c>
      <c r="AD127" t="n">
        <v>10</v>
      </c>
      <c r="AE127" t="n">
        <v>12</v>
      </c>
      <c r="AF127" t="n">
        <v>1</v>
      </c>
      <c r="AG127" t="n">
        <v>3</v>
      </c>
      <c r="AH127" t="n">
        <v>4</v>
      </c>
      <c r="AI127" t="n">
        <v>4</v>
      </c>
      <c r="AJ127" t="n">
        <v>6</v>
      </c>
      <c r="AK127" t="n">
        <v>6</v>
      </c>
      <c r="AL127" t="n">
        <v>2</v>
      </c>
      <c r="AM127" t="n">
        <v>2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HYPERLINK("http://catalog.hathitrust.org/Record/003976197","HathiTrust Record")</f>
        <v/>
      </c>
      <c r="AS127">
        <f>HYPERLINK("https://creighton-primo.hosted.exlibrisgroup.com/primo-explore/search?tab=default_tab&amp;search_scope=EVERYTHING&amp;vid=01CRU&amp;lang=en_US&amp;offset=0&amp;query=any,contains,991003502039702656","Catalog Record")</f>
        <v/>
      </c>
      <c r="AT127">
        <f>HYPERLINK("http://www.worldcat.org/oclc/37947469","WorldCat Record")</f>
        <v/>
      </c>
      <c r="AU127" t="inlineStr">
        <is>
          <t>600267:eng</t>
        </is>
      </c>
      <c r="AV127" t="inlineStr">
        <is>
          <t>37947469</t>
        </is>
      </c>
      <c r="AW127" t="inlineStr">
        <is>
          <t>991003502039702656</t>
        </is>
      </c>
      <c r="AX127" t="inlineStr">
        <is>
          <t>991003502039702656</t>
        </is>
      </c>
      <c r="AY127" t="inlineStr">
        <is>
          <t>2268225600002656</t>
        </is>
      </c>
      <c r="AZ127" t="inlineStr">
        <is>
          <t>BOOK</t>
        </is>
      </c>
      <c r="BB127" t="inlineStr">
        <is>
          <t>9780201442137</t>
        </is>
      </c>
      <c r="BC127" t="inlineStr">
        <is>
          <t>32285004315726</t>
        </is>
      </c>
      <c r="BD127" t="inlineStr">
        <is>
          <t>893348743</t>
        </is>
      </c>
    </row>
    <row r="128">
      <c r="A128" t="inlineStr">
        <is>
          <t>No</t>
        </is>
      </c>
      <c r="B128" t="inlineStr">
        <is>
          <t>HT123 .P763</t>
        </is>
      </c>
      <c r="C128" t="inlineStr">
        <is>
          <t>0                      HT 0123000P  763</t>
        </is>
      </c>
      <c r="D128" t="inlineStr">
        <is>
          <t>The Prospective city : economic, population, energy, and environmental developments / edited by Arthur P. Solomon.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L128" t="inlineStr">
        <is>
          <t>Cambridge, Mass. : MIT Press, c1980.</t>
        </is>
      </c>
      <c r="M128" t="inlineStr">
        <is>
          <t>1980</t>
        </is>
      </c>
      <c r="O128" t="inlineStr">
        <is>
          <t>eng</t>
        </is>
      </c>
      <c r="P128" t="inlineStr">
        <is>
          <t>mau</t>
        </is>
      </c>
      <c r="R128" t="inlineStr">
        <is>
          <t xml:space="preserve">HT </t>
        </is>
      </c>
      <c r="S128" t="n">
        <v>1</v>
      </c>
      <c r="T128" t="n">
        <v>1</v>
      </c>
      <c r="U128" t="inlineStr">
        <is>
          <t>2006-11-02</t>
        </is>
      </c>
      <c r="V128" t="inlineStr">
        <is>
          <t>2006-11-02</t>
        </is>
      </c>
      <c r="W128" t="inlineStr">
        <is>
          <t>1992-12-09</t>
        </is>
      </c>
      <c r="X128" t="inlineStr">
        <is>
          <t>1992-12-09</t>
        </is>
      </c>
      <c r="Y128" t="n">
        <v>569</v>
      </c>
      <c r="Z128" t="n">
        <v>437</v>
      </c>
      <c r="AA128" t="n">
        <v>445</v>
      </c>
      <c r="AB128" t="n">
        <v>3</v>
      </c>
      <c r="AC128" t="n">
        <v>3</v>
      </c>
      <c r="AD128" t="n">
        <v>20</v>
      </c>
      <c r="AE128" t="n">
        <v>21</v>
      </c>
      <c r="AF128" t="n">
        <v>5</v>
      </c>
      <c r="AG128" t="n">
        <v>5</v>
      </c>
      <c r="AH128" t="n">
        <v>4</v>
      </c>
      <c r="AI128" t="n">
        <v>4</v>
      </c>
      <c r="AJ128" t="n">
        <v>11</v>
      </c>
      <c r="AK128" t="n">
        <v>12</v>
      </c>
      <c r="AL128" t="n">
        <v>2</v>
      </c>
      <c r="AM128" t="n">
        <v>2</v>
      </c>
      <c r="AN128" t="n">
        <v>2</v>
      </c>
      <c r="AO128" t="n">
        <v>2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HYPERLINK("https://creighton-primo.hosted.exlibrisgroup.com/primo-explore/search?tab=default_tab&amp;search_scope=EVERYTHING&amp;vid=01CRU&amp;lang=en_US&amp;offset=0&amp;query=any,contains,991004817119702656","Catalog Record")</f>
        <v/>
      </c>
      <c r="AT128">
        <f>HYPERLINK("http://www.worldcat.org/oclc/5310829","WorldCat Record")</f>
        <v/>
      </c>
      <c r="AU128" t="inlineStr">
        <is>
          <t>836632894:eng</t>
        </is>
      </c>
      <c r="AV128" t="inlineStr">
        <is>
          <t>5310829</t>
        </is>
      </c>
      <c r="AW128" t="inlineStr">
        <is>
          <t>991004817119702656</t>
        </is>
      </c>
      <c r="AX128" t="inlineStr">
        <is>
          <t>991004817119702656</t>
        </is>
      </c>
      <c r="AY128" t="inlineStr">
        <is>
          <t>2264410130002656</t>
        </is>
      </c>
      <c r="AZ128" t="inlineStr">
        <is>
          <t>BOOK</t>
        </is>
      </c>
      <c r="BB128" t="inlineStr">
        <is>
          <t>9780262191821</t>
        </is>
      </c>
      <c r="BC128" t="inlineStr">
        <is>
          <t>32285001414415</t>
        </is>
      </c>
      <c r="BD128" t="inlineStr">
        <is>
          <t>893350417</t>
        </is>
      </c>
    </row>
    <row r="129">
      <c r="A129" t="inlineStr">
        <is>
          <t>No</t>
        </is>
      </c>
      <c r="B129" t="inlineStr">
        <is>
          <t>HT123 .R45</t>
        </is>
      </c>
      <c r="C129" t="inlineStr">
        <is>
          <t>0                      HT 0123000R  45</t>
        </is>
      </c>
      <c r="D129" t="inlineStr">
        <is>
          <t>Resettling America : energy, ecology, &amp; community / edited by Gary J. Coates ; foreword by Amory Louins.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L129" t="inlineStr">
        <is>
          <t>Andover, Mass. : Brick House Pub. Co., c1981.</t>
        </is>
      </c>
      <c r="M129" t="inlineStr">
        <is>
          <t>1981</t>
        </is>
      </c>
      <c r="O129" t="inlineStr">
        <is>
          <t>eng</t>
        </is>
      </c>
      <c r="P129" t="inlineStr">
        <is>
          <t>mau</t>
        </is>
      </c>
      <c r="R129" t="inlineStr">
        <is>
          <t xml:space="preserve">HT </t>
        </is>
      </c>
      <c r="S129" t="n">
        <v>0</v>
      </c>
      <c r="T129" t="n">
        <v>0</v>
      </c>
      <c r="U129" t="inlineStr">
        <is>
          <t>2001-02-27</t>
        </is>
      </c>
      <c r="V129" t="inlineStr">
        <is>
          <t>2001-02-27</t>
        </is>
      </c>
      <c r="W129" t="inlineStr">
        <is>
          <t>1993-05-06</t>
        </is>
      </c>
      <c r="X129" t="inlineStr">
        <is>
          <t>1993-05-06</t>
        </is>
      </c>
      <c r="Y129" t="n">
        <v>296</v>
      </c>
      <c r="Z129" t="n">
        <v>263</v>
      </c>
      <c r="AA129" t="n">
        <v>265</v>
      </c>
      <c r="AB129" t="n">
        <v>2</v>
      </c>
      <c r="AC129" t="n">
        <v>2</v>
      </c>
      <c r="AD129" t="n">
        <v>9</v>
      </c>
      <c r="AE129" t="n">
        <v>9</v>
      </c>
      <c r="AF129" t="n">
        <v>3</v>
      </c>
      <c r="AG129" t="n">
        <v>3</v>
      </c>
      <c r="AH129" t="n">
        <v>2</v>
      </c>
      <c r="AI129" t="n">
        <v>2</v>
      </c>
      <c r="AJ129" t="n">
        <v>4</v>
      </c>
      <c r="AK129" t="n">
        <v>4</v>
      </c>
      <c r="AL129" t="n">
        <v>1</v>
      </c>
      <c r="AM129" t="n">
        <v>1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HYPERLINK("http://catalog.hathitrust.org/Record/000762914","HathiTrust Record")</f>
        <v/>
      </c>
      <c r="AS129">
        <f>HYPERLINK("https://creighton-primo.hosted.exlibrisgroup.com/primo-explore/search?tab=default_tab&amp;search_scope=EVERYTHING&amp;vid=01CRU&amp;lang=en_US&amp;offset=0&amp;query=any,contains,991005105499702656","Catalog Record")</f>
        <v/>
      </c>
      <c r="AT129">
        <f>HYPERLINK("http://www.worldcat.org/oclc/7329414","WorldCat Record")</f>
        <v/>
      </c>
      <c r="AU129" t="inlineStr">
        <is>
          <t>563350:eng</t>
        </is>
      </c>
      <c r="AV129" t="inlineStr">
        <is>
          <t>7329414</t>
        </is>
      </c>
      <c r="AW129" t="inlineStr">
        <is>
          <t>991005105499702656</t>
        </is>
      </c>
      <c r="AX129" t="inlineStr">
        <is>
          <t>991005105499702656</t>
        </is>
      </c>
      <c r="AY129" t="inlineStr">
        <is>
          <t>2271514340002656</t>
        </is>
      </c>
      <c r="AZ129" t="inlineStr">
        <is>
          <t>BOOK</t>
        </is>
      </c>
      <c r="BB129" t="inlineStr">
        <is>
          <t>9780931790065</t>
        </is>
      </c>
      <c r="BC129" t="inlineStr">
        <is>
          <t>32285001673044</t>
        </is>
      </c>
      <c r="BD129" t="inlineStr">
        <is>
          <t>893870522</t>
        </is>
      </c>
    </row>
    <row r="130">
      <c r="A130" t="inlineStr">
        <is>
          <t>No</t>
        </is>
      </c>
      <c r="B130" t="inlineStr">
        <is>
          <t>HT123 .R843 1999</t>
        </is>
      </c>
      <c r="C130" t="inlineStr">
        <is>
          <t>0                      HT 0123000R  843         1999</t>
        </is>
      </c>
      <c r="D130" t="inlineStr">
        <is>
          <t>Inside game, outside game : winning strategies for saving urban America / David Rusk.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Rusk, David.</t>
        </is>
      </c>
      <c r="L130" t="inlineStr">
        <is>
          <t>Washington, D.C. : Brookings Institution Press, c1999.</t>
        </is>
      </c>
      <c r="M130" t="inlineStr">
        <is>
          <t>1999</t>
        </is>
      </c>
      <c r="O130" t="inlineStr">
        <is>
          <t>eng</t>
        </is>
      </c>
      <c r="P130" t="inlineStr">
        <is>
          <t>dcu</t>
        </is>
      </c>
      <c r="R130" t="inlineStr">
        <is>
          <t xml:space="preserve">HT </t>
        </is>
      </c>
      <c r="S130" t="n">
        <v>11</v>
      </c>
      <c r="T130" t="n">
        <v>11</v>
      </c>
      <c r="U130" t="inlineStr">
        <is>
          <t>2005-09-26</t>
        </is>
      </c>
      <c r="V130" t="inlineStr">
        <is>
          <t>2005-09-26</t>
        </is>
      </c>
      <c r="W130" t="inlineStr">
        <is>
          <t>1999-03-31</t>
        </is>
      </c>
      <c r="X130" t="inlineStr">
        <is>
          <t>1999-03-31</t>
        </is>
      </c>
      <c r="Y130" t="n">
        <v>598</v>
      </c>
      <c r="Z130" t="n">
        <v>542</v>
      </c>
      <c r="AA130" t="n">
        <v>726</v>
      </c>
      <c r="AB130" t="n">
        <v>4</v>
      </c>
      <c r="AC130" t="n">
        <v>4</v>
      </c>
      <c r="AD130" t="n">
        <v>26</v>
      </c>
      <c r="AE130" t="n">
        <v>36</v>
      </c>
      <c r="AF130" t="n">
        <v>8</v>
      </c>
      <c r="AG130" t="n">
        <v>14</v>
      </c>
      <c r="AH130" t="n">
        <v>8</v>
      </c>
      <c r="AI130" t="n">
        <v>9</v>
      </c>
      <c r="AJ130" t="n">
        <v>12</v>
      </c>
      <c r="AK130" t="n">
        <v>17</v>
      </c>
      <c r="AL130" t="n">
        <v>3</v>
      </c>
      <c r="AM130" t="n">
        <v>3</v>
      </c>
      <c r="AN130" t="n">
        <v>3</v>
      </c>
      <c r="AO130" t="n">
        <v>3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HYPERLINK("http://catalog.hathitrust.org/Record/004041271","HathiTrust Record")</f>
        <v/>
      </c>
      <c r="AS130">
        <f>HYPERLINK("https://creighton-primo.hosted.exlibrisgroup.com/primo-explore/search?tab=default_tab&amp;search_scope=EVERYTHING&amp;vid=01CRU&amp;lang=en_US&amp;offset=0&amp;query=any,contains,991002953899702656","Catalog Record")</f>
        <v/>
      </c>
      <c r="AT130">
        <f>HYPERLINK("http://www.worldcat.org/oclc/39379655","WorldCat Record")</f>
        <v/>
      </c>
      <c r="AU130" t="inlineStr">
        <is>
          <t>20623206:eng</t>
        </is>
      </c>
      <c r="AV130" t="inlineStr">
        <is>
          <t>39379655</t>
        </is>
      </c>
      <c r="AW130" t="inlineStr">
        <is>
          <t>991002953899702656</t>
        </is>
      </c>
      <c r="AX130" t="inlineStr">
        <is>
          <t>991002953899702656</t>
        </is>
      </c>
      <c r="AY130" t="inlineStr">
        <is>
          <t>2257408840002656</t>
        </is>
      </c>
      <c r="AZ130" t="inlineStr">
        <is>
          <t>BOOK</t>
        </is>
      </c>
      <c r="BB130" t="inlineStr">
        <is>
          <t>9780815776505</t>
        </is>
      </c>
      <c r="BC130" t="inlineStr">
        <is>
          <t>32285003548137</t>
        </is>
      </c>
      <c r="BD130" t="inlineStr">
        <is>
          <t>893598103</t>
        </is>
      </c>
    </row>
    <row r="131">
      <c r="A131" t="inlineStr">
        <is>
          <t>No</t>
        </is>
      </c>
      <c r="B131" t="inlineStr">
        <is>
          <t>HT123 .R86 2001</t>
        </is>
      </c>
      <c r="C131" t="inlineStr">
        <is>
          <t>0                      HT 0123000R  86          2001</t>
        </is>
      </c>
      <c r="D131" t="inlineStr">
        <is>
          <t>American towns : an interpretive history / David J. Russo.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Russo, David J.</t>
        </is>
      </c>
      <c r="L131" t="inlineStr">
        <is>
          <t>Chicago : Ivan R. Dee, c2001.</t>
        </is>
      </c>
      <c r="M131" t="inlineStr">
        <is>
          <t>2001</t>
        </is>
      </c>
      <c r="O131" t="inlineStr">
        <is>
          <t>eng</t>
        </is>
      </c>
      <c r="P131" t="inlineStr">
        <is>
          <t>ilu</t>
        </is>
      </c>
      <c r="R131" t="inlineStr">
        <is>
          <t xml:space="preserve">HT </t>
        </is>
      </c>
      <c r="S131" t="n">
        <v>1</v>
      </c>
      <c r="T131" t="n">
        <v>1</v>
      </c>
      <c r="U131" t="inlineStr">
        <is>
          <t>2001-08-14</t>
        </is>
      </c>
      <c r="V131" t="inlineStr">
        <is>
          <t>2001-08-14</t>
        </is>
      </c>
      <c r="W131" t="inlineStr">
        <is>
          <t>2001-08-13</t>
        </is>
      </c>
      <c r="X131" t="inlineStr">
        <is>
          <t>2001-08-13</t>
        </is>
      </c>
      <c r="Y131" t="n">
        <v>626</v>
      </c>
      <c r="Z131" t="n">
        <v>587</v>
      </c>
      <c r="AA131" t="n">
        <v>589</v>
      </c>
      <c r="AB131" t="n">
        <v>5</v>
      </c>
      <c r="AC131" t="n">
        <v>5</v>
      </c>
      <c r="AD131" t="n">
        <v>21</v>
      </c>
      <c r="AE131" t="n">
        <v>21</v>
      </c>
      <c r="AF131" t="n">
        <v>7</v>
      </c>
      <c r="AG131" t="n">
        <v>7</v>
      </c>
      <c r="AH131" t="n">
        <v>5</v>
      </c>
      <c r="AI131" t="n">
        <v>5</v>
      </c>
      <c r="AJ131" t="n">
        <v>7</v>
      </c>
      <c r="AK131" t="n">
        <v>7</v>
      </c>
      <c r="AL131" t="n">
        <v>4</v>
      </c>
      <c r="AM131" t="n">
        <v>4</v>
      </c>
      <c r="AN131" t="n">
        <v>1</v>
      </c>
      <c r="AO131" t="n">
        <v>1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HYPERLINK("https://creighton-primo.hosted.exlibrisgroup.com/primo-explore/search?tab=default_tab&amp;search_scope=EVERYTHING&amp;vid=01CRU&amp;lang=en_US&amp;offset=0&amp;query=any,contains,991003571449702656","Catalog Record")</f>
        <v/>
      </c>
      <c r="AT131">
        <f>HYPERLINK("http://www.worldcat.org/oclc/45356577","WorldCat Record")</f>
        <v/>
      </c>
      <c r="AU131" t="inlineStr">
        <is>
          <t>477913661:eng</t>
        </is>
      </c>
      <c r="AV131" t="inlineStr">
        <is>
          <t>45356577</t>
        </is>
      </c>
      <c r="AW131" t="inlineStr">
        <is>
          <t>991003571449702656</t>
        </is>
      </c>
      <c r="AX131" t="inlineStr">
        <is>
          <t>991003571449702656</t>
        </is>
      </c>
      <c r="AY131" t="inlineStr">
        <is>
          <t>2263366590002656</t>
        </is>
      </c>
      <c r="AZ131" t="inlineStr">
        <is>
          <t>BOOK</t>
        </is>
      </c>
      <c r="BB131" t="inlineStr">
        <is>
          <t>9781566633482</t>
        </is>
      </c>
      <c r="BC131" t="inlineStr">
        <is>
          <t>32285004377270</t>
        </is>
      </c>
      <c r="BD131" t="inlineStr">
        <is>
          <t>893318111</t>
        </is>
      </c>
    </row>
    <row r="132">
      <c r="A132" t="inlineStr">
        <is>
          <t>No</t>
        </is>
      </c>
      <c r="B132" t="inlineStr">
        <is>
          <t>HT123 .S3</t>
        </is>
      </c>
      <c r="C132" t="inlineStr">
        <is>
          <t>0                      HT 0123000S  3</t>
        </is>
      </c>
      <c r="D132" t="inlineStr">
        <is>
          <t>The rise of the city, 1878-1898, by Arthur Meier Schlesinger.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No</t>
        </is>
      </c>
      <c r="J132" t="inlineStr">
        <is>
          <t>0</t>
        </is>
      </c>
      <c r="K132" t="inlineStr">
        <is>
          <t>Schlesinger, Arthur M. (Arthur Meier), 1888-1965.</t>
        </is>
      </c>
      <c r="L132" t="inlineStr">
        <is>
          <t>New York, The Macmillan company, 1933.</t>
        </is>
      </c>
      <c r="M132" t="inlineStr">
        <is>
          <t>1933</t>
        </is>
      </c>
      <c r="O132" t="inlineStr">
        <is>
          <t>eng</t>
        </is>
      </c>
      <c r="P132" t="inlineStr">
        <is>
          <t>nyu</t>
        </is>
      </c>
      <c r="Q132" t="inlineStr">
        <is>
          <t>A History of American life. vol. x</t>
        </is>
      </c>
      <c r="R132" t="inlineStr">
        <is>
          <t xml:space="preserve">HT </t>
        </is>
      </c>
      <c r="S132" t="n">
        <v>2</v>
      </c>
      <c r="T132" t="n">
        <v>2</v>
      </c>
      <c r="U132" t="inlineStr">
        <is>
          <t>1999-03-18</t>
        </is>
      </c>
      <c r="V132" t="inlineStr">
        <is>
          <t>1999-03-18</t>
        </is>
      </c>
      <c r="W132" t="inlineStr">
        <is>
          <t>1997-08-18</t>
        </is>
      </c>
      <c r="X132" t="inlineStr">
        <is>
          <t>1997-08-18</t>
        </is>
      </c>
      <c r="Y132" t="n">
        <v>1310</v>
      </c>
      <c r="Z132" t="n">
        <v>1207</v>
      </c>
      <c r="AA132" t="n">
        <v>1464</v>
      </c>
      <c r="AB132" t="n">
        <v>13</v>
      </c>
      <c r="AC132" t="n">
        <v>15</v>
      </c>
      <c r="AD132" t="n">
        <v>50</v>
      </c>
      <c r="AE132" t="n">
        <v>56</v>
      </c>
      <c r="AF132" t="n">
        <v>20</v>
      </c>
      <c r="AG132" t="n">
        <v>22</v>
      </c>
      <c r="AH132" t="n">
        <v>7</v>
      </c>
      <c r="AI132" t="n">
        <v>9</v>
      </c>
      <c r="AJ132" t="n">
        <v>22</v>
      </c>
      <c r="AK132" t="n">
        <v>26</v>
      </c>
      <c r="AL132" t="n">
        <v>11</v>
      </c>
      <c r="AM132" t="n">
        <v>12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HYPERLINK("http://catalog.hathitrust.org/Record/000663527","HathiTrust Record")</f>
        <v/>
      </c>
      <c r="AS132">
        <f>HYPERLINK("https://creighton-primo.hosted.exlibrisgroup.com/primo-explore/search?tab=default_tab&amp;search_scope=EVERYTHING&amp;vid=01CRU&amp;lang=en_US&amp;offset=0&amp;query=any,contains,991002828179702656","Catalog Record")</f>
        <v/>
      </c>
      <c r="AT132">
        <f>HYPERLINK("http://www.worldcat.org/oclc/476454","WorldCat Record")</f>
        <v/>
      </c>
      <c r="AU132" t="inlineStr">
        <is>
          <t>140972000:eng</t>
        </is>
      </c>
      <c r="AV132" t="inlineStr">
        <is>
          <t>476454</t>
        </is>
      </c>
      <c r="AW132" t="inlineStr">
        <is>
          <t>991002828179702656</t>
        </is>
      </c>
      <c r="AX132" t="inlineStr">
        <is>
          <t>991002828179702656</t>
        </is>
      </c>
      <c r="AY132" t="inlineStr">
        <is>
          <t>2262237450002656</t>
        </is>
      </c>
      <c r="AZ132" t="inlineStr">
        <is>
          <t>BOOK</t>
        </is>
      </c>
      <c r="BC132" t="inlineStr">
        <is>
          <t>32285003145926</t>
        </is>
      </c>
      <c r="BD132" t="inlineStr">
        <is>
          <t>893698323</t>
        </is>
      </c>
    </row>
    <row r="133">
      <c r="A133" t="inlineStr">
        <is>
          <t>No</t>
        </is>
      </c>
      <c r="B133" t="inlineStr">
        <is>
          <t>HT123 .S59</t>
        </is>
      </c>
      <c r="C133" t="inlineStr">
        <is>
          <t>0                      HT 0123000S  59</t>
        </is>
      </c>
      <c r="D133" t="inlineStr">
        <is>
          <t>Cities of our past and present, a descriptive reader.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K133" t="inlineStr">
        <is>
          <t>Smith, Wilson, editor.</t>
        </is>
      </c>
      <c r="L133" t="inlineStr">
        <is>
          <t>New York, Wiley [1964]</t>
        </is>
      </c>
      <c r="M133" t="inlineStr">
        <is>
          <t>1964</t>
        </is>
      </c>
      <c r="O133" t="inlineStr">
        <is>
          <t>eng</t>
        </is>
      </c>
      <c r="P133" t="inlineStr">
        <is>
          <t>nyu</t>
        </is>
      </c>
      <c r="R133" t="inlineStr">
        <is>
          <t xml:space="preserve">HT </t>
        </is>
      </c>
      <c r="S133" t="n">
        <v>1</v>
      </c>
      <c r="T133" t="n">
        <v>1</v>
      </c>
      <c r="U133" t="inlineStr">
        <is>
          <t>2000-10-10</t>
        </is>
      </c>
      <c r="V133" t="inlineStr">
        <is>
          <t>2000-10-10</t>
        </is>
      </c>
      <c r="W133" t="inlineStr">
        <is>
          <t>1992-04-01</t>
        </is>
      </c>
      <c r="X133" t="inlineStr">
        <is>
          <t>1992-04-01</t>
        </is>
      </c>
      <c r="Y133" t="n">
        <v>546</v>
      </c>
      <c r="Z133" t="n">
        <v>452</v>
      </c>
      <c r="AA133" t="n">
        <v>455</v>
      </c>
      <c r="AB133" t="n">
        <v>5</v>
      </c>
      <c r="AC133" t="n">
        <v>5</v>
      </c>
      <c r="AD133" t="n">
        <v>23</v>
      </c>
      <c r="AE133" t="n">
        <v>23</v>
      </c>
      <c r="AF133" t="n">
        <v>5</v>
      </c>
      <c r="AG133" t="n">
        <v>5</v>
      </c>
      <c r="AH133" t="n">
        <v>4</v>
      </c>
      <c r="AI133" t="n">
        <v>4</v>
      </c>
      <c r="AJ133" t="n">
        <v>15</v>
      </c>
      <c r="AK133" t="n">
        <v>15</v>
      </c>
      <c r="AL133" t="n">
        <v>4</v>
      </c>
      <c r="AM133" t="n">
        <v>4</v>
      </c>
      <c r="AN133" t="n">
        <v>1</v>
      </c>
      <c r="AO133" t="n">
        <v>1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HYPERLINK("http://catalog.hathitrust.org/Record/001117101","HathiTrust Record")</f>
        <v/>
      </c>
      <c r="AS133">
        <f>HYPERLINK("https://creighton-primo.hosted.exlibrisgroup.com/primo-explore/search?tab=default_tab&amp;search_scope=EVERYTHING&amp;vid=01CRU&amp;lang=en_US&amp;offset=0&amp;query=any,contains,991002050379702656","Catalog Record")</f>
        <v/>
      </c>
      <c r="AT133">
        <f>HYPERLINK("http://www.worldcat.org/oclc/261568","WorldCat Record")</f>
        <v/>
      </c>
      <c r="AU133" t="inlineStr">
        <is>
          <t>500356013:eng</t>
        </is>
      </c>
      <c r="AV133" t="inlineStr">
        <is>
          <t>261568</t>
        </is>
      </c>
      <c r="AW133" t="inlineStr">
        <is>
          <t>991002050379702656</t>
        </is>
      </c>
      <c r="AX133" t="inlineStr">
        <is>
          <t>991002050379702656</t>
        </is>
      </c>
      <c r="AY133" t="inlineStr">
        <is>
          <t>2263079630002656</t>
        </is>
      </c>
      <c r="AZ133" t="inlineStr">
        <is>
          <t>BOOK</t>
        </is>
      </c>
      <c r="BC133" t="inlineStr">
        <is>
          <t>32285001050664</t>
        </is>
      </c>
      <c r="BD133" t="inlineStr">
        <is>
          <t>893408631</t>
        </is>
      </c>
    </row>
    <row r="134">
      <c r="A134" t="inlineStr">
        <is>
          <t>No</t>
        </is>
      </c>
      <c r="B134" t="inlineStr">
        <is>
          <t>HT123 .S843</t>
        </is>
      </c>
      <c r="C134" t="inlineStr">
        <is>
          <t>0                      HT 0123000S  843</t>
        </is>
      </c>
      <c r="D134" t="inlineStr">
        <is>
          <t>Small towns and small towners : a framework for survival and growth / Bert E. Swanson, Richard A. Cohen, and Edith P. Swanson ; foreword by Harold S. Williams.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Swanson, Bert E.</t>
        </is>
      </c>
      <c r="L134" t="inlineStr">
        <is>
          <t>Beverly Hills, Calif. : Sage Publications, c1979.</t>
        </is>
      </c>
      <c r="M134" t="inlineStr">
        <is>
          <t>1979</t>
        </is>
      </c>
      <c r="O134" t="inlineStr">
        <is>
          <t>eng</t>
        </is>
      </c>
      <c r="P134" t="inlineStr">
        <is>
          <t>cau</t>
        </is>
      </c>
      <c r="Q134" t="inlineStr">
        <is>
          <t>Sage library of social research ; v. 79</t>
        </is>
      </c>
      <c r="R134" t="inlineStr">
        <is>
          <t xml:space="preserve">HT </t>
        </is>
      </c>
      <c r="S134" t="n">
        <v>7</v>
      </c>
      <c r="T134" t="n">
        <v>7</v>
      </c>
      <c r="U134" t="inlineStr">
        <is>
          <t>2003-03-21</t>
        </is>
      </c>
      <c r="V134" t="inlineStr">
        <is>
          <t>2003-03-21</t>
        </is>
      </c>
      <c r="W134" t="inlineStr">
        <is>
          <t>1990-03-26</t>
        </is>
      </c>
      <c r="X134" t="inlineStr">
        <is>
          <t>1990-03-26</t>
        </is>
      </c>
      <c r="Y134" t="n">
        <v>345</v>
      </c>
      <c r="Z134" t="n">
        <v>272</v>
      </c>
      <c r="AA134" t="n">
        <v>275</v>
      </c>
      <c r="AB134" t="n">
        <v>3</v>
      </c>
      <c r="AC134" t="n">
        <v>3</v>
      </c>
      <c r="AD134" t="n">
        <v>10</v>
      </c>
      <c r="AE134" t="n">
        <v>10</v>
      </c>
      <c r="AF134" t="n">
        <v>1</v>
      </c>
      <c r="AG134" t="n">
        <v>1</v>
      </c>
      <c r="AH134" t="n">
        <v>2</v>
      </c>
      <c r="AI134" t="n">
        <v>2</v>
      </c>
      <c r="AJ134" t="n">
        <v>7</v>
      </c>
      <c r="AK134" t="n">
        <v>7</v>
      </c>
      <c r="AL134" t="n">
        <v>2</v>
      </c>
      <c r="AM134" t="n">
        <v>2</v>
      </c>
      <c r="AN134" t="n">
        <v>0</v>
      </c>
      <c r="AO134" t="n">
        <v>0</v>
      </c>
      <c r="AP134" t="inlineStr">
        <is>
          <t>No</t>
        </is>
      </c>
      <c r="AQ134" t="inlineStr">
        <is>
          <t>Yes</t>
        </is>
      </c>
      <c r="AR134">
        <f>HYPERLINK("http://catalog.hathitrust.org/Record/000143738","HathiTrust Record")</f>
        <v/>
      </c>
      <c r="AS134">
        <f>HYPERLINK("https://creighton-primo.hosted.exlibrisgroup.com/primo-explore/search?tab=default_tab&amp;search_scope=EVERYTHING&amp;vid=01CRU&amp;lang=en_US&amp;offset=0&amp;query=any,contains,991004555409702656","Catalog Record")</f>
        <v/>
      </c>
      <c r="AT134">
        <f>HYPERLINK("http://www.worldcat.org/oclc/3966011","WorldCat Record")</f>
        <v/>
      </c>
      <c r="AU134" t="inlineStr">
        <is>
          <t>268684817:eng</t>
        </is>
      </c>
      <c r="AV134" t="inlineStr">
        <is>
          <t>3966011</t>
        </is>
      </c>
      <c r="AW134" t="inlineStr">
        <is>
          <t>991004555409702656</t>
        </is>
      </c>
      <c r="AX134" t="inlineStr">
        <is>
          <t>991004555409702656</t>
        </is>
      </c>
      <c r="AY134" t="inlineStr">
        <is>
          <t>2263801420002656</t>
        </is>
      </c>
      <c r="AZ134" t="inlineStr">
        <is>
          <t>BOOK</t>
        </is>
      </c>
      <c r="BB134" t="inlineStr">
        <is>
          <t>9780803910171</t>
        </is>
      </c>
      <c r="BC134" t="inlineStr">
        <is>
          <t>32285000096767</t>
        </is>
      </c>
      <c r="BD134" t="inlineStr">
        <is>
          <t>893500725</t>
        </is>
      </c>
    </row>
    <row r="135">
      <c r="A135" t="inlineStr">
        <is>
          <t>No</t>
        </is>
      </c>
      <c r="B135" t="inlineStr">
        <is>
          <t>HT123 .U74553 1994</t>
        </is>
      </c>
      <c r="C135" t="inlineStr">
        <is>
          <t>0                      HT 0123000U  74553       1994</t>
        </is>
      </c>
      <c r="D135" t="inlineStr">
        <is>
          <t>Urban innovation : creative strategies for turbulent times / Terry Nichols Clark, editor.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L135" t="inlineStr">
        <is>
          <t>Thousand Oaks : Sage Publications, c1994.</t>
        </is>
      </c>
      <c r="M135" t="inlineStr">
        <is>
          <t>1994</t>
        </is>
      </c>
      <c r="O135" t="inlineStr">
        <is>
          <t>eng</t>
        </is>
      </c>
      <c r="P135" t="inlineStr">
        <is>
          <t>cau</t>
        </is>
      </c>
      <c r="R135" t="inlineStr">
        <is>
          <t xml:space="preserve">HT </t>
        </is>
      </c>
      <c r="S135" t="n">
        <v>2</v>
      </c>
      <c r="T135" t="n">
        <v>2</v>
      </c>
      <c r="U135" t="inlineStr">
        <is>
          <t>2003-03-31</t>
        </is>
      </c>
      <c r="V135" t="inlineStr">
        <is>
          <t>2003-03-31</t>
        </is>
      </c>
      <c r="W135" t="inlineStr">
        <is>
          <t>1995-05-15</t>
        </is>
      </c>
      <c r="X135" t="inlineStr">
        <is>
          <t>1995-05-15</t>
        </is>
      </c>
      <c r="Y135" t="n">
        <v>280</v>
      </c>
      <c r="Z135" t="n">
        <v>199</v>
      </c>
      <c r="AA135" t="n">
        <v>201</v>
      </c>
      <c r="AB135" t="n">
        <v>2</v>
      </c>
      <c r="AC135" t="n">
        <v>2</v>
      </c>
      <c r="AD135" t="n">
        <v>10</v>
      </c>
      <c r="AE135" t="n">
        <v>10</v>
      </c>
      <c r="AF135" t="n">
        <v>3</v>
      </c>
      <c r="AG135" t="n">
        <v>3</v>
      </c>
      <c r="AH135" t="n">
        <v>4</v>
      </c>
      <c r="AI135" t="n">
        <v>4</v>
      </c>
      <c r="AJ135" t="n">
        <v>5</v>
      </c>
      <c r="AK135" t="n">
        <v>5</v>
      </c>
      <c r="AL135" t="n">
        <v>1</v>
      </c>
      <c r="AM135" t="n">
        <v>1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HYPERLINK("http://catalog.hathitrust.org/Record/002900363","HathiTrust Record")</f>
        <v/>
      </c>
      <c r="AS135">
        <f>HYPERLINK("https://creighton-primo.hosted.exlibrisgroup.com/primo-explore/search?tab=default_tab&amp;search_scope=EVERYTHING&amp;vid=01CRU&amp;lang=en_US&amp;offset=0&amp;query=any,contains,991002320379702656","Catalog Record")</f>
        <v/>
      </c>
      <c r="AT135">
        <f>HYPERLINK("http://www.worldcat.org/oclc/30108639","WorldCat Record")</f>
        <v/>
      </c>
      <c r="AU135" t="inlineStr">
        <is>
          <t>836828955:eng</t>
        </is>
      </c>
      <c r="AV135" t="inlineStr">
        <is>
          <t>30108639</t>
        </is>
      </c>
      <c r="AW135" t="inlineStr">
        <is>
          <t>991002320379702656</t>
        </is>
      </c>
      <c r="AX135" t="inlineStr">
        <is>
          <t>991002320379702656</t>
        </is>
      </c>
      <c r="AY135" t="inlineStr">
        <is>
          <t>2263163260002656</t>
        </is>
      </c>
      <c r="AZ135" t="inlineStr">
        <is>
          <t>BOOK</t>
        </is>
      </c>
      <c r="BB135" t="inlineStr">
        <is>
          <t>9780803938007</t>
        </is>
      </c>
      <c r="BC135" t="inlineStr">
        <is>
          <t>32285002045184</t>
        </is>
      </c>
      <c r="BD135" t="inlineStr">
        <is>
          <t>893232822</t>
        </is>
      </c>
    </row>
    <row r="136">
      <c r="A136" t="inlineStr">
        <is>
          <t>No</t>
        </is>
      </c>
      <c r="B136" t="inlineStr">
        <is>
          <t>HT123 .W35 1998</t>
        </is>
      </c>
      <c r="C136" t="inlineStr">
        <is>
          <t>0                      HT 0123000W  35          1998</t>
        </is>
      </c>
      <c r="D136" t="inlineStr">
        <is>
          <t>Independent cities : rethinking U.S. urban policy / Robert J. Waste.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Waste, Robert J.</t>
        </is>
      </c>
      <c r="L136" t="inlineStr">
        <is>
          <t>New York : Oxford University Press, 1998.</t>
        </is>
      </c>
      <c r="M136" t="inlineStr">
        <is>
          <t>1998</t>
        </is>
      </c>
      <c r="O136" t="inlineStr">
        <is>
          <t>eng</t>
        </is>
      </c>
      <c r="P136" t="inlineStr">
        <is>
          <t>nyu</t>
        </is>
      </c>
      <c r="R136" t="inlineStr">
        <is>
          <t xml:space="preserve">HT </t>
        </is>
      </c>
      <c r="S136" t="n">
        <v>9</v>
      </c>
      <c r="T136" t="n">
        <v>9</v>
      </c>
      <c r="U136" t="inlineStr">
        <is>
          <t>2003-03-31</t>
        </is>
      </c>
      <c r="V136" t="inlineStr">
        <is>
          <t>2003-03-31</t>
        </is>
      </c>
      <c r="W136" t="inlineStr">
        <is>
          <t>1998-10-05</t>
        </is>
      </c>
      <c r="X136" t="inlineStr">
        <is>
          <t>1998-10-05</t>
        </is>
      </c>
      <c r="Y136" t="n">
        <v>367</v>
      </c>
      <c r="Z136" t="n">
        <v>319</v>
      </c>
      <c r="AA136" t="n">
        <v>324</v>
      </c>
      <c r="AB136" t="n">
        <v>2</v>
      </c>
      <c r="AC136" t="n">
        <v>2</v>
      </c>
      <c r="AD136" t="n">
        <v>15</v>
      </c>
      <c r="AE136" t="n">
        <v>15</v>
      </c>
      <c r="AF136" t="n">
        <v>5</v>
      </c>
      <c r="AG136" t="n">
        <v>5</v>
      </c>
      <c r="AH136" t="n">
        <v>4</v>
      </c>
      <c r="AI136" t="n">
        <v>4</v>
      </c>
      <c r="AJ136" t="n">
        <v>9</v>
      </c>
      <c r="AK136" t="n">
        <v>9</v>
      </c>
      <c r="AL136" t="n">
        <v>1</v>
      </c>
      <c r="AM136" t="n">
        <v>1</v>
      </c>
      <c r="AN136" t="n">
        <v>1</v>
      </c>
      <c r="AO136" t="n">
        <v>1</v>
      </c>
      <c r="AP136" t="inlineStr">
        <is>
          <t>No</t>
        </is>
      </c>
      <c r="AQ136" t="inlineStr">
        <is>
          <t>No</t>
        </is>
      </c>
      <c r="AS136">
        <f>HYPERLINK("https://creighton-primo.hosted.exlibrisgroup.com/primo-explore/search?tab=default_tab&amp;search_scope=EVERYTHING&amp;vid=01CRU&amp;lang=en_US&amp;offset=0&amp;query=any,contains,991005426799702656","Catalog Record")</f>
        <v/>
      </c>
      <c r="AT136">
        <f>HYPERLINK("http://www.worldcat.org/oclc/37300673","WorldCat Record")</f>
        <v/>
      </c>
      <c r="AU136" t="inlineStr">
        <is>
          <t>597008:eng</t>
        </is>
      </c>
      <c r="AV136" t="inlineStr">
        <is>
          <t>37300673</t>
        </is>
      </c>
      <c r="AW136" t="inlineStr">
        <is>
          <t>991005426799702656</t>
        </is>
      </c>
      <c r="AX136" t="inlineStr">
        <is>
          <t>991005426799702656</t>
        </is>
      </c>
      <c r="AY136" t="inlineStr">
        <is>
          <t>2259532070002656</t>
        </is>
      </c>
      <c r="AZ136" t="inlineStr">
        <is>
          <t>BOOK</t>
        </is>
      </c>
      <c r="BB136" t="inlineStr">
        <is>
          <t>9780195108293</t>
        </is>
      </c>
      <c r="BC136" t="inlineStr">
        <is>
          <t>32285003471397</t>
        </is>
      </c>
      <c r="BD136" t="inlineStr">
        <is>
          <t>893619987</t>
        </is>
      </c>
    </row>
    <row r="137">
      <c r="A137" t="inlineStr">
        <is>
          <t>No</t>
        </is>
      </c>
      <c r="B137" t="inlineStr">
        <is>
          <t>HT123.5.A12 V6</t>
        </is>
      </c>
      <c r="C137" t="inlineStr">
        <is>
          <t>0                      HT 0123500A  12                 V  6</t>
        </is>
      </c>
      <c r="D137" t="inlineStr">
        <is>
          <t>The challenge of Megalopolis; a graphic presentation of the urbanized northeastern seaboard of the United States. Based on the original study by Jean Gottmann.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Eckardt, Wolf von, 1918-1995.</t>
        </is>
      </c>
      <c r="L137" t="inlineStr">
        <is>
          <t>[New York?] Macmillan, 1964.</t>
        </is>
      </c>
      <c r="M137" t="inlineStr">
        <is>
          <t>1964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HT </t>
        </is>
      </c>
      <c r="S137" t="n">
        <v>1</v>
      </c>
      <c r="T137" t="n">
        <v>1</v>
      </c>
      <c r="U137" t="inlineStr">
        <is>
          <t>2006-11-02</t>
        </is>
      </c>
      <c r="V137" t="inlineStr">
        <is>
          <t>2006-11-02</t>
        </is>
      </c>
      <c r="W137" t="inlineStr">
        <is>
          <t>1997-08-18</t>
        </is>
      </c>
      <c r="X137" t="inlineStr">
        <is>
          <t>1997-08-18</t>
        </is>
      </c>
      <c r="Y137" t="n">
        <v>781</v>
      </c>
      <c r="Z137" t="n">
        <v>679</v>
      </c>
      <c r="AA137" t="n">
        <v>691</v>
      </c>
      <c r="AB137" t="n">
        <v>6</v>
      </c>
      <c r="AC137" t="n">
        <v>6</v>
      </c>
      <c r="AD137" t="n">
        <v>31</v>
      </c>
      <c r="AE137" t="n">
        <v>31</v>
      </c>
      <c r="AF137" t="n">
        <v>8</v>
      </c>
      <c r="AG137" t="n">
        <v>8</v>
      </c>
      <c r="AH137" t="n">
        <v>7</v>
      </c>
      <c r="AI137" t="n">
        <v>7</v>
      </c>
      <c r="AJ137" t="n">
        <v>16</v>
      </c>
      <c r="AK137" t="n">
        <v>16</v>
      </c>
      <c r="AL137" t="n">
        <v>5</v>
      </c>
      <c r="AM137" t="n">
        <v>5</v>
      </c>
      <c r="AN137" t="n">
        <v>2</v>
      </c>
      <c r="AO137" t="n">
        <v>2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HYPERLINK("http://catalog.hathitrust.org/Record/001116443","HathiTrust Record")</f>
        <v/>
      </c>
      <c r="AS137">
        <f>HYPERLINK("https://creighton-primo.hosted.exlibrisgroup.com/primo-explore/search?tab=default_tab&amp;search_scope=EVERYTHING&amp;vid=01CRU&amp;lang=en_US&amp;offset=0&amp;query=any,contains,991003429679702656","Catalog Record")</f>
        <v/>
      </c>
      <c r="AT137">
        <f>HYPERLINK("http://www.worldcat.org/oclc/965276","WorldCat Record")</f>
        <v/>
      </c>
      <c r="AU137" t="inlineStr">
        <is>
          <t>309111605:eng</t>
        </is>
      </c>
      <c r="AV137" t="inlineStr">
        <is>
          <t>965276</t>
        </is>
      </c>
      <c r="AW137" t="inlineStr">
        <is>
          <t>991003429679702656</t>
        </is>
      </c>
      <c r="AX137" t="inlineStr">
        <is>
          <t>991003429679702656</t>
        </is>
      </c>
      <c r="AY137" t="inlineStr">
        <is>
          <t>2258337620002656</t>
        </is>
      </c>
      <c r="AZ137" t="inlineStr">
        <is>
          <t>BOOK</t>
        </is>
      </c>
      <c r="BC137" t="inlineStr">
        <is>
          <t>32285003146106</t>
        </is>
      </c>
      <c r="BD137" t="inlineStr">
        <is>
          <t>893428779</t>
        </is>
      </c>
    </row>
    <row r="138">
      <c r="A138" t="inlineStr">
        <is>
          <t>No</t>
        </is>
      </c>
      <c r="B138" t="inlineStr">
        <is>
          <t>HT127.5 .I22 1996</t>
        </is>
      </c>
      <c r="C138" t="inlineStr">
        <is>
          <t>0                      HT 0127500I  22          1996</t>
        </is>
      </c>
      <c r="D138" t="inlineStr">
        <is>
          <t>I saw a city invincible : urban portraits of Latin America / Gilbert M. Joseph and Mark D. Szuchman, editors.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L138" t="inlineStr">
        <is>
          <t>Wilmington, Del. : SR Books, 1996.</t>
        </is>
      </c>
      <c r="M138" t="inlineStr">
        <is>
          <t>1996</t>
        </is>
      </c>
      <c r="O138" t="inlineStr">
        <is>
          <t>eng</t>
        </is>
      </c>
      <c r="P138" t="inlineStr">
        <is>
          <t>deu</t>
        </is>
      </c>
      <c r="Q138" t="inlineStr">
        <is>
          <t>Jaguar books on Latin America ; no. 9</t>
        </is>
      </c>
      <c r="R138" t="inlineStr">
        <is>
          <t xml:space="preserve">HT </t>
        </is>
      </c>
      <c r="S138" t="n">
        <v>12</v>
      </c>
      <c r="T138" t="n">
        <v>12</v>
      </c>
      <c r="U138" t="inlineStr">
        <is>
          <t>2002-11-17</t>
        </is>
      </c>
      <c r="V138" t="inlineStr">
        <is>
          <t>2002-11-17</t>
        </is>
      </c>
      <c r="W138" t="inlineStr">
        <is>
          <t>1996-04-02</t>
        </is>
      </c>
      <c r="X138" t="inlineStr">
        <is>
          <t>1996-04-02</t>
        </is>
      </c>
      <c r="Y138" t="n">
        <v>383</v>
      </c>
      <c r="Z138" t="n">
        <v>338</v>
      </c>
      <c r="AA138" t="n">
        <v>355</v>
      </c>
      <c r="AB138" t="n">
        <v>4</v>
      </c>
      <c r="AC138" t="n">
        <v>4</v>
      </c>
      <c r="AD138" t="n">
        <v>19</v>
      </c>
      <c r="AE138" t="n">
        <v>20</v>
      </c>
      <c r="AF138" t="n">
        <v>5</v>
      </c>
      <c r="AG138" t="n">
        <v>6</v>
      </c>
      <c r="AH138" t="n">
        <v>7</v>
      </c>
      <c r="AI138" t="n">
        <v>7</v>
      </c>
      <c r="AJ138" t="n">
        <v>8</v>
      </c>
      <c r="AK138" t="n">
        <v>9</v>
      </c>
      <c r="AL138" t="n">
        <v>3</v>
      </c>
      <c r="AM138" t="n">
        <v>3</v>
      </c>
      <c r="AN138" t="n">
        <v>0</v>
      </c>
      <c r="AO138" t="n">
        <v>0</v>
      </c>
      <c r="AP138" t="inlineStr">
        <is>
          <t>No</t>
        </is>
      </c>
      <c r="AQ138" t="inlineStr">
        <is>
          <t>No</t>
        </is>
      </c>
      <c r="AS138">
        <f>HYPERLINK("https://creighton-primo.hosted.exlibrisgroup.com/primo-explore/search?tab=default_tab&amp;search_scope=EVERYTHING&amp;vid=01CRU&amp;lang=en_US&amp;offset=0&amp;query=any,contains,991002449089702656","Catalog Record")</f>
        <v/>
      </c>
      <c r="AT138">
        <f>HYPERLINK("http://www.worldcat.org/oclc/31936253","WorldCat Record")</f>
        <v/>
      </c>
      <c r="AU138" t="inlineStr">
        <is>
          <t>365516023:eng</t>
        </is>
      </c>
      <c r="AV138" t="inlineStr">
        <is>
          <t>31936253</t>
        </is>
      </c>
      <c r="AW138" t="inlineStr">
        <is>
          <t>991002449089702656</t>
        </is>
      </c>
      <c r="AX138" t="inlineStr">
        <is>
          <t>991002449089702656</t>
        </is>
      </c>
      <c r="AY138" t="inlineStr">
        <is>
          <t>2256090490002656</t>
        </is>
      </c>
      <c r="AZ138" t="inlineStr">
        <is>
          <t>BOOK</t>
        </is>
      </c>
      <c r="BB138" t="inlineStr">
        <is>
          <t>9780842024952</t>
        </is>
      </c>
      <c r="BC138" t="inlineStr">
        <is>
          <t>32285002149572</t>
        </is>
      </c>
      <c r="BD138" t="inlineStr">
        <is>
          <t>893697794</t>
        </is>
      </c>
    </row>
    <row r="139">
      <c r="A139" t="inlineStr">
        <is>
          <t>No</t>
        </is>
      </c>
      <c r="B139" t="inlineStr">
        <is>
          <t>HT127.5 .L38 v.1</t>
        </is>
      </c>
      <c r="C139" t="inlineStr">
        <is>
          <t>0                      HT 0127500L  38                                                      v.1</t>
        </is>
      </c>
      <c r="D139" t="inlineStr">
        <is>
          <t>Latin American urban research.</t>
        </is>
      </c>
      <c r="E139" t="inlineStr">
        <is>
          <t>V. 1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Beverly Hills, Calif. : Sage Publications, 1971.</t>
        </is>
      </c>
      <c r="M139" t="inlineStr">
        <is>
          <t>1971</t>
        </is>
      </c>
      <c r="O139" t="inlineStr">
        <is>
          <t>eng</t>
        </is>
      </c>
      <c r="P139" t="inlineStr">
        <is>
          <t>cau</t>
        </is>
      </c>
      <c r="Q139" t="inlineStr">
        <is>
          <t>Latin American urban research ; v. 1</t>
        </is>
      </c>
      <c r="R139" t="inlineStr">
        <is>
          <t xml:space="preserve">HT </t>
        </is>
      </c>
      <c r="S139" t="n">
        <v>1</v>
      </c>
      <c r="T139" t="n">
        <v>1</v>
      </c>
      <c r="U139" t="inlineStr">
        <is>
          <t>2001-04-24</t>
        </is>
      </c>
      <c r="V139" t="inlineStr">
        <is>
          <t>2001-04-24</t>
        </is>
      </c>
      <c r="W139" t="inlineStr">
        <is>
          <t>1993-05-06</t>
        </is>
      </c>
      <c r="X139" t="inlineStr">
        <is>
          <t>1993-05-06</t>
        </is>
      </c>
      <c r="Y139" t="n">
        <v>103</v>
      </c>
      <c r="Z139" t="n">
        <v>77</v>
      </c>
      <c r="AA139" t="n">
        <v>79</v>
      </c>
      <c r="AB139" t="n">
        <v>2</v>
      </c>
      <c r="AC139" t="n">
        <v>2</v>
      </c>
      <c r="AD139" t="n">
        <v>7</v>
      </c>
      <c r="AE139" t="n">
        <v>7</v>
      </c>
      <c r="AF139" t="n">
        <v>3</v>
      </c>
      <c r="AG139" t="n">
        <v>3</v>
      </c>
      <c r="AH139" t="n">
        <v>1</v>
      </c>
      <c r="AI139" t="n">
        <v>1</v>
      </c>
      <c r="AJ139" t="n">
        <v>2</v>
      </c>
      <c r="AK139" t="n">
        <v>2</v>
      </c>
      <c r="AL139" t="n">
        <v>1</v>
      </c>
      <c r="AM139" t="n">
        <v>1</v>
      </c>
      <c r="AN139" t="n">
        <v>1</v>
      </c>
      <c r="AO139" t="n">
        <v>1</v>
      </c>
      <c r="AP139" t="inlineStr">
        <is>
          <t>No</t>
        </is>
      </c>
      <c r="AQ139" t="inlineStr">
        <is>
          <t>No</t>
        </is>
      </c>
      <c r="AS139">
        <f>HYPERLINK("https://creighton-primo.hosted.exlibrisgroup.com/primo-explore/search?tab=default_tab&amp;search_scope=EVERYTHING&amp;vid=01CRU&amp;lang=en_US&amp;offset=0&amp;query=any,contains,991003819499702656","Catalog Record")</f>
        <v/>
      </c>
      <c r="AT139">
        <f>HYPERLINK("http://www.worldcat.org/oclc/1556279","WorldCat Record")</f>
        <v/>
      </c>
      <c r="AU139" t="inlineStr">
        <is>
          <t>5091006574:eng</t>
        </is>
      </c>
      <c r="AV139" t="inlineStr">
        <is>
          <t>1556279</t>
        </is>
      </c>
      <c r="AW139" t="inlineStr">
        <is>
          <t>991003819499702656</t>
        </is>
      </c>
      <c r="AX139" t="inlineStr">
        <is>
          <t>991003819499702656</t>
        </is>
      </c>
      <c r="AY139" t="inlineStr">
        <is>
          <t>2268056260002656</t>
        </is>
      </c>
      <c r="AZ139" t="inlineStr">
        <is>
          <t>BOOK</t>
        </is>
      </c>
      <c r="BB139" t="inlineStr">
        <is>
          <t>9780803900622</t>
        </is>
      </c>
      <c r="BC139" t="inlineStr">
        <is>
          <t>32285001673176</t>
        </is>
      </c>
      <c r="BD139" t="inlineStr">
        <is>
          <t>893611480</t>
        </is>
      </c>
    </row>
    <row r="140">
      <c r="A140" t="inlineStr">
        <is>
          <t>No</t>
        </is>
      </c>
      <c r="B140" t="inlineStr">
        <is>
          <t>HT127.5 .L38 v.2</t>
        </is>
      </c>
      <c r="C140" t="inlineStr">
        <is>
          <t>0                      HT 0127500L  38                                                      v.2</t>
        </is>
      </c>
      <c r="D140" t="inlineStr">
        <is>
          <t>Regional and urban development policies: a Latin American perspective. Guillermo Geisse and Jorge E. Hardoy, volume editors.</t>
        </is>
      </c>
      <c r="E140" t="inlineStr">
        <is>
          <t>V. 2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L140" t="inlineStr">
        <is>
          <t>Beverly Hills, Sage Publications [1972]</t>
        </is>
      </c>
      <c r="M140" t="inlineStr">
        <is>
          <t>1972</t>
        </is>
      </c>
      <c r="O140" t="inlineStr">
        <is>
          <t>eng</t>
        </is>
      </c>
      <c r="P140" t="inlineStr">
        <is>
          <t>___</t>
        </is>
      </c>
      <c r="Q140" t="inlineStr">
        <is>
          <t>Latin American urban research ; v. 2</t>
        </is>
      </c>
      <c r="R140" t="inlineStr">
        <is>
          <t xml:space="preserve">HT </t>
        </is>
      </c>
      <c r="S140" t="n">
        <v>6</v>
      </c>
      <c r="T140" t="n">
        <v>6</v>
      </c>
      <c r="U140" t="inlineStr">
        <is>
          <t>1998-02-15</t>
        </is>
      </c>
      <c r="V140" t="inlineStr">
        <is>
          <t>1998-02-15</t>
        </is>
      </c>
      <c r="W140" t="inlineStr">
        <is>
          <t>1993-05-06</t>
        </is>
      </c>
      <c r="X140" t="inlineStr">
        <is>
          <t>1993-05-06</t>
        </is>
      </c>
      <c r="Y140" t="n">
        <v>108</v>
      </c>
      <c r="Z140" t="n">
        <v>82</v>
      </c>
      <c r="AA140" t="n">
        <v>83</v>
      </c>
      <c r="AB140" t="n">
        <v>2</v>
      </c>
      <c r="AC140" t="n">
        <v>2</v>
      </c>
      <c r="AD140" t="n">
        <v>6</v>
      </c>
      <c r="AE140" t="n">
        <v>6</v>
      </c>
      <c r="AF140" t="n">
        <v>4</v>
      </c>
      <c r="AG140" t="n">
        <v>4</v>
      </c>
      <c r="AH140" t="n">
        <v>1</v>
      </c>
      <c r="AI140" t="n">
        <v>1</v>
      </c>
      <c r="AJ140" t="n">
        <v>2</v>
      </c>
      <c r="AK140" t="n">
        <v>2</v>
      </c>
      <c r="AL140" t="n">
        <v>1</v>
      </c>
      <c r="AM140" t="n">
        <v>1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HYPERLINK("http://catalog.hathitrust.org/Record/102052415","HathiTrust Record")</f>
        <v/>
      </c>
      <c r="AS140">
        <f>HYPERLINK("https://creighton-primo.hosted.exlibrisgroup.com/primo-explore/search?tab=default_tab&amp;search_scope=EVERYTHING&amp;vid=01CRU&amp;lang=en_US&amp;offset=0&amp;query=any,contains,991003618739702656","Catalog Record")</f>
        <v/>
      </c>
      <c r="AT140">
        <f>HYPERLINK("http://www.worldcat.org/oclc/1205579","WorldCat Record")</f>
        <v/>
      </c>
      <c r="AU140" t="inlineStr">
        <is>
          <t>376411737:eng</t>
        </is>
      </c>
      <c r="AV140" t="inlineStr">
        <is>
          <t>1205579</t>
        </is>
      </c>
      <c r="AW140" t="inlineStr">
        <is>
          <t>991003618739702656</t>
        </is>
      </c>
      <c r="AX140" t="inlineStr">
        <is>
          <t>991003618739702656</t>
        </is>
      </c>
      <c r="AY140" t="inlineStr">
        <is>
          <t>2272215800002656</t>
        </is>
      </c>
      <c r="AZ140" t="inlineStr">
        <is>
          <t>BOOK</t>
        </is>
      </c>
      <c r="BC140" t="inlineStr">
        <is>
          <t>32285001673184</t>
        </is>
      </c>
      <c r="BD140" t="inlineStr">
        <is>
          <t>893330572</t>
        </is>
      </c>
    </row>
    <row r="141">
      <c r="A141" t="inlineStr">
        <is>
          <t>No</t>
        </is>
      </c>
      <c r="B141" t="inlineStr">
        <is>
          <t>HT127.5 .L38 vol. 5</t>
        </is>
      </c>
      <c r="C141" t="inlineStr">
        <is>
          <t>0                      HT 0127500L  38                                                      vol. 5</t>
        </is>
      </c>
      <c r="D141" t="inlineStr">
        <is>
          <t>Urbanization and inequality : the political economy of urban and rural development in Latin America / Wayne A. Cornelius and Felicity M. Trueblood, editors.</t>
        </is>
      </c>
      <c r="E141" t="inlineStr">
        <is>
          <t>V. 5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L141" t="inlineStr">
        <is>
          <t>Beverly Hills, Calif. : Sage Publications, c1975.</t>
        </is>
      </c>
      <c r="M141" t="inlineStr">
        <is>
          <t>1975</t>
        </is>
      </c>
      <c r="O141" t="inlineStr">
        <is>
          <t>eng</t>
        </is>
      </c>
      <c r="P141" t="inlineStr">
        <is>
          <t>cau</t>
        </is>
      </c>
      <c r="Q141" t="inlineStr">
        <is>
          <t>Latin American urban research ; v. 5</t>
        </is>
      </c>
      <c r="R141" t="inlineStr">
        <is>
          <t xml:space="preserve">HT </t>
        </is>
      </c>
      <c r="S141" t="n">
        <v>1</v>
      </c>
      <c r="T141" t="n">
        <v>1</v>
      </c>
      <c r="U141" t="inlineStr">
        <is>
          <t>1993-12-06</t>
        </is>
      </c>
      <c r="V141" t="inlineStr">
        <is>
          <t>1993-12-06</t>
        </is>
      </c>
      <c r="W141" t="inlineStr">
        <is>
          <t>1993-05-06</t>
        </is>
      </c>
      <c r="X141" t="inlineStr">
        <is>
          <t>1993-05-06</t>
        </is>
      </c>
      <c r="Y141" t="n">
        <v>187</v>
      </c>
      <c r="Z141" t="n">
        <v>137</v>
      </c>
      <c r="AA141" t="n">
        <v>139</v>
      </c>
      <c r="AB141" t="n">
        <v>2</v>
      </c>
      <c r="AC141" t="n">
        <v>2</v>
      </c>
      <c r="AD141" t="n">
        <v>10</v>
      </c>
      <c r="AE141" t="n">
        <v>10</v>
      </c>
      <c r="AF141" t="n">
        <v>1</v>
      </c>
      <c r="AG141" t="n">
        <v>1</v>
      </c>
      <c r="AH141" t="n">
        <v>4</v>
      </c>
      <c r="AI141" t="n">
        <v>4</v>
      </c>
      <c r="AJ141" t="n">
        <v>6</v>
      </c>
      <c r="AK141" t="n">
        <v>6</v>
      </c>
      <c r="AL141" t="n">
        <v>1</v>
      </c>
      <c r="AM141" t="n">
        <v>1</v>
      </c>
      <c r="AN141" t="n">
        <v>1</v>
      </c>
      <c r="AO141" t="n">
        <v>1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HYPERLINK("http://catalog.hathitrust.org/Record/000683087","HathiTrust Record")</f>
        <v/>
      </c>
      <c r="AS141">
        <f>HYPERLINK("https://creighton-primo.hosted.exlibrisgroup.com/primo-explore/search?tab=default_tab&amp;search_scope=EVERYTHING&amp;vid=01CRU&amp;lang=en_US&amp;offset=0&amp;query=any,contains,991003986989702656","Catalog Record")</f>
        <v/>
      </c>
      <c r="AT141">
        <f>HYPERLINK("http://www.worldcat.org/oclc/2034638","WorldCat Record")</f>
        <v/>
      </c>
      <c r="AU141" t="inlineStr">
        <is>
          <t>365512402:eng</t>
        </is>
      </c>
      <c r="AV141" t="inlineStr">
        <is>
          <t>2034638</t>
        </is>
      </c>
      <c r="AW141" t="inlineStr">
        <is>
          <t>991003986989702656</t>
        </is>
      </c>
      <c r="AX141" t="inlineStr">
        <is>
          <t>991003986989702656</t>
        </is>
      </c>
      <c r="AY141" t="inlineStr">
        <is>
          <t>2270019450002656</t>
        </is>
      </c>
      <c r="AZ141" t="inlineStr">
        <is>
          <t>BOOK</t>
        </is>
      </c>
      <c r="BB141" t="inlineStr">
        <is>
          <t>9780803904378</t>
        </is>
      </c>
      <c r="BC141" t="inlineStr">
        <is>
          <t>32285001673192</t>
        </is>
      </c>
      <c r="BD141" t="inlineStr">
        <is>
          <t>893429508</t>
        </is>
      </c>
    </row>
    <row r="142">
      <c r="A142" t="inlineStr">
        <is>
          <t>No</t>
        </is>
      </c>
      <c r="B142" t="inlineStr">
        <is>
          <t>HT127.5 .L38 vol. 6</t>
        </is>
      </c>
      <c r="C142" t="inlineStr">
        <is>
          <t>0                      HT 0127500L  38                                                      vol. 6</t>
        </is>
      </c>
      <c r="D142" t="inlineStr">
        <is>
          <t>Metropolitan Latin America : the challenge and the response / Wayne A. Cornelius and Robert V. Kemper, editors.</t>
        </is>
      </c>
      <c r="E142" t="inlineStr">
        <is>
          <t>V. 6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Beverly Hills, Calif. : Sage Publications, c1978.</t>
        </is>
      </c>
      <c r="M142" t="inlineStr">
        <is>
          <t>1978</t>
        </is>
      </c>
      <c r="O142" t="inlineStr">
        <is>
          <t>eng</t>
        </is>
      </c>
      <c r="P142" t="inlineStr">
        <is>
          <t>cau</t>
        </is>
      </c>
      <c r="Q142" t="inlineStr">
        <is>
          <t>Latin American urban research ; v. 6</t>
        </is>
      </c>
      <c r="R142" t="inlineStr">
        <is>
          <t xml:space="preserve">HT </t>
        </is>
      </c>
      <c r="S142" t="n">
        <v>5</v>
      </c>
      <c r="T142" t="n">
        <v>5</v>
      </c>
      <c r="U142" t="inlineStr">
        <is>
          <t>1998-02-15</t>
        </is>
      </c>
      <c r="V142" t="inlineStr">
        <is>
          <t>1998-02-15</t>
        </is>
      </c>
      <c r="W142" t="inlineStr">
        <is>
          <t>1993-05-06</t>
        </is>
      </c>
      <c r="X142" t="inlineStr">
        <is>
          <t>1993-05-06</t>
        </is>
      </c>
      <c r="Y142" t="n">
        <v>197</v>
      </c>
      <c r="Z142" t="n">
        <v>152</v>
      </c>
      <c r="AA142" t="n">
        <v>152</v>
      </c>
      <c r="AB142" t="n">
        <v>1</v>
      </c>
      <c r="AC142" t="n">
        <v>1</v>
      </c>
      <c r="AD142" t="n">
        <v>12</v>
      </c>
      <c r="AE142" t="n">
        <v>12</v>
      </c>
      <c r="AF142" t="n">
        <v>2</v>
      </c>
      <c r="AG142" t="n">
        <v>2</v>
      </c>
      <c r="AH142" t="n">
        <v>7</v>
      </c>
      <c r="AI142" t="n">
        <v>7</v>
      </c>
      <c r="AJ142" t="n">
        <v>6</v>
      </c>
      <c r="AK142" t="n">
        <v>6</v>
      </c>
      <c r="AL142" t="n">
        <v>0</v>
      </c>
      <c r="AM142" t="n">
        <v>0</v>
      </c>
      <c r="AN142" t="n">
        <v>1</v>
      </c>
      <c r="AO142" t="n">
        <v>1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HYPERLINK("https://creighton-primo.hosted.exlibrisgroup.com/primo-explore/search?tab=default_tab&amp;search_scope=EVERYTHING&amp;vid=01CRU&amp;lang=en_US&amp;offset=0&amp;query=any,contains,991004517289702656","Catalog Record")</f>
        <v/>
      </c>
      <c r="AT142">
        <f>HYPERLINK("http://www.worldcat.org/oclc/3793001","WorldCat Record")</f>
        <v/>
      </c>
      <c r="AU142" t="inlineStr">
        <is>
          <t>366263283:eng</t>
        </is>
      </c>
      <c r="AV142" t="inlineStr">
        <is>
          <t>3793001</t>
        </is>
      </c>
      <c r="AW142" t="inlineStr">
        <is>
          <t>991004517289702656</t>
        </is>
      </c>
      <c r="AX142" t="inlineStr">
        <is>
          <t>991004517289702656</t>
        </is>
      </c>
      <c r="AY142" t="inlineStr">
        <is>
          <t>2258625130002656</t>
        </is>
      </c>
      <c r="AZ142" t="inlineStr">
        <is>
          <t>BOOK</t>
        </is>
      </c>
      <c r="BB142" t="inlineStr">
        <is>
          <t>9780803906617</t>
        </is>
      </c>
      <c r="BC142" t="inlineStr">
        <is>
          <t>32285001673200</t>
        </is>
      </c>
      <c r="BD142" t="inlineStr">
        <is>
          <t>893411642</t>
        </is>
      </c>
    </row>
    <row r="143">
      <c r="A143" t="inlineStr">
        <is>
          <t>No</t>
        </is>
      </c>
      <c r="B143" t="inlineStr">
        <is>
          <t>HT127.5 .N49 1995</t>
        </is>
      </c>
      <c r="C143" t="inlineStr">
        <is>
          <t>0                      HT 0127500N  49          1995</t>
        </is>
      </c>
      <c r="D143" t="inlineStr">
        <is>
          <t>New paths to democratic development in Latin America : the rise of NGO-municipal collaboration / edited by Charles A. Reilly.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L143" t="inlineStr">
        <is>
          <t>Boulder : L. Rienner, 1995.</t>
        </is>
      </c>
      <c r="M143" t="inlineStr">
        <is>
          <t>1995</t>
        </is>
      </c>
      <c r="O143" t="inlineStr">
        <is>
          <t>eng</t>
        </is>
      </c>
      <c r="P143" t="inlineStr">
        <is>
          <t>cou</t>
        </is>
      </c>
      <c r="R143" t="inlineStr">
        <is>
          <t xml:space="preserve">HT </t>
        </is>
      </c>
      <c r="S143" t="n">
        <v>7</v>
      </c>
      <c r="T143" t="n">
        <v>7</v>
      </c>
      <c r="U143" t="inlineStr">
        <is>
          <t>2010-01-20</t>
        </is>
      </c>
      <c r="V143" t="inlineStr">
        <is>
          <t>2010-01-20</t>
        </is>
      </c>
      <c r="W143" t="inlineStr">
        <is>
          <t>1998-05-13</t>
        </is>
      </c>
      <c r="X143" t="inlineStr">
        <is>
          <t>1998-05-13</t>
        </is>
      </c>
      <c r="Y143" t="n">
        <v>379</v>
      </c>
      <c r="Z143" t="n">
        <v>286</v>
      </c>
      <c r="AA143" t="n">
        <v>288</v>
      </c>
      <c r="AB143" t="n">
        <v>2</v>
      </c>
      <c r="AC143" t="n">
        <v>2</v>
      </c>
      <c r="AD143" t="n">
        <v>15</v>
      </c>
      <c r="AE143" t="n">
        <v>15</v>
      </c>
      <c r="AF143" t="n">
        <v>5</v>
      </c>
      <c r="AG143" t="n">
        <v>5</v>
      </c>
      <c r="AH143" t="n">
        <v>6</v>
      </c>
      <c r="AI143" t="n">
        <v>6</v>
      </c>
      <c r="AJ143" t="n">
        <v>6</v>
      </c>
      <c r="AK143" t="n">
        <v>6</v>
      </c>
      <c r="AL143" t="n">
        <v>1</v>
      </c>
      <c r="AM143" t="n">
        <v>1</v>
      </c>
      <c r="AN143" t="n">
        <v>0</v>
      </c>
      <c r="AO143" t="n">
        <v>0</v>
      </c>
      <c r="AP143" t="inlineStr">
        <is>
          <t>No</t>
        </is>
      </c>
      <c r="AQ143" t="inlineStr">
        <is>
          <t>No</t>
        </is>
      </c>
      <c r="AS143">
        <f>HYPERLINK("https://creighton-primo.hosted.exlibrisgroup.com/primo-explore/search?tab=default_tab&amp;search_scope=EVERYTHING&amp;vid=01CRU&amp;lang=en_US&amp;offset=0&amp;query=any,contains,991002389319702656","Catalog Record")</f>
        <v/>
      </c>
      <c r="AT143">
        <f>HYPERLINK("http://www.worldcat.org/oclc/31045062","WorldCat Record")</f>
        <v/>
      </c>
      <c r="AU143" t="inlineStr">
        <is>
          <t>836943269:eng</t>
        </is>
      </c>
      <c r="AV143" t="inlineStr">
        <is>
          <t>31045062</t>
        </is>
      </c>
      <c r="AW143" t="inlineStr">
        <is>
          <t>991002389319702656</t>
        </is>
      </c>
      <c r="AX143" t="inlineStr">
        <is>
          <t>991002389319702656</t>
        </is>
      </c>
      <c r="AY143" t="inlineStr">
        <is>
          <t>2262028460002656</t>
        </is>
      </c>
      <c r="AZ143" t="inlineStr">
        <is>
          <t>BOOK</t>
        </is>
      </c>
      <c r="BB143" t="inlineStr">
        <is>
          <t>9781555875572</t>
        </is>
      </c>
      <c r="BC143" t="inlineStr">
        <is>
          <t>32285003409025</t>
        </is>
      </c>
      <c r="BD143" t="inlineStr">
        <is>
          <t>893421287</t>
        </is>
      </c>
    </row>
    <row r="144">
      <c r="A144" t="inlineStr">
        <is>
          <t>No</t>
        </is>
      </c>
      <c r="B144" t="inlineStr">
        <is>
          <t>HT127.5 .P67</t>
        </is>
      </c>
      <c r="C144" t="inlineStr">
        <is>
          <t>0                      HT 0127500P  67</t>
        </is>
      </c>
      <c r="D144" t="inlineStr">
        <is>
          <t>Urban Latin America : the political condition from above and below / by Alejandro Portes and John Walton.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Portes, Alejandro, 1944-</t>
        </is>
      </c>
      <c r="L144" t="inlineStr">
        <is>
          <t>Austin : University of Texas Press, c1976.</t>
        </is>
      </c>
      <c r="M144" t="inlineStr">
        <is>
          <t>1976</t>
        </is>
      </c>
      <c r="O144" t="inlineStr">
        <is>
          <t>eng</t>
        </is>
      </c>
      <c r="P144" t="inlineStr">
        <is>
          <t>txu</t>
        </is>
      </c>
      <c r="Q144" t="inlineStr">
        <is>
          <t>Texas Pan American series</t>
        </is>
      </c>
      <c r="R144" t="inlineStr">
        <is>
          <t xml:space="preserve">HT </t>
        </is>
      </c>
      <c r="S144" t="n">
        <v>10</v>
      </c>
      <c r="T144" t="n">
        <v>10</v>
      </c>
      <c r="U144" t="inlineStr">
        <is>
          <t>2008-12-12</t>
        </is>
      </c>
      <c r="V144" t="inlineStr">
        <is>
          <t>2008-12-12</t>
        </is>
      </c>
      <c r="W144" t="inlineStr">
        <is>
          <t>1997-08-18</t>
        </is>
      </c>
      <c r="X144" t="inlineStr">
        <is>
          <t>1997-08-18</t>
        </is>
      </c>
      <c r="Y144" t="n">
        <v>532</v>
      </c>
      <c r="Z144" t="n">
        <v>443</v>
      </c>
      <c r="AA144" t="n">
        <v>461</v>
      </c>
      <c r="AB144" t="n">
        <v>6</v>
      </c>
      <c r="AC144" t="n">
        <v>6</v>
      </c>
      <c r="AD144" t="n">
        <v>23</v>
      </c>
      <c r="AE144" t="n">
        <v>24</v>
      </c>
      <c r="AF144" t="n">
        <v>6</v>
      </c>
      <c r="AG144" t="n">
        <v>7</v>
      </c>
      <c r="AH144" t="n">
        <v>6</v>
      </c>
      <c r="AI144" t="n">
        <v>7</v>
      </c>
      <c r="AJ144" t="n">
        <v>13</v>
      </c>
      <c r="AK144" t="n">
        <v>13</v>
      </c>
      <c r="AL144" t="n">
        <v>5</v>
      </c>
      <c r="AM144" t="n">
        <v>5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HYPERLINK("http://catalog.hathitrust.org/Record/000020643","HathiTrust Record")</f>
        <v/>
      </c>
      <c r="AS144">
        <f>HYPERLINK("https://creighton-primo.hosted.exlibrisgroup.com/primo-explore/search?tab=default_tab&amp;search_scope=EVERYTHING&amp;vid=01CRU&amp;lang=en_US&amp;offset=0&amp;query=any,contains,991003808429702656","Catalog Record")</f>
        <v/>
      </c>
      <c r="AT144">
        <f>HYPERLINK("http://www.worldcat.org/oclc/1531979","WorldCat Record")</f>
        <v/>
      </c>
      <c r="AU144" t="inlineStr">
        <is>
          <t>147976732:eng</t>
        </is>
      </c>
      <c r="AV144" t="inlineStr">
        <is>
          <t>1531979</t>
        </is>
      </c>
      <c r="AW144" t="inlineStr">
        <is>
          <t>991003808429702656</t>
        </is>
      </c>
      <c r="AX144" t="inlineStr">
        <is>
          <t>991003808429702656</t>
        </is>
      </c>
      <c r="AY144" t="inlineStr">
        <is>
          <t>2271864790002656</t>
        </is>
      </c>
      <c r="AZ144" t="inlineStr">
        <is>
          <t>BOOK</t>
        </is>
      </c>
      <c r="BB144" t="inlineStr">
        <is>
          <t>9780292764279</t>
        </is>
      </c>
      <c r="BC144" t="inlineStr">
        <is>
          <t>32285003146122</t>
        </is>
      </c>
      <c r="BD144" t="inlineStr">
        <is>
          <t>893324511</t>
        </is>
      </c>
    </row>
    <row r="145">
      <c r="A145" t="inlineStr">
        <is>
          <t>No</t>
        </is>
      </c>
      <c r="B145" t="inlineStr">
        <is>
          <t>HT127.5 .R62 1978</t>
        </is>
      </c>
      <c r="C145" t="inlineStr">
        <is>
          <t>0                      HT 0127500R  62          1978</t>
        </is>
      </c>
      <c r="D145" t="inlineStr">
        <is>
          <t>Cities of peasants : the political economy of urbanization in the Third World / Bryan Roberts.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Roberts, Bryan R., 1939-</t>
        </is>
      </c>
      <c r="L145" t="inlineStr">
        <is>
          <t>London : E. Arnold, 1978.</t>
        </is>
      </c>
      <c r="M145" t="inlineStr">
        <is>
          <t>1978</t>
        </is>
      </c>
      <c r="O145" t="inlineStr">
        <is>
          <t>eng</t>
        </is>
      </c>
      <c r="P145" t="inlineStr">
        <is>
          <t>enk</t>
        </is>
      </c>
      <c r="Q145" t="inlineStr">
        <is>
          <t>Explorations in urban analysis</t>
        </is>
      </c>
      <c r="R145" t="inlineStr">
        <is>
          <t xml:space="preserve">HT </t>
        </is>
      </c>
      <c r="S145" t="n">
        <v>9</v>
      </c>
      <c r="T145" t="n">
        <v>9</v>
      </c>
      <c r="U145" t="inlineStr">
        <is>
          <t>2001-04-24</t>
        </is>
      </c>
      <c r="V145" t="inlineStr">
        <is>
          <t>2001-04-24</t>
        </is>
      </c>
      <c r="W145" t="inlineStr">
        <is>
          <t>1993-05-06</t>
        </is>
      </c>
      <c r="X145" t="inlineStr">
        <is>
          <t>1993-05-06</t>
        </is>
      </c>
      <c r="Y145" t="n">
        <v>303</v>
      </c>
      <c r="Z145" t="n">
        <v>109</v>
      </c>
      <c r="AA145" t="n">
        <v>402</v>
      </c>
      <c r="AB145" t="n">
        <v>3</v>
      </c>
      <c r="AC145" t="n">
        <v>3</v>
      </c>
      <c r="AD145" t="n">
        <v>5</v>
      </c>
      <c r="AE145" t="n">
        <v>17</v>
      </c>
      <c r="AF145" t="n">
        <v>0</v>
      </c>
      <c r="AG145" t="n">
        <v>6</v>
      </c>
      <c r="AH145" t="n">
        <v>2</v>
      </c>
      <c r="AI145" t="n">
        <v>4</v>
      </c>
      <c r="AJ145" t="n">
        <v>2</v>
      </c>
      <c r="AK145" t="n">
        <v>11</v>
      </c>
      <c r="AL145" t="n">
        <v>2</v>
      </c>
      <c r="AM145" t="n">
        <v>2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HYPERLINK("http://catalog.hathitrust.org/Record/000299006","HathiTrust Record")</f>
        <v/>
      </c>
      <c r="AS145">
        <f>HYPERLINK("https://creighton-primo.hosted.exlibrisgroup.com/primo-explore/search?tab=default_tab&amp;search_scope=EVERYTHING&amp;vid=01CRU&amp;lang=en_US&amp;offset=0&amp;query=any,contains,991004729829702656","Catalog Record")</f>
        <v/>
      </c>
      <c r="AT145">
        <f>HYPERLINK("http://www.worldcat.org/oclc/4833841","WorldCat Record")</f>
        <v/>
      </c>
      <c r="AU145" t="inlineStr">
        <is>
          <t>15066254:eng</t>
        </is>
      </c>
      <c r="AV145" t="inlineStr">
        <is>
          <t>4833841</t>
        </is>
      </c>
      <c r="AW145" t="inlineStr">
        <is>
          <t>991004729829702656</t>
        </is>
      </c>
      <c r="AX145" t="inlineStr">
        <is>
          <t>991004729829702656</t>
        </is>
      </c>
      <c r="AY145" t="inlineStr">
        <is>
          <t>2266843040002656</t>
        </is>
      </c>
      <c r="AZ145" t="inlineStr">
        <is>
          <t>BOOK</t>
        </is>
      </c>
      <c r="BB145" t="inlineStr">
        <is>
          <t>9780713161267</t>
        </is>
      </c>
      <c r="BC145" t="inlineStr">
        <is>
          <t>32285001673218</t>
        </is>
      </c>
      <c r="BD145" t="inlineStr">
        <is>
          <t>893430429</t>
        </is>
      </c>
    </row>
    <row r="146">
      <c r="A146" t="inlineStr">
        <is>
          <t>No</t>
        </is>
      </c>
      <c r="B146" t="inlineStr">
        <is>
          <t>HT127.5 .U718</t>
        </is>
      </c>
      <c r="C146" t="inlineStr">
        <is>
          <t>0                      HT 0127500U  718</t>
        </is>
      </c>
      <c r="D146" t="inlineStr">
        <is>
          <t>Urbanization in contemporary Latin America : critical approaches to the analysis of urban issues / edited by Alan Gilbert, in association with Jorge E. Hardoy and Ronaldo Ramirez.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L146" t="inlineStr">
        <is>
          <t>Chichester ; New York : J. Wiley, c1982.</t>
        </is>
      </c>
      <c r="M146" t="inlineStr">
        <is>
          <t>1982</t>
        </is>
      </c>
      <c r="O146" t="inlineStr">
        <is>
          <t>eng</t>
        </is>
      </c>
      <c r="P146" t="inlineStr">
        <is>
          <t>enk</t>
        </is>
      </c>
      <c r="R146" t="inlineStr">
        <is>
          <t xml:space="preserve">HT </t>
        </is>
      </c>
      <c r="S146" t="n">
        <v>7</v>
      </c>
      <c r="T146" t="n">
        <v>7</v>
      </c>
      <c r="U146" t="inlineStr">
        <is>
          <t>2002-12-02</t>
        </is>
      </c>
      <c r="V146" t="inlineStr">
        <is>
          <t>2002-12-02</t>
        </is>
      </c>
      <c r="W146" t="inlineStr">
        <is>
          <t>1993-05-06</t>
        </is>
      </c>
      <c r="X146" t="inlineStr">
        <is>
          <t>1993-05-06</t>
        </is>
      </c>
      <c r="Y146" t="n">
        <v>409</v>
      </c>
      <c r="Z146" t="n">
        <v>272</v>
      </c>
      <c r="AA146" t="n">
        <v>279</v>
      </c>
      <c r="AB146" t="n">
        <v>3</v>
      </c>
      <c r="AC146" t="n">
        <v>3</v>
      </c>
      <c r="AD146" t="n">
        <v>9</v>
      </c>
      <c r="AE146" t="n">
        <v>9</v>
      </c>
      <c r="AF146" t="n">
        <v>1</v>
      </c>
      <c r="AG146" t="n">
        <v>1</v>
      </c>
      <c r="AH146" t="n">
        <v>3</v>
      </c>
      <c r="AI146" t="n">
        <v>3</v>
      </c>
      <c r="AJ146" t="n">
        <v>5</v>
      </c>
      <c r="AK146" t="n">
        <v>5</v>
      </c>
      <c r="AL146" t="n">
        <v>2</v>
      </c>
      <c r="AM146" t="n">
        <v>2</v>
      </c>
      <c r="AN146" t="n">
        <v>0</v>
      </c>
      <c r="AO146" t="n">
        <v>0</v>
      </c>
      <c r="AP146" t="inlineStr">
        <is>
          <t>No</t>
        </is>
      </c>
      <c r="AQ146" t="inlineStr">
        <is>
          <t>No</t>
        </is>
      </c>
      <c r="AS146">
        <f>HYPERLINK("https://creighton-primo.hosted.exlibrisgroup.com/primo-explore/search?tab=default_tab&amp;search_scope=EVERYTHING&amp;vid=01CRU&amp;lang=en_US&amp;offset=0&amp;query=any,contains,991005195669702656","Catalog Record")</f>
        <v/>
      </c>
      <c r="AT146">
        <f>HYPERLINK("http://www.worldcat.org/oclc/8034962","WorldCat Record")</f>
        <v/>
      </c>
      <c r="AU146" t="inlineStr">
        <is>
          <t>889500374:eng</t>
        </is>
      </c>
      <c r="AV146" t="inlineStr">
        <is>
          <t>8034962</t>
        </is>
      </c>
      <c r="AW146" t="inlineStr">
        <is>
          <t>991005195669702656</t>
        </is>
      </c>
      <c r="AX146" t="inlineStr">
        <is>
          <t>991005195669702656</t>
        </is>
      </c>
      <c r="AY146" t="inlineStr">
        <is>
          <t>2269997760002656</t>
        </is>
      </c>
      <c r="AZ146" t="inlineStr">
        <is>
          <t>BOOK</t>
        </is>
      </c>
      <c r="BB146" t="inlineStr">
        <is>
          <t>9780471101833</t>
        </is>
      </c>
      <c r="BC146" t="inlineStr">
        <is>
          <t>32285001673226</t>
        </is>
      </c>
      <c r="BD146" t="inlineStr">
        <is>
          <t>893889836</t>
        </is>
      </c>
    </row>
    <row r="147">
      <c r="A147" t="inlineStr">
        <is>
          <t>No</t>
        </is>
      </c>
      <c r="B147" t="inlineStr">
        <is>
          <t>HT127.7 .A77 1993</t>
        </is>
      </c>
      <c r="C147" t="inlineStr">
        <is>
          <t>0                      HT 0127700A  77          1993</t>
        </is>
      </c>
      <c r="D147" t="inlineStr">
        <is>
          <t>The Mexican border cities : landscape anatomy and place personality / Daniel D. Arreola, James R. Curtis.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Arreola, Daniel D. (Daniel David), 1950-</t>
        </is>
      </c>
      <c r="L147" t="inlineStr">
        <is>
          <t>Tucson : University of Arizona Press, c1993.</t>
        </is>
      </c>
      <c r="M147" t="inlineStr">
        <is>
          <t>1993</t>
        </is>
      </c>
      <c r="O147" t="inlineStr">
        <is>
          <t>eng</t>
        </is>
      </c>
      <c r="P147" t="inlineStr">
        <is>
          <t>azu</t>
        </is>
      </c>
      <c r="R147" t="inlineStr">
        <is>
          <t xml:space="preserve">HT </t>
        </is>
      </c>
      <c r="S147" t="n">
        <v>4</v>
      </c>
      <c r="T147" t="n">
        <v>4</v>
      </c>
      <c r="U147" t="inlineStr">
        <is>
          <t>2001-11-27</t>
        </is>
      </c>
      <c r="V147" t="inlineStr">
        <is>
          <t>2001-11-27</t>
        </is>
      </c>
      <c r="W147" t="inlineStr">
        <is>
          <t>1994-05-06</t>
        </is>
      </c>
      <c r="X147" t="inlineStr">
        <is>
          <t>1994-05-06</t>
        </is>
      </c>
      <c r="Y147" t="n">
        <v>585</v>
      </c>
      <c r="Z147" t="n">
        <v>527</v>
      </c>
      <c r="AA147" t="n">
        <v>539</v>
      </c>
      <c r="AB147" t="n">
        <v>6</v>
      </c>
      <c r="AC147" t="n">
        <v>6</v>
      </c>
      <c r="AD147" t="n">
        <v>22</v>
      </c>
      <c r="AE147" t="n">
        <v>22</v>
      </c>
      <c r="AF147" t="n">
        <v>6</v>
      </c>
      <c r="AG147" t="n">
        <v>6</v>
      </c>
      <c r="AH147" t="n">
        <v>7</v>
      </c>
      <c r="AI147" t="n">
        <v>7</v>
      </c>
      <c r="AJ147" t="n">
        <v>10</v>
      </c>
      <c r="AK147" t="n">
        <v>10</v>
      </c>
      <c r="AL147" t="n">
        <v>5</v>
      </c>
      <c r="AM147" t="n">
        <v>5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HYPERLINK("http://catalog.hathitrust.org/Record/002647699","HathiTrust Record")</f>
        <v/>
      </c>
      <c r="AS147">
        <f>HYPERLINK("https://creighton-primo.hosted.exlibrisgroup.com/primo-explore/search?tab=default_tab&amp;search_scope=EVERYTHING&amp;vid=01CRU&amp;lang=en_US&amp;offset=0&amp;query=any,contains,991002046359702656","Catalog Record")</f>
        <v/>
      </c>
      <c r="AT147">
        <f>HYPERLINK("http://www.worldcat.org/oclc/26129034","WorldCat Record")</f>
        <v/>
      </c>
      <c r="AU147" t="inlineStr">
        <is>
          <t>28770908:eng</t>
        </is>
      </c>
      <c r="AV147" t="inlineStr">
        <is>
          <t>26129034</t>
        </is>
      </c>
      <c r="AW147" t="inlineStr">
        <is>
          <t>991002046359702656</t>
        </is>
      </c>
      <c r="AX147" t="inlineStr">
        <is>
          <t>991002046359702656</t>
        </is>
      </c>
      <c r="AY147" t="inlineStr">
        <is>
          <t>2272750370002656</t>
        </is>
      </c>
      <c r="AZ147" t="inlineStr">
        <is>
          <t>BOOK</t>
        </is>
      </c>
      <c r="BB147" t="inlineStr">
        <is>
          <t>9780816512874</t>
        </is>
      </c>
      <c r="BC147" t="inlineStr">
        <is>
          <t>32285001878361</t>
        </is>
      </c>
      <c r="BD147" t="inlineStr">
        <is>
          <t>893892059</t>
        </is>
      </c>
    </row>
    <row r="148">
      <c r="A148" t="inlineStr">
        <is>
          <t>No</t>
        </is>
      </c>
      <c r="B148" t="inlineStr">
        <is>
          <t>HT129.A2 S4 1959</t>
        </is>
      </c>
      <c r="C148" t="inlineStr">
        <is>
          <t>0                      HT 0129000A  2                  S  4           1959</t>
        </is>
      </c>
      <c r="D148" t="inlineStr">
        <is>
          <t>Urbanization in Latin America; proceedings. Edited by Philip M. Hauser.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Seminar on Urbanization Problems in Latin America (1959 : Santiago, Chile)</t>
        </is>
      </c>
      <c r="L148" t="inlineStr">
        <is>
          <t>New York, International Documents Service, 1961.</t>
        </is>
      </c>
      <c r="M148" t="inlineStr">
        <is>
          <t>1961</t>
        </is>
      </c>
      <c r="O148" t="inlineStr">
        <is>
          <t>eng</t>
        </is>
      </c>
      <c r="P148" t="inlineStr">
        <is>
          <t>nyu</t>
        </is>
      </c>
      <c r="Q148" t="inlineStr">
        <is>
          <t>Technology and society series</t>
        </is>
      </c>
      <c r="R148" t="inlineStr">
        <is>
          <t xml:space="preserve">HT </t>
        </is>
      </c>
      <c r="S148" t="n">
        <v>5</v>
      </c>
      <c r="T148" t="n">
        <v>5</v>
      </c>
      <c r="U148" t="inlineStr">
        <is>
          <t>2000-10-10</t>
        </is>
      </c>
      <c r="V148" t="inlineStr">
        <is>
          <t>2000-10-10</t>
        </is>
      </c>
      <c r="W148" t="inlineStr">
        <is>
          <t>1997-08-18</t>
        </is>
      </c>
      <c r="X148" t="inlineStr">
        <is>
          <t>1997-08-18</t>
        </is>
      </c>
      <c r="Y148" t="n">
        <v>402</v>
      </c>
      <c r="Z148" t="n">
        <v>374</v>
      </c>
      <c r="AA148" t="n">
        <v>452</v>
      </c>
      <c r="AB148" t="n">
        <v>2</v>
      </c>
      <c r="AC148" t="n">
        <v>2</v>
      </c>
      <c r="AD148" t="n">
        <v>17</v>
      </c>
      <c r="AE148" t="n">
        <v>21</v>
      </c>
      <c r="AF148" t="n">
        <v>4</v>
      </c>
      <c r="AG148" t="n">
        <v>5</v>
      </c>
      <c r="AH148" t="n">
        <v>4</v>
      </c>
      <c r="AI148" t="n">
        <v>5</v>
      </c>
      <c r="AJ148" t="n">
        <v>14</v>
      </c>
      <c r="AK148" t="n">
        <v>16</v>
      </c>
      <c r="AL148" t="n">
        <v>1</v>
      </c>
      <c r="AM148" t="n">
        <v>1</v>
      </c>
      <c r="AN148" t="n">
        <v>0</v>
      </c>
      <c r="AO148" t="n">
        <v>1</v>
      </c>
      <c r="AP148" t="inlineStr">
        <is>
          <t>No</t>
        </is>
      </c>
      <c r="AQ148" t="inlineStr">
        <is>
          <t>No</t>
        </is>
      </c>
      <c r="AR148">
        <f>HYPERLINK("http://catalog.hathitrust.org/Record/001117121","HathiTrust Record")</f>
        <v/>
      </c>
      <c r="AS148">
        <f>HYPERLINK("https://creighton-primo.hosted.exlibrisgroup.com/primo-explore/search?tab=default_tab&amp;search_scope=EVERYTHING&amp;vid=01CRU&amp;lang=en_US&amp;offset=0&amp;query=any,contains,991000514789702656","Catalog Record")</f>
        <v/>
      </c>
      <c r="AT148">
        <f>HYPERLINK("http://www.worldcat.org/oclc/11277145","WorldCat Record")</f>
        <v/>
      </c>
      <c r="AU148" t="inlineStr">
        <is>
          <t>3983055:eng</t>
        </is>
      </c>
      <c r="AV148" t="inlineStr">
        <is>
          <t>11277145</t>
        </is>
      </c>
      <c r="AW148" t="inlineStr">
        <is>
          <t>991000514789702656</t>
        </is>
      </c>
      <c r="AX148" t="inlineStr">
        <is>
          <t>991000514789702656</t>
        </is>
      </c>
      <c r="AY148" t="inlineStr">
        <is>
          <t>2270392470002656</t>
        </is>
      </c>
      <c r="AZ148" t="inlineStr">
        <is>
          <t>BOOK</t>
        </is>
      </c>
      <c r="BC148" t="inlineStr">
        <is>
          <t>32285003146130</t>
        </is>
      </c>
      <c r="BD148" t="inlineStr">
        <is>
          <t>893871741</t>
        </is>
      </c>
    </row>
    <row r="149">
      <c r="A149" t="inlineStr">
        <is>
          <t>No</t>
        </is>
      </c>
      <c r="B149" t="inlineStr">
        <is>
          <t>HT129.L3 U7</t>
        </is>
      </c>
      <c r="C149" t="inlineStr">
        <is>
          <t>0                      HT 0129000L  3                  U  7</t>
        </is>
      </c>
      <c r="D149" t="inlineStr">
        <is>
          <t>The Urban explosion in Latin America; a continent in process of modernization. Glenn H. Beyer, editor.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L149" t="inlineStr">
        <is>
          <t>Ithaca, N.Y., Cornell University Press [1967]</t>
        </is>
      </c>
      <c r="M149" t="inlineStr">
        <is>
          <t>1967</t>
        </is>
      </c>
      <c r="O149" t="inlineStr">
        <is>
          <t>eng</t>
        </is>
      </c>
      <c r="P149" t="inlineStr">
        <is>
          <t>nyu</t>
        </is>
      </c>
      <c r="R149" t="inlineStr">
        <is>
          <t xml:space="preserve">HT </t>
        </is>
      </c>
      <c r="S149" t="n">
        <v>3</v>
      </c>
      <c r="T149" t="n">
        <v>3</v>
      </c>
      <c r="U149" t="inlineStr">
        <is>
          <t>2001-04-24</t>
        </is>
      </c>
      <c r="V149" t="inlineStr">
        <is>
          <t>2001-04-24</t>
        </is>
      </c>
      <c r="W149" t="inlineStr">
        <is>
          <t>1997-08-18</t>
        </is>
      </c>
      <c r="X149" t="inlineStr">
        <is>
          <t>1997-08-18</t>
        </is>
      </c>
      <c r="Y149" t="n">
        <v>735</v>
      </c>
      <c r="Z149" t="n">
        <v>585</v>
      </c>
      <c r="AA149" t="n">
        <v>592</v>
      </c>
      <c r="AB149" t="n">
        <v>4</v>
      </c>
      <c r="AC149" t="n">
        <v>4</v>
      </c>
      <c r="AD149" t="n">
        <v>30</v>
      </c>
      <c r="AE149" t="n">
        <v>30</v>
      </c>
      <c r="AF149" t="n">
        <v>12</v>
      </c>
      <c r="AG149" t="n">
        <v>12</v>
      </c>
      <c r="AH149" t="n">
        <v>7</v>
      </c>
      <c r="AI149" t="n">
        <v>7</v>
      </c>
      <c r="AJ149" t="n">
        <v>15</v>
      </c>
      <c r="AK149" t="n">
        <v>15</v>
      </c>
      <c r="AL149" t="n">
        <v>3</v>
      </c>
      <c r="AM149" t="n">
        <v>3</v>
      </c>
      <c r="AN149" t="n">
        <v>1</v>
      </c>
      <c r="AO149" t="n">
        <v>1</v>
      </c>
      <c r="AP149" t="inlineStr">
        <is>
          <t>No</t>
        </is>
      </c>
      <c r="AQ149" t="inlineStr">
        <is>
          <t>Yes</t>
        </is>
      </c>
      <c r="AR149">
        <f>HYPERLINK("http://catalog.hathitrust.org/Record/001117122","HathiTrust Record")</f>
        <v/>
      </c>
      <c r="AS149">
        <f>HYPERLINK("https://creighton-primo.hosted.exlibrisgroup.com/primo-explore/search?tab=default_tab&amp;search_scope=EVERYTHING&amp;vid=01CRU&amp;lang=en_US&amp;offset=0&amp;query=any,contains,991002048149702656","Catalog Record")</f>
        <v/>
      </c>
      <c r="AT149">
        <f>HYPERLINK("http://www.worldcat.org/oclc/261478","WorldCat Record")</f>
        <v/>
      </c>
      <c r="AU149" t="inlineStr">
        <is>
          <t>3943657382:eng</t>
        </is>
      </c>
      <c r="AV149" t="inlineStr">
        <is>
          <t>261478</t>
        </is>
      </c>
      <c r="AW149" t="inlineStr">
        <is>
          <t>991002048149702656</t>
        </is>
      </c>
      <c r="AX149" t="inlineStr">
        <is>
          <t>991002048149702656</t>
        </is>
      </c>
      <c r="AY149" t="inlineStr">
        <is>
          <t>2265558150002656</t>
        </is>
      </c>
      <c r="AZ149" t="inlineStr">
        <is>
          <t>BOOK</t>
        </is>
      </c>
      <c r="BC149" t="inlineStr">
        <is>
          <t>32285003146148</t>
        </is>
      </c>
      <c r="BD149" t="inlineStr">
        <is>
          <t>893510226</t>
        </is>
      </c>
    </row>
    <row r="150">
      <c r="A150" t="inlineStr">
        <is>
          <t>No</t>
        </is>
      </c>
      <c r="B150" t="inlineStr">
        <is>
          <t>HT131 .E5613</t>
        </is>
      </c>
      <c r="C150" t="inlineStr">
        <is>
          <t>0                      HT 0131000E  5613</t>
        </is>
      </c>
      <c r="D150" t="inlineStr">
        <is>
          <t>The Medieval town / by Edith Ennen ; translated by Natalie Fryde.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Ennen, Edith.</t>
        </is>
      </c>
      <c r="L150" t="inlineStr">
        <is>
          <t>Amsterdam ; New York : North-Holland Pub. Co. ; New York : distributors for the U.S.A. and Canada, 1979.</t>
        </is>
      </c>
      <c r="M150" t="inlineStr">
        <is>
          <t>1979</t>
        </is>
      </c>
      <c r="O150" t="inlineStr">
        <is>
          <t>eng</t>
        </is>
      </c>
      <c r="P150" t="inlineStr">
        <is>
          <t xml:space="preserve">ne </t>
        </is>
      </c>
      <c r="Q150" t="inlineStr">
        <is>
          <t>Europe in the Middle Ages selected studies ; v. 15</t>
        </is>
      </c>
      <c r="R150" t="inlineStr">
        <is>
          <t xml:space="preserve">HT </t>
        </is>
      </c>
      <c r="S150" t="n">
        <v>11</v>
      </c>
      <c r="T150" t="n">
        <v>11</v>
      </c>
      <c r="U150" t="inlineStr">
        <is>
          <t>2009-03-27</t>
        </is>
      </c>
      <c r="V150" t="inlineStr">
        <is>
          <t>2009-03-27</t>
        </is>
      </c>
      <c r="W150" t="inlineStr">
        <is>
          <t>1993-05-06</t>
        </is>
      </c>
      <c r="X150" t="inlineStr">
        <is>
          <t>1993-05-06</t>
        </is>
      </c>
      <c r="Y150" t="n">
        <v>339</v>
      </c>
      <c r="Z150" t="n">
        <v>234</v>
      </c>
      <c r="AA150" t="n">
        <v>235</v>
      </c>
      <c r="AB150" t="n">
        <v>3</v>
      </c>
      <c r="AC150" t="n">
        <v>3</v>
      </c>
      <c r="AD150" t="n">
        <v>11</v>
      </c>
      <c r="AE150" t="n">
        <v>11</v>
      </c>
      <c r="AF150" t="n">
        <v>1</v>
      </c>
      <c r="AG150" t="n">
        <v>1</v>
      </c>
      <c r="AH150" t="n">
        <v>3</v>
      </c>
      <c r="AI150" t="n">
        <v>3</v>
      </c>
      <c r="AJ150" t="n">
        <v>8</v>
      </c>
      <c r="AK150" t="n">
        <v>8</v>
      </c>
      <c r="AL150" t="n">
        <v>2</v>
      </c>
      <c r="AM150" t="n">
        <v>2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HYPERLINK("http://catalog.hathitrust.org/Record/000260577","HathiTrust Record")</f>
        <v/>
      </c>
      <c r="AS150">
        <f>HYPERLINK("https://creighton-primo.hosted.exlibrisgroup.com/primo-explore/search?tab=default_tab&amp;search_scope=EVERYTHING&amp;vid=01CRU&amp;lang=en_US&amp;offset=0&amp;query=any,contains,991004700099702656","Catalog Record")</f>
        <v/>
      </c>
      <c r="AT150">
        <f>HYPERLINK("http://www.worldcat.org/oclc/4665293","WorldCat Record")</f>
        <v/>
      </c>
      <c r="AU150" t="inlineStr">
        <is>
          <t>3260410:eng</t>
        </is>
      </c>
      <c r="AV150" t="inlineStr">
        <is>
          <t>4665293</t>
        </is>
      </c>
      <c r="AW150" t="inlineStr">
        <is>
          <t>991004700099702656</t>
        </is>
      </c>
      <c r="AX150" t="inlineStr">
        <is>
          <t>991004700099702656</t>
        </is>
      </c>
      <c r="AY150" t="inlineStr">
        <is>
          <t>2257239430002656</t>
        </is>
      </c>
      <c r="AZ150" t="inlineStr">
        <is>
          <t>BOOK</t>
        </is>
      </c>
      <c r="BB150" t="inlineStr">
        <is>
          <t>9780444851338</t>
        </is>
      </c>
      <c r="BC150" t="inlineStr">
        <is>
          <t>32285001673234</t>
        </is>
      </c>
      <c r="BD150" t="inlineStr">
        <is>
          <t>893889153</t>
        </is>
      </c>
    </row>
    <row r="151">
      <c r="A151" t="inlineStr">
        <is>
          <t>No</t>
        </is>
      </c>
      <c r="B151" t="inlineStr">
        <is>
          <t>HT131 .H58 1985</t>
        </is>
      </c>
      <c r="C151" t="inlineStr">
        <is>
          <t>0                      HT 0131000H  58          1985</t>
        </is>
      </c>
      <c r="D151" t="inlineStr">
        <is>
          <t>The making of urban Europe, 1000-1950 / Paul M. Hohenberg, Lynn Hollen Lees.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Hohenberg, Paul M.</t>
        </is>
      </c>
      <c r="L151" t="inlineStr">
        <is>
          <t>Cambridge, Mass. : Harvard University Press, 1985.</t>
        </is>
      </c>
      <c r="M151" t="inlineStr">
        <is>
          <t>1985</t>
        </is>
      </c>
      <c r="O151" t="inlineStr">
        <is>
          <t>eng</t>
        </is>
      </c>
      <c r="P151" t="inlineStr">
        <is>
          <t>mau</t>
        </is>
      </c>
      <c r="Q151" t="inlineStr">
        <is>
          <t>Harvard studies in urban history</t>
        </is>
      </c>
      <c r="R151" t="inlineStr">
        <is>
          <t xml:space="preserve">HT </t>
        </is>
      </c>
      <c r="S151" t="n">
        <v>5</v>
      </c>
      <c r="T151" t="n">
        <v>5</v>
      </c>
      <c r="U151" t="inlineStr">
        <is>
          <t>2007-09-13</t>
        </is>
      </c>
      <c r="V151" t="inlineStr">
        <is>
          <t>2007-09-13</t>
        </is>
      </c>
      <c r="W151" t="inlineStr">
        <is>
          <t>1993-05-06</t>
        </is>
      </c>
      <c r="X151" t="inlineStr">
        <is>
          <t>1993-05-06</t>
        </is>
      </c>
      <c r="Y151" t="n">
        <v>909</v>
      </c>
      <c r="Z151" t="n">
        <v>699</v>
      </c>
      <c r="AA151" t="n">
        <v>705</v>
      </c>
      <c r="AB151" t="n">
        <v>4</v>
      </c>
      <c r="AC151" t="n">
        <v>4</v>
      </c>
      <c r="AD151" t="n">
        <v>32</v>
      </c>
      <c r="AE151" t="n">
        <v>32</v>
      </c>
      <c r="AF151" t="n">
        <v>12</v>
      </c>
      <c r="AG151" t="n">
        <v>12</v>
      </c>
      <c r="AH151" t="n">
        <v>8</v>
      </c>
      <c r="AI151" t="n">
        <v>8</v>
      </c>
      <c r="AJ151" t="n">
        <v>17</v>
      </c>
      <c r="AK151" t="n">
        <v>17</v>
      </c>
      <c r="AL151" t="n">
        <v>3</v>
      </c>
      <c r="AM151" t="n">
        <v>3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HYPERLINK("http://catalog.hathitrust.org/Record/000612190","HathiTrust Record")</f>
        <v/>
      </c>
      <c r="AS151">
        <f>HYPERLINK("https://creighton-primo.hosted.exlibrisgroup.com/primo-explore/search?tab=default_tab&amp;search_scope=EVERYTHING&amp;vid=01CRU&amp;lang=en_US&amp;offset=0&amp;query=any,contains,991000545269702656","Catalog Record")</f>
        <v/>
      </c>
      <c r="AT151">
        <f>HYPERLINK("http://www.worldcat.org/oclc/11517755","WorldCat Record")</f>
        <v/>
      </c>
      <c r="AU151" t="inlineStr">
        <is>
          <t>3906333:eng</t>
        </is>
      </c>
      <c r="AV151" t="inlineStr">
        <is>
          <t>11517755</t>
        </is>
      </c>
      <c r="AW151" t="inlineStr">
        <is>
          <t>991000545269702656</t>
        </is>
      </c>
      <c r="AX151" t="inlineStr">
        <is>
          <t>991000545269702656</t>
        </is>
      </c>
      <c r="AY151" t="inlineStr">
        <is>
          <t>2268898310002656</t>
        </is>
      </c>
      <c r="AZ151" t="inlineStr">
        <is>
          <t>BOOK</t>
        </is>
      </c>
      <c r="BB151" t="inlineStr">
        <is>
          <t>9780674543607</t>
        </is>
      </c>
      <c r="BC151" t="inlineStr">
        <is>
          <t>32285001673242</t>
        </is>
      </c>
      <c r="BD151" t="inlineStr">
        <is>
          <t>893419562</t>
        </is>
      </c>
    </row>
    <row r="152">
      <c r="A152" t="inlineStr">
        <is>
          <t>No</t>
        </is>
      </c>
      <c r="B152" t="inlineStr">
        <is>
          <t>HT131 .M54 2007</t>
        </is>
      </c>
      <c r="C152" t="inlineStr">
        <is>
          <t>0                      HT 0131000M  54          2007</t>
        </is>
      </c>
      <c r="D152" t="inlineStr">
        <is>
          <t>Migration and cultural inclusion in the European city / edited by William J.V. Neill and Hanns-Uve Schwedler.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L152" t="inlineStr">
        <is>
          <t>Basingstoke [England] ; New York : Palgrave Macmillan, 2007.</t>
        </is>
      </c>
      <c r="M152" t="inlineStr">
        <is>
          <t>2007</t>
        </is>
      </c>
      <c r="O152" t="inlineStr">
        <is>
          <t>eng</t>
        </is>
      </c>
      <c r="P152" t="inlineStr">
        <is>
          <t>enk</t>
        </is>
      </c>
      <c r="R152" t="inlineStr">
        <is>
          <t xml:space="preserve">HT </t>
        </is>
      </c>
      <c r="S152" t="n">
        <v>1</v>
      </c>
      <c r="T152" t="n">
        <v>1</v>
      </c>
      <c r="U152" t="inlineStr">
        <is>
          <t>2008-10-30</t>
        </is>
      </c>
      <c r="V152" t="inlineStr">
        <is>
          <t>2008-10-30</t>
        </is>
      </c>
      <c r="W152" t="inlineStr">
        <is>
          <t>2008-10-30</t>
        </is>
      </c>
      <c r="X152" t="inlineStr">
        <is>
          <t>2008-10-30</t>
        </is>
      </c>
      <c r="Y152" t="n">
        <v>200</v>
      </c>
      <c r="Z152" t="n">
        <v>136</v>
      </c>
      <c r="AA152" t="n">
        <v>136</v>
      </c>
      <c r="AB152" t="n">
        <v>2</v>
      </c>
      <c r="AC152" t="n">
        <v>2</v>
      </c>
      <c r="AD152" t="n">
        <v>8</v>
      </c>
      <c r="AE152" t="n">
        <v>8</v>
      </c>
      <c r="AF152" t="n">
        <v>4</v>
      </c>
      <c r="AG152" t="n">
        <v>4</v>
      </c>
      <c r="AH152" t="n">
        <v>3</v>
      </c>
      <c r="AI152" t="n">
        <v>3</v>
      </c>
      <c r="AJ152" t="n">
        <v>4</v>
      </c>
      <c r="AK152" t="n">
        <v>4</v>
      </c>
      <c r="AL152" t="n">
        <v>1</v>
      </c>
      <c r="AM152" t="n">
        <v>1</v>
      </c>
      <c r="AN152" t="n">
        <v>0</v>
      </c>
      <c r="AO152" t="n">
        <v>0</v>
      </c>
      <c r="AP152" t="inlineStr">
        <is>
          <t>No</t>
        </is>
      </c>
      <c r="AQ152" t="inlineStr">
        <is>
          <t>No</t>
        </is>
      </c>
      <c r="AS152">
        <f>HYPERLINK("https://creighton-primo.hosted.exlibrisgroup.com/primo-explore/search?tab=default_tab&amp;search_scope=EVERYTHING&amp;vid=01CRU&amp;lang=en_US&amp;offset=0&amp;query=any,contains,991005263159702656","Catalog Record")</f>
        <v/>
      </c>
      <c r="AT152">
        <f>HYPERLINK("http://www.worldcat.org/oclc/70292142","WorldCat Record")</f>
        <v/>
      </c>
      <c r="AU152" t="inlineStr">
        <is>
          <t>351958139:eng</t>
        </is>
      </c>
      <c r="AV152" t="inlineStr">
        <is>
          <t>70292142</t>
        </is>
      </c>
      <c r="AW152" t="inlineStr">
        <is>
          <t>991005263159702656</t>
        </is>
      </c>
      <c r="AX152" t="inlineStr">
        <is>
          <t>991005263159702656</t>
        </is>
      </c>
      <c r="AY152" t="inlineStr">
        <is>
          <t>2262535110002656</t>
        </is>
      </c>
      <c r="AZ152" t="inlineStr">
        <is>
          <t>BOOK</t>
        </is>
      </c>
      <c r="BB152" t="inlineStr">
        <is>
          <t>9780230007642</t>
        </is>
      </c>
      <c r="BC152" t="inlineStr">
        <is>
          <t>32285005465165</t>
        </is>
      </c>
      <c r="BD152" t="inlineStr">
        <is>
          <t>893242456</t>
        </is>
      </c>
    </row>
    <row r="153">
      <c r="A153" t="inlineStr">
        <is>
          <t>No</t>
        </is>
      </c>
      <c r="B153" t="inlineStr">
        <is>
          <t>HT1317 .A37 2002</t>
        </is>
      </c>
      <c r="C153" t="inlineStr">
        <is>
          <t>0                      HT 1317000A  37          2002</t>
        </is>
      </c>
      <c r="D153" t="inlineStr">
        <is>
          <t>The African diaspora in the Mediterranean lands of Islam / [introduced, compiled, and edited by] John Hunwick and Eve Trout Powell.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L153" t="inlineStr">
        <is>
          <t>Princeton : Markus Wiener Publishers, c2002.</t>
        </is>
      </c>
      <c r="M153" t="inlineStr">
        <is>
          <t>2002</t>
        </is>
      </c>
      <c r="O153" t="inlineStr">
        <is>
          <t>eng</t>
        </is>
      </c>
      <c r="P153" t="inlineStr">
        <is>
          <t>nju</t>
        </is>
      </c>
      <c r="Q153" t="inlineStr">
        <is>
          <t>Princeton series on the Middle East</t>
        </is>
      </c>
      <c r="R153" t="inlineStr">
        <is>
          <t xml:space="preserve">HT </t>
        </is>
      </c>
      <c r="S153" t="n">
        <v>1</v>
      </c>
      <c r="T153" t="n">
        <v>1</v>
      </c>
      <c r="U153" t="inlineStr">
        <is>
          <t>2006-03-15</t>
        </is>
      </c>
      <c r="V153" t="inlineStr">
        <is>
          <t>2006-03-15</t>
        </is>
      </c>
      <c r="W153" t="inlineStr">
        <is>
          <t>2006-03-15</t>
        </is>
      </c>
      <c r="X153" t="inlineStr">
        <is>
          <t>2006-03-15</t>
        </is>
      </c>
      <c r="Y153" t="n">
        <v>348</v>
      </c>
      <c r="Z153" t="n">
        <v>288</v>
      </c>
      <c r="AA153" t="n">
        <v>292</v>
      </c>
      <c r="AB153" t="n">
        <v>2</v>
      </c>
      <c r="AC153" t="n">
        <v>2</v>
      </c>
      <c r="AD153" t="n">
        <v>13</v>
      </c>
      <c r="AE153" t="n">
        <v>13</v>
      </c>
      <c r="AF153" t="n">
        <v>5</v>
      </c>
      <c r="AG153" t="n">
        <v>5</v>
      </c>
      <c r="AH153" t="n">
        <v>4</v>
      </c>
      <c r="AI153" t="n">
        <v>4</v>
      </c>
      <c r="AJ153" t="n">
        <v>7</v>
      </c>
      <c r="AK153" t="n">
        <v>7</v>
      </c>
      <c r="AL153" t="n">
        <v>1</v>
      </c>
      <c r="AM153" t="n">
        <v>1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HYPERLINK("http://catalog.hathitrust.org/Record/004338886","HathiTrust Record")</f>
        <v/>
      </c>
      <c r="AS153">
        <f>HYPERLINK("https://creighton-primo.hosted.exlibrisgroup.com/primo-explore/search?tab=default_tab&amp;search_scope=EVERYTHING&amp;vid=01CRU&amp;lang=en_US&amp;offset=0&amp;query=any,contains,991004714889702656","Catalog Record")</f>
        <v/>
      </c>
      <c r="AT153">
        <f>HYPERLINK("http://www.worldcat.org/oclc/48494711","WorldCat Record")</f>
        <v/>
      </c>
      <c r="AU153" t="inlineStr">
        <is>
          <t>20147962:eng</t>
        </is>
      </c>
      <c r="AV153" t="inlineStr">
        <is>
          <t>48494711</t>
        </is>
      </c>
      <c r="AW153" t="inlineStr">
        <is>
          <t>991004714889702656</t>
        </is>
      </c>
      <c r="AX153" t="inlineStr">
        <is>
          <t>991004714889702656</t>
        </is>
      </c>
      <c r="AY153" t="inlineStr">
        <is>
          <t>2254769450002656</t>
        </is>
      </c>
      <c r="AZ153" t="inlineStr">
        <is>
          <t>BOOK</t>
        </is>
      </c>
      <c r="BB153" t="inlineStr">
        <is>
          <t>9781558762749</t>
        </is>
      </c>
      <c r="BC153" t="inlineStr">
        <is>
          <t>32285005165872</t>
        </is>
      </c>
      <c r="BD153" t="inlineStr">
        <is>
          <t>893500878</t>
        </is>
      </c>
    </row>
    <row r="154">
      <c r="A154" t="inlineStr">
        <is>
          <t>No</t>
        </is>
      </c>
      <c r="B154" t="inlineStr">
        <is>
          <t>HT1322 .A67</t>
        </is>
      </c>
      <c r="C154" t="inlineStr">
        <is>
          <t>0                      HT 1322000A  67</t>
        </is>
      </c>
      <c r="D154" t="inlineStr">
        <is>
          <t>The Atlantic slave trade and British abolition, 1760-1810 / Roger Anstey.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K154" t="inlineStr">
        <is>
          <t>Anstey, Roger.</t>
        </is>
      </c>
      <c r="L154" t="inlineStr">
        <is>
          <t>Atlantic Highlands, N.J. : Humanities Press, 1975.</t>
        </is>
      </c>
      <c r="M154" t="inlineStr">
        <is>
          <t>1975</t>
        </is>
      </c>
      <c r="O154" t="inlineStr">
        <is>
          <t>eng</t>
        </is>
      </c>
      <c r="P154" t="inlineStr">
        <is>
          <t>nju</t>
        </is>
      </c>
      <c r="R154" t="inlineStr">
        <is>
          <t xml:space="preserve">HT </t>
        </is>
      </c>
      <c r="S154" t="n">
        <v>3</v>
      </c>
      <c r="T154" t="n">
        <v>3</v>
      </c>
      <c r="U154" t="inlineStr">
        <is>
          <t>2000-10-06</t>
        </is>
      </c>
      <c r="V154" t="inlineStr">
        <is>
          <t>2000-10-06</t>
        </is>
      </c>
      <c r="W154" t="inlineStr">
        <is>
          <t>1990-05-18</t>
        </is>
      </c>
      <c r="X154" t="inlineStr">
        <is>
          <t>1990-05-18</t>
        </is>
      </c>
      <c r="Y154" t="n">
        <v>610</v>
      </c>
      <c r="Z154" t="n">
        <v>550</v>
      </c>
      <c r="AA154" t="n">
        <v>645</v>
      </c>
      <c r="AB154" t="n">
        <v>5</v>
      </c>
      <c r="AC154" t="n">
        <v>6</v>
      </c>
      <c r="AD154" t="n">
        <v>27</v>
      </c>
      <c r="AE154" t="n">
        <v>36</v>
      </c>
      <c r="AF154" t="n">
        <v>15</v>
      </c>
      <c r="AG154" t="n">
        <v>16</v>
      </c>
      <c r="AH154" t="n">
        <v>6</v>
      </c>
      <c r="AI154" t="n">
        <v>7</v>
      </c>
      <c r="AJ154" t="n">
        <v>11</v>
      </c>
      <c r="AK154" t="n">
        <v>18</v>
      </c>
      <c r="AL154" t="n">
        <v>4</v>
      </c>
      <c r="AM154" t="n">
        <v>5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HYPERLINK("https://creighton-primo.hosted.exlibrisgroup.com/primo-explore/search?tab=default_tab&amp;search_scope=EVERYTHING&amp;vid=01CRU&amp;lang=en_US&amp;offset=0&amp;query=any,contains,991003539709702656","Catalog Record")</f>
        <v/>
      </c>
      <c r="AT154">
        <f>HYPERLINK("http://www.worldcat.org/oclc/1104190","WorldCat Record")</f>
        <v/>
      </c>
      <c r="AU154" t="inlineStr">
        <is>
          <t>1974035:eng</t>
        </is>
      </c>
      <c r="AV154" t="inlineStr">
        <is>
          <t>1104190</t>
        </is>
      </c>
      <c r="AW154" t="inlineStr">
        <is>
          <t>991003539709702656</t>
        </is>
      </c>
      <c r="AX154" t="inlineStr">
        <is>
          <t>991003539709702656</t>
        </is>
      </c>
      <c r="AY154" t="inlineStr">
        <is>
          <t>2256396710002656</t>
        </is>
      </c>
      <c r="AZ154" t="inlineStr">
        <is>
          <t>BOOK</t>
        </is>
      </c>
      <c r="BB154" t="inlineStr">
        <is>
          <t>9780391003712</t>
        </is>
      </c>
      <c r="BC154" t="inlineStr">
        <is>
          <t>32285000157254</t>
        </is>
      </c>
      <c r="BD154" t="inlineStr">
        <is>
          <t>893518587</t>
        </is>
      </c>
    </row>
    <row r="155">
      <c r="A155" t="inlineStr">
        <is>
          <t>No</t>
        </is>
      </c>
      <c r="B155" t="inlineStr">
        <is>
          <t>HT1322 .A85 1994</t>
        </is>
      </c>
      <c r="C155" t="inlineStr">
        <is>
          <t>0                      HT 1322000A  85          1994</t>
        </is>
      </c>
      <c r="D155" t="inlineStr">
        <is>
          <t>The Atlantic slave trade / edited by David Northrup.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Yes</t>
        </is>
      </c>
      <c r="J155" t="inlineStr">
        <is>
          <t>0</t>
        </is>
      </c>
      <c r="L155" t="inlineStr">
        <is>
          <t>Lexington, Mass. : D.C. Heath, c1994.</t>
        </is>
      </c>
      <c r="M155" t="inlineStr">
        <is>
          <t>1994</t>
        </is>
      </c>
      <c r="O155" t="inlineStr">
        <is>
          <t>eng</t>
        </is>
      </c>
      <c r="P155" t="inlineStr">
        <is>
          <t>mau</t>
        </is>
      </c>
      <c r="Q155" t="inlineStr">
        <is>
          <t>Problems in world history</t>
        </is>
      </c>
      <c r="R155" t="inlineStr">
        <is>
          <t xml:space="preserve">HT </t>
        </is>
      </c>
      <c r="S155" t="n">
        <v>119</v>
      </c>
      <c r="T155" t="n">
        <v>119</v>
      </c>
      <c r="U155" t="inlineStr">
        <is>
          <t>2010-11-23</t>
        </is>
      </c>
      <c r="V155" t="inlineStr">
        <is>
          <t>2010-11-23</t>
        </is>
      </c>
      <c r="W155" t="inlineStr">
        <is>
          <t>1997-11-03</t>
        </is>
      </c>
      <c r="X155" t="inlineStr">
        <is>
          <t>1997-11-03</t>
        </is>
      </c>
      <c r="Y155" t="n">
        <v>265</v>
      </c>
      <c r="Z155" t="n">
        <v>206</v>
      </c>
      <c r="AA155" t="n">
        <v>461</v>
      </c>
      <c r="AB155" t="n">
        <v>2</v>
      </c>
      <c r="AC155" t="n">
        <v>5</v>
      </c>
      <c r="AD155" t="n">
        <v>10</v>
      </c>
      <c r="AE155" t="n">
        <v>21</v>
      </c>
      <c r="AF155" t="n">
        <v>3</v>
      </c>
      <c r="AG155" t="n">
        <v>7</v>
      </c>
      <c r="AH155" t="n">
        <v>3</v>
      </c>
      <c r="AI155" t="n">
        <v>7</v>
      </c>
      <c r="AJ155" t="n">
        <v>7</v>
      </c>
      <c r="AK155" t="n">
        <v>13</v>
      </c>
      <c r="AL155" t="n">
        <v>1</v>
      </c>
      <c r="AM155" t="n">
        <v>2</v>
      </c>
      <c r="AN155" t="n">
        <v>0</v>
      </c>
      <c r="AO155" t="n">
        <v>0</v>
      </c>
      <c r="AP155" t="inlineStr">
        <is>
          <t>No</t>
        </is>
      </c>
      <c r="AQ155" t="inlineStr">
        <is>
          <t>Yes</t>
        </is>
      </c>
      <c r="AR155">
        <f>HYPERLINK("http://catalog.hathitrust.org/Record/003253696","HathiTrust Record")</f>
        <v/>
      </c>
      <c r="AS155">
        <f>HYPERLINK("https://creighton-primo.hosted.exlibrisgroup.com/primo-explore/search?tab=default_tab&amp;search_scope=EVERYTHING&amp;vid=01CRU&amp;lang=en_US&amp;offset=0&amp;query=any,contains,991002259589702656","Catalog Record")</f>
        <v/>
      </c>
      <c r="AT155">
        <f>HYPERLINK("http://www.worldcat.org/oclc/29293476","WorldCat Record")</f>
        <v/>
      </c>
      <c r="AU155" t="inlineStr">
        <is>
          <t>66582213:eng</t>
        </is>
      </c>
      <c r="AV155" t="inlineStr">
        <is>
          <t>29293476</t>
        </is>
      </c>
      <c r="AW155" t="inlineStr">
        <is>
          <t>991002259589702656</t>
        </is>
      </c>
      <c r="AX155" t="inlineStr">
        <is>
          <t>991002259589702656</t>
        </is>
      </c>
      <c r="AY155" t="inlineStr">
        <is>
          <t>2269117490002656</t>
        </is>
      </c>
      <c r="AZ155" t="inlineStr">
        <is>
          <t>BOOK</t>
        </is>
      </c>
      <c r="BB155" t="inlineStr">
        <is>
          <t>9780669331455</t>
        </is>
      </c>
      <c r="BC155" t="inlineStr">
        <is>
          <t>32285002978749</t>
        </is>
      </c>
      <c r="BD155" t="inlineStr">
        <is>
          <t>893873294</t>
        </is>
      </c>
    </row>
    <row r="156">
      <c r="A156" t="inlineStr">
        <is>
          <t>No</t>
        </is>
      </c>
      <c r="B156" t="inlineStr">
        <is>
          <t>HT1322 .B78 1997</t>
        </is>
      </c>
      <c r="C156" t="inlineStr">
        <is>
          <t>0                      HT 1322000B  78          1997</t>
        </is>
      </c>
      <c r="D156" t="inlineStr">
        <is>
          <t>Spirits of the passage : the Transatlantic slave trade in the seventeenth century / text by Madeleine Burnside ; edited by Rosemarie Robotham ; foreword by Cornel West.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Burnside, Madeleine.</t>
        </is>
      </c>
      <c r="L156" t="inlineStr">
        <is>
          <t>New York, NY : Simon &amp; Schuster Editions, c1997.</t>
        </is>
      </c>
      <c r="M156" t="inlineStr">
        <is>
          <t>1997</t>
        </is>
      </c>
      <c r="O156" t="inlineStr">
        <is>
          <t>eng</t>
        </is>
      </c>
      <c r="P156" t="inlineStr">
        <is>
          <t>nyu</t>
        </is>
      </c>
      <c r="R156" t="inlineStr">
        <is>
          <t xml:space="preserve">HT </t>
        </is>
      </c>
      <c r="S156" t="n">
        <v>1</v>
      </c>
      <c r="T156" t="n">
        <v>1</v>
      </c>
      <c r="U156" t="inlineStr">
        <is>
          <t>2007-03-02</t>
        </is>
      </c>
      <c r="V156" t="inlineStr">
        <is>
          <t>2007-03-02</t>
        </is>
      </c>
      <c r="W156" t="inlineStr">
        <is>
          <t>1997-04-03</t>
        </is>
      </c>
      <c r="X156" t="inlineStr">
        <is>
          <t>1997-04-03</t>
        </is>
      </c>
      <c r="Y156" t="n">
        <v>990</v>
      </c>
      <c r="Z156" t="n">
        <v>927</v>
      </c>
      <c r="AA156" t="n">
        <v>933</v>
      </c>
      <c r="AB156" t="n">
        <v>6</v>
      </c>
      <c r="AC156" t="n">
        <v>6</v>
      </c>
      <c r="AD156" t="n">
        <v>22</v>
      </c>
      <c r="AE156" t="n">
        <v>22</v>
      </c>
      <c r="AF156" t="n">
        <v>7</v>
      </c>
      <c r="AG156" t="n">
        <v>7</v>
      </c>
      <c r="AH156" t="n">
        <v>5</v>
      </c>
      <c r="AI156" t="n">
        <v>5</v>
      </c>
      <c r="AJ156" t="n">
        <v>11</v>
      </c>
      <c r="AK156" t="n">
        <v>11</v>
      </c>
      <c r="AL156" t="n">
        <v>4</v>
      </c>
      <c r="AM156" t="n">
        <v>4</v>
      </c>
      <c r="AN156" t="n">
        <v>0</v>
      </c>
      <c r="AO156" t="n">
        <v>0</v>
      </c>
      <c r="AP156" t="inlineStr">
        <is>
          <t>No</t>
        </is>
      </c>
      <c r="AQ156" t="inlineStr">
        <is>
          <t>No</t>
        </is>
      </c>
      <c r="AS156">
        <f>HYPERLINK("https://creighton-primo.hosted.exlibrisgroup.com/primo-explore/search?tab=default_tab&amp;search_scope=EVERYTHING&amp;vid=01CRU&amp;lang=en_US&amp;offset=0&amp;query=any,contains,991002717679702656","Catalog Record")</f>
        <v/>
      </c>
      <c r="AT156">
        <f>HYPERLINK("http://www.worldcat.org/oclc/35638730","WorldCat Record")</f>
        <v/>
      </c>
      <c r="AU156" t="inlineStr">
        <is>
          <t>41158611:eng</t>
        </is>
      </c>
      <c r="AV156" t="inlineStr">
        <is>
          <t>35638730</t>
        </is>
      </c>
      <c r="AW156" t="inlineStr">
        <is>
          <t>991002717679702656</t>
        </is>
      </c>
      <c r="AX156" t="inlineStr">
        <is>
          <t>991002717679702656</t>
        </is>
      </c>
      <c r="AY156" t="inlineStr">
        <is>
          <t>2270778290002656</t>
        </is>
      </c>
      <c r="AZ156" t="inlineStr">
        <is>
          <t>BOOK</t>
        </is>
      </c>
      <c r="BB156" t="inlineStr">
        <is>
          <t>9780684818191</t>
        </is>
      </c>
      <c r="BC156" t="inlineStr">
        <is>
          <t>32285002478286</t>
        </is>
      </c>
      <c r="BD156" t="inlineStr">
        <is>
          <t>893427925</t>
        </is>
      </c>
    </row>
    <row r="157">
      <c r="A157" t="inlineStr">
        <is>
          <t>No</t>
        </is>
      </c>
      <c r="B157" t="inlineStr">
        <is>
          <t>HT1322 .C58 2002</t>
        </is>
      </c>
      <c r="C157" t="inlineStr">
        <is>
          <t>0                      HT 1322000C  58          2002</t>
        </is>
      </c>
      <c r="D157" t="inlineStr">
        <is>
          <t>Adventures of an African slaver : an account of the life of Captain Theodore Canot, trader in gold, ivory, and slaves on the coast of Guinea : written out and edited from the captain's journals, memoranda and conversations by Brandtz Mayer / Theodore Canot ; with an introduction by Malcolm Cowley.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Canot, Theodore, 1804-1860.</t>
        </is>
      </c>
      <c r="L157" t="inlineStr">
        <is>
          <t>Mineola, N.Y. : Dover, 2002.</t>
        </is>
      </c>
      <c r="M157" t="inlineStr">
        <is>
          <t>2002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HT </t>
        </is>
      </c>
      <c r="S157" t="n">
        <v>5</v>
      </c>
      <c r="T157" t="n">
        <v>5</v>
      </c>
      <c r="U157" t="inlineStr">
        <is>
          <t>2009-01-17</t>
        </is>
      </c>
      <c r="V157" t="inlineStr">
        <is>
          <t>2009-01-17</t>
        </is>
      </c>
      <c r="W157" t="inlineStr">
        <is>
          <t>2003-11-10</t>
        </is>
      </c>
      <c r="X157" t="inlineStr">
        <is>
          <t>2003-11-10</t>
        </is>
      </c>
      <c r="Y157" t="n">
        <v>141</v>
      </c>
      <c r="Z157" t="n">
        <v>132</v>
      </c>
      <c r="AA157" t="n">
        <v>132</v>
      </c>
      <c r="AB157" t="n">
        <v>2</v>
      </c>
      <c r="AC157" t="n">
        <v>2</v>
      </c>
      <c r="AD157" t="n">
        <v>4</v>
      </c>
      <c r="AE157" t="n">
        <v>4</v>
      </c>
      <c r="AF157" t="n">
        <v>2</v>
      </c>
      <c r="AG157" t="n">
        <v>2</v>
      </c>
      <c r="AH157" t="n">
        <v>1</v>
      </c>
      <c r="AI157" t="n">
        <v>1</v>
      </c>
      <c r="AJ157" t="n">
        <v>0</v>
      </c>
      <c r="AK157" t="n">
        <v>0</v>
      </c>
      <c r="AL157" t="n">
        <v>1</v>
      </c>
      <c r="AM157" t="n">
        <v>1</v>
      </c>
      <c r="AN157" t="n">
        <v>0</v>
      </c>
      <c r="AO157" t="n">
        <v>0</v>
      </c>
      <c r="AP157" t="inlineStr">
        <is>
          <t>No</t>
        </is>
      </c>
      <c r="AQ157" t="inlineStr">
        <is>
          <t>No</t>
        </is>
      </c>
      <c r="AS157">
        <f>HYPERLINK("https://creighton-primo.hosted.exlibrisgroup.com/primo-explore/search?tab=default_tab&amp;search_scope=EVERYTHING&amp;vid=01CRU&amp;lang=en_US&amp;offset=0&amp;query=any,contains,991004163679702656","Catalog Record")</f>
        <v/>
      </c>
      <c r="AT157">
        <f>HYPERLINK("http://www.worldcat.org/oclc/49495176","WorldCat Record")</f>
        <v/>
      </c>
      <c r="AU157" t="inlineStr">
        <is>
          <t>10252368468:eng</t>
        </is>
      </c>
      <c r="AV157" t="inlineStr">
        <is>
          <t>49495176</t>
        </is>
      </c>
      <c r="AW157" t="inlineStr">
        <is>
          <t>991004163679702656</t>
        </is>
      </c>
      <c r="AX157" t="inlineStr">
        <is>
          <t>991004163679702656</t>
        </is>
      </c>
      <c r="AY157" t="inlineStr">
        <is>
          <t>2266490270002656</t>
        </is>
      </c>
      <c r="AZ157" t="inlineStr">
        <is>
          <t>BOOK</t>
        </is>
      </c>
      <c r="BB157" t="inlineStr">
        <is>
          <t>9780486425122</t>
        </is>
      </c>
      <c r="BC157" t="inlineStr">
        <is>
          <t>32285004795943</t>
        </is>
      </c>
      <c r="BD157" t="inlineStr">
        <is>
          <t>893500203</t>
        </is>
      </c>
    </row>
    <row r="158">
      <c r="A158" t="inlineStr">
        <is>
          <t>No</t>
        </is>
      </c>
      <c r="B158" t="inlineStr">
        <is>
          <t>HT1322 .D7 1972</t>
        </is>
      </c>
      <c r="C158" t="inlineStr">
        <is>
          <t>0                      HT 1322000D  7           1972</t>
        </is>
      </c>
      <c r="D158" t="inlineStr">
        <is>
          <t>Revelations of a slave smuggler : being the autobiography of Capt. Rich'd [i.e. Philip] Drake, an African trader for fifty years--from 1807 to 1857; during which period he was concerned in the transportation of half a million Blacks from African coasts to America / with a pref. by his executor, Henry Byrd West. New foreword by Blyden Jackson.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Drake, Richard, approximately 1790-</t>
        </is>
      </c>
      <c r="L158" t="inlineStr">
        <is>
          <t>Northbrook, Ill. : Metro Books, 1972.</t>
        </is>
      </c>
      <c r="M158" t="inlineStr">
        <is>
          <t>1972</t>
        </is>
      </c>
      <c r="O158" t="inlineStr">
        <is>
          <t>eng</t>
        </is>
      </c>
      <c r="P158" t="inlineStr">
        <is>
          <t>ilu</t>
        </is>
      </c>
      <c r="R158" t="inlineStr">
        <is>
          <t xml:space="preserve">HT </t>
        </is>
      </c>
      <c r="S158" t="n">
        <v>2</v>
      </c>
      <c r="T158" t="n">
        <v>2</v>
      </c>
      <c r="U158" t="inlineStr">
        <is>
          <t>1993-09-19</t>
        </is>
      </c>
      <c r="V158" t="inlineStr">
        <is>
          <t>1993-09-19</t>
        </is>
      </c>
      <c r="W158" t="inlineStr">
        <is>
          <t>1990-04-04</t>
        </is>
      </c>
      <c r="X158" t="inlineStr">
        <is>
          <t>1990-04-04</t>
        </is>
      </c>
      <c r="Y158" t="n">
        <v>93</v>
      </c>
      <c r="Z158" t="n">
        <v>89</v>
      </c>
      <c r="AA158" t="n">
        <v>246</v>
      </c>
      <c r="AB158" t="n">
        <v>1</v>
      </c>
      <c r="AC158" t="n">
        <v>3</v>
      </c>
      <c r="AD158" t="n">
        <v>1</v>
      </c>
      <c r="AE158" t="n">
        <v>7</v>
      </c>
      <c r="AF158" t="n">
        <v>0</v>
      </c>
      <c r="AG158" t="n">
        <v>2</v>
      </c>
      <c r="AH158" t="n">
        <v>0</v>
      </c>
      <c r="AI158" t="n">
        <v>2</v>
      </c>
      <c r="AJ158" t="n">
        <v>1</v>
      </c>
      <c r="AK158" t="n">
        <v>2</v>
      </c>
      <c r="AL158" t="n">
        <v>0</v>
      </c>
      <c r="AM158" t="n">
        <v>2</v>
      </c>
      <c r="AN158" t="n">
        <v>0</v>
      </c>
      <c r="AO158" t="n">
        <v>0</v>
      </c>
      <c r="AP158" t="inlineStr">
        <is>
          <t>No</t>
        </is>
      </c>
      <c r="AQ158" t="inlineStr">
        <is>
          <t>No</t>
        </is>
      </c>
      <c r="AS158">
        <f>HYPERLINK("https://creighton-primo.hosted.exlibrisgroup.com/primo-explore/search?tab=default_tab&amp;search_scope=EVERYTHING&amp;vid=01CRU&amp;lang=en_US&amp;offset=0&amp;query=any,contains,991002433759702656","Catalog Record")</f>
        <v/>
      </c>
      <c r="AT158">
        <f>HYPERLINK("http://www.worldcat.org/oclc/348226","WorldCat Record")</f>
        <v/>
      </c>
      <c r="AU158" t="inlineStr">
        <is>
          <t>2452718809:eng</t>
        </is>
      </c>
      <c r="AV158" t="inlineStr">
        <is>
          <t>348226</t>
        </is>
      </c>
      <c r="AW158" t="inlineStr">
        <is>
          <t>991002433759702656</t>
        </is>
      </c>
      <c r="AX158" t="inlineStr">
        <is>
          <t>991002433759702656</t>
        </is>
      </c>
      <c r="AY158" t="inlineStr">
        <is>
          <t>2271124800002656</t>
        </is>
      </c>
      <c r="AZ158" t="inlineStr">
        <is>
          <t>BOOK</t>
        </is>
      </c>
      <c r="BB158" t="inlineStr">
        <is>
          <t>9780841100404</t>
        </is>
      </c>
      <c r="BC158" t="inlineStr">
        <is>
          <t>32285000101708</t>
        </is>
      </c>
      <c r="BD158" t="inlineStr">
        <is>
          <t>893685357</t>
        </is>
      </c>
    </row>
    <row r="159">
      <c r="A159" t="inlineStr">
        <is>
          <t>No</t>
        </is>
      </c>
      <c r="B159" t="inlineStr">
        <is>
          <t>HT1322 .H4 1972</t>
        </is>
      </c>
      <c r="C159" t="inlineStr">
        <is>
          <t>0                      HT 1322000H  4           1972</t>
        </is>
      </c>
      <c r="D159" t="inlineStr">
        <is>
          <t>A history of a voyage to the coast of Africa, and travels into the interior of that country; containing particular descriptions of the climate and inhabitants, and interesting particulars concerning the slave trade. New foreword by Blyden Jackson.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Hawkins, Joseph, 1772-</t>
        </is>
      </c>
      <c r="L159" t="inlineStr">
        <is>
          <t>Northbrook, Ill., Metro Books, 1972.</t>
        </is>
      </c>
      <c r="M159" t="inlineStr">
        <is>
          <t>1972</t>
        </is>
      </c>
      <c r="O159" t="inlineStr">
        <is>
          <t>eng</t>
        </is>
      </c>
      <c r="P159" t="inlineStr">
        <is>
          <t>ilu</t>
        </is>
      </c>
      <c r="R159" t="inlineStr">
        <is>
          <t xml:space="preserve">HT </t>
        </is>
      </c>
      <c r="S159" t="n">
        <v>1</v>
      </c>
      <c r="T159" t="n">
        <v>1</v>
      </c>
      <c r="U159" t="inlineStr">
        <is>
          <t>1996-11-26</t>
        </is>
      </c>
      <c r="V159" t="inlineStr">
        <is>
          <t>1996-11-26</t>
        </is>
      </c>
      <c r="W159" t="inlineStr">
        <is>
          <t>1996-11-26</t>
        </is>
      </c>
      <c r="X159" t="inlineStr">
        <is>
          <t>1996-11-26</t>
        </is>
      </c>
      <c r="Y159" t="n">
        <v>52</v>
      </c>
      <c r="Z159" t="n">
        <v>52</v>
      </c>
      <c r="AA159" t="n">
        <v>368</v>
      </c>
      <c r="AB159" t="n">
        <v>1</v>
      </c>
      <c r="AC159" t="n">
        <v>4</v>
      </c>
      <c r="AD159" t="n">
        <v>2</v>
      </c>
      <c r="AE159" t="n">
        <v>14</v>
      </c>
      <c r="AF159" t="n">
        <v>0</v>
      </c>
      <c r="AG159" t="n">
        <v>4</v>
      </c>
      <c r="AH159" t="n">
        <v>1</v>
      </c>
      <c r="AI159" t="n">
        <v>3</v>
      </c>
      <c r="AJ159" t="n">
        <v>1</v>
      </c>
      <c r="AK159" t="n">
        <v>5</v>
      </c>
      <c r="AL159" t="n">
        <v>0</v>
      </c>
      <c r="AM159" t="n">
        <v>3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HYPERLINK("http://catalog.hathitrust.org/Record/012268314","HathiTrust Record")</f>
        <v/>
      </c>
      <c r="AS159">
        <f>HYPERLINK("https://creighton-primo.hosted.exlibrisgroup.com/primo-explore/search?tab=default_tab&amp;search_scope=EVERYTHING&amp;vid=01CRU&amp;lang=en_US&amp;offset=0&amp;query=any,contains,991002414109702656","Catalog Record")</f>
        <v/>
      </c>
      <c r="AT159">
        <f>HYPERLINK("http://www.worldcat.org/oclc/341057","WorldCat Record")</f>
        <v/>
      </c>
      <c r="AU159" t="inlineStr">
        <is>
          <t>580005:eng</t>
        </is>
      </c>
      <c r="AV159" t="inlineStr">
        <is>
          <t>341057</t>
        </is>
      </c>
      <c r="AW159" t="inlineStr">
        <is>
          <t>991002414109702656</t>
        </is>
      </c>
      <c r="AX159" t="inlineStr">
        <is>
          <t>991002414109702656</t>
        </is>
      </c>
      <c r="AY159" t="inlineStr">
        <is>
          <t>2265777590002656</t>
        </is>
      </c>
      <c r="AZ159" t="inlineStr">
        <is>
          <t>BOOK</t>
        </is>
      </c>
      <c r="BB159" t="inlineStr">
        <is>
          <t>9780841100435</t>
        </is>
      </c>
      <c r="BC159" t="inlineStr">
        <is>
          <t>32285002347002</t>
        </is>
      </c>
      <c r="BD159" t="inlineStr">
        <is>
          <t>893262272</t>
        </is>
      </c>
    </row>
    <row r="160">
      <c r="A160" t="inlineStr">
        <is>
          <t>No</t>
        </is>
      </c>
      <c r="B160" t="inlineStr">
        <is>
          <t>HT133 .B26 1989</t>
        </is>
      </c>
      <c r="C160" t="inlineStr">
        <is>
          <t>0                      HT 0133000B  26          1989</t>
        </is>
      </c>
      <c r="D160" t="inlineStr">
        <is>
          <t>Privatism and urban policy in Britain and the United States / Timothy Barnekov, Robin Boyle, and Daniel Rich.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Barnekov, Timothy K. (Timothy Kiel)</t>
        </is>
      </c>
      <c r="L160" t="inlineStr">
        <is>
          <t>Oxford (England] ; New York : Oxford University Press, 1989.</t>
        </is>
      </c>
      <c r="M160" t="inlineStr">
        <is>
          <t>1989</t>
        </is>
      </c>
      <c r="O160" t="inlineStr">
        <is>
          <t>eng</t>
        </is>
      </c>
      <c r="P160" t="inlineStr">
        <is>
          <t>enk</t>
        </is>
      </c>
      <c r="R160" t="inlineStr">
        <is>
          <t xml:space="preserve">HT </t>
        </is>
      </c>
      <c r="S160" t="n">
        <v>2</v>
      </c>
      <c r="T160" t="n">
        <v>2</v>
      </c>
      <c r="U160" t="inlineStr">
        <is>
          <t>1997-03-20</t>
        </is>
      </c>
      <c r="V160" t="inlineStr">
        <is>
          <t>1997-03-20</t>
        </is>
      </c>
      <c r="W160" t="inlineStr">
        <is>
          <t>1991-01-17</t>
        </is>
      </c>
      <c r="X160" t="inlineStr">
        <is>
          <t>1991-01-17</t>
        </is>
      </c>
      <c r="Y160" t="n">
        <v>457</v>
      </c>
      <c r="Z160" t="n">
        <v>330</v>
      </c>
      <c r="AA160" t="n">
        <v>337</v>
      </c>
      <c r="AB160" t="n">
        <v>2</v>
      </c>
      <c r="AC160" t="n">
        <v>2</v>
      </c>
      <c r="AD160" t="n">
        <v>15</v>
      </c>
      <c r="AE160" t="n">
        <v>15</v>
      </c>
      <c r="AF160" t="n">
        <v>6</v>
      </c>
      <c r="AG160" t="n">
        <v>6</v>
      </c>
      <c r="AH160" t="n">
        <v>5</v>
      </c>
      <c r="AI160" t="n">
        <v>5</v>
      </c>
      <c r="AJ160" t="n">
        <v>7</v>
      </c>
      <c r="AK160" t="n">
        <v>7</v>
      </c>
      <c r="AL160" t="n">
        <v>1</v>
      </c>
      <c r="AM160" t="n">
        <v>1</v>
      </c>
      <c r="AN160" t="n">
        <v>0</v>
      </c>
      <c r="AO160" t="n">
        <v>0</v>
      </c>
      <c r="AP160" t="inlineStr">
        <is>
          <t>No</t>
        </is>
      </c>
      <c r="AQ160" t="inlineStr">
        <is>
          <t>Yes</t>
        </is>
      </c>
      <c r="AR160">
        <f>HYPERLINK("http://catalog.hathitrust.org/Record/001536570","HathiTrust Record")</f>
        <v/>
      </c>
      <c r="AS160">
        <f>HYPERLINK("https://creighton-primo.hosted.exlibrisgroup.com/primo-explore/search?tab=default_tab&amp;search_scope=EVERYTHING&amp;vid=01CRU&amp;lang=en_US&amp;offset=0&amp;query=any,contains,991001424809702656","Catalog Record")</f>
        <v/>
      </c>
      <c r="AT160">
        <f>HYPERLINK("http://www.worldcat.org/oclc/18989449","WorldCat Record")</f>
        <v/>
      </c>
      <c r="AU160" t="inlineStr">
        <is>
          <t>19211283:eng</t>
        </is>
      </c>
      <c r="AV160" t="inlineStr">
        <is>
          <t>18989449</t>
        </is>
      </c>
      <c r="AW160" t="inlineStr">
        <is>
          <t>991001424809702656</t>
        </is>
      </c>
      <c r="AX160" t="inlineStr">
        <is>
          <t>991001424809702656</t>
        </is>
      </c>
      <c r="AY160" t="inlineStr">
        <is>
          <t>2265568380002656</t>
        </is>
      </c>
      <c r="AZ160" t="inlineStr">
        <is>
          <t>BOOK</t>
        </is>
      </c>
      <c r="BB160" t="inlineStr">
        <is>
          <t>9780198232742</t>
        </is>
      </c>
      <c r="BC160" t="inlineStr">
        <is>
          <t>32285000408673</t>
        </is>
      </c>
      <c r="BD160" t="inlineStr">
        <is>
          <t>893897786</t>
        </is>
      </c>
    </row>
    <row r="161">
      <c r="A161" t="inlineStr">
        <is>
          <t>No</t>
        </is>
      </c>
      <c r="B161" t="inlineStr">
        <is>
          <t>HT133 .B7 1965</t>
        </is>
      </c>
      <c r="C161" t="inlineStr">
        <is>
          <t>0                      HT 0133000B  7           1965</t>
        </is>
      </c>
      <c r="D161" t="inlineStr">
        <is>
          <t>Victorian cities.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Briggs, Asa, 1921-2016.</t>
        </is>
      </c>
      <c r="L161" t="inlineStr">
        <is>
          <t>New York : Harper &amp; Row, [1965]</t>
        </is>
      </c>
      <c r="M161" t="inlineStr">
        <is>
          <t>1965</t>
        </is>
      </c>
      <c r="O161" t="inlineStr">
        <is>
          <t>eng</t>
        </is>
      </c>
      <c r="P161" t="inlineStr">
        <is>
          <t>nyu</t>
        </is>
      </c>
      <c r="R161" t="inlineStr">
        <is>
          <t xml:space="preserve">HT </t>
        </is>
      </c>
      <c r="S161" t="n">
        <v>2</v>
      </c>
      <c r="T161" t="n">
        <v>2</v>
      </c>
      <c r="U161" t="inlineStr">
        <is>
          <t>1993-04-27</t>
        </is>
      </c>
      <c r="V161" t="inlineStr">
        <is>
          <t>1993-04-27</t>
        </is>
      </c>
      <c r="W161" t="inlineStr">
        <is>
          <t>1992-07-28</t>
        </is>
      </c>
      <c r="X161" t="inlineStr">
        <is>
          <t>1992-07-28</t>
        </is>
      </c>
      <c r="Y161" t="n">
        <v>713</v>
      </c>
      <c r="Z161" t="n">
        <v>671</v>
      </c>
      <c r="AA161" t="n">
        <v>896</v>
      </c>
      <c r="AB161" t="n">
        <v>6</v>
      </c>
      <c r="AC161" t="n">
        <v>8</v>
      </c>
      <c r="AD161" t="n">
        <v>33</v>
      </c>
      <c r="AE161" t="n">
        <v>43</v>
      </c>
      <c r="AF161" t="n">
        <v>11</v>
      </c>
      <c r="AG161" t="n">
        <v>16</v>
      </c>
      <c r="AH161" t="n">
        <v>7</v>
      </c>
      <c r="AI161" t="n">
        <v>9</v>
      </c>
      <c r="AJ161" t="n">
        <v>18</v>
      </c>
      <c r="AK161" t="n">
        <v>20</v>
      </c>
      <c r="AL161" t="n">
        <v>5</v>
      </c>
      <c r="AM161" t="n">
        <v>7</v>
      </c>
      <c r="AN161" t="n">
        <v>0</v>
      </c>
      <c r="AO161" t="n">
        <v>0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HYPERLINK("http://catalog.hathitrust.org/Record/001119313","HathiTrust Record")</f>
        <v/>
      </c>
      <c r="AS161">
        <f>HYPERLINK("https://creighton-primo.hosted.exlibrisgroup.com/primo-explore/search?tab=default_tab&amp;search_scope=EVERYTHING&amp;vid=01CRU&amp;lang=en_US&amp;offset=0&amp;query=any,contains,991002048179702656","Catalog Record")</f>
        <v/>
      </c>
      <c r="AT161">
        <f>HYPERLINK("http://www.worldcat.org/oclc/261480","WorldCat Record")</f>
        <v/>
      </c>
      <c r="AU161" t="inlineStr">
        <is>
          <t>1207097:eng</t>
        </is>
      </c>
      <c r="AV161" t="inlineStr">
        <is>
          <t>261480</t>
        </is>
      </c>
      <c r="AW161" t="inlineStr">
        <is>
          <t>991002048179702656</t>
        </is>
      </c>
      <c r="AX161" t="inlineStr">
        <is>
          <t>991002048179702656</t>
        </is>
      </c>
      <c r="AY161" t="inlineStr">
        <is>
          <t>2263042740002656</t>
        </is>
      </c>
      <c r="AZ161" t="inlineStr">
        <is>
          <t>BOOK</t>
        </is>
      </c>
      <c r="BC161" t="inlineStr">
        <is>
          <t>32285001207157</t>
        </is>
      </c>
      <c r="BD161" t="inlineStr">
        <is>
          <t>893226398</t>
        </is>
      </c>
    </row>
    <row r="162">
      <c r="A162" t="inlineStr">
        <is>
          <t>No</t>
        </is>
      </c>
      <c r="B162" t="inlineStr">
        <is>
          <t>HT133 .G57 1990</t>
        </is>
      </c>
      <c r="C162" t="inlineStr">
        <is>
          <t>0                      HT 0133000G  57          1990</t>
        </is>
      </c>
      <c r="D162" t="inlineStr">
        <is>
          <t>The English town : a history of urban life / Mark Girouard.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Girouard, Mark, 1931-</t>
        </is>
      </c>
      <c r="L162" t="inlineStr">
        <is>
          <t>New Haven : Yale University Press, 1990.</t>
        </is>
      </c>
      <c r="M162" t="inlineStr">
        <is>
          <t>1990</t>
        </is>
      </c>
      <c r="O162" t="inlineStr">
        <is>
          <t>eng</t>
        </is>
      </c>
      <c r="P162" t="inlineStr">
        <is>
          <t>ctu</t>
        </is>
      </c>
      <c r="R162" t="inlineStr">
        <is>
          <t xml:space="preserve">HT </t>
        </is>
      </c>
      <c r="S162" t="n">
        <v>8</v>
      </c>
      <c r="T162" t="n">
        <v>8</v>
      </c>
      <c r="U162" t="inlineStr">
        <is>
          <t>2002-02-04</t>
        </is>
      </c>
      <c r="V162" t="inlineStr">
        <is>
          <t>2002-02-04</t>
        </is>
      </c>
      <c r="W162" t="inlineStr">
        <is>
          <t>1991-06-06</t>
        </is>
      </c>
      <c r="X162" t="inlineStr">
        <is>
          <t>1991-06-06</t>
        </is>
      </c>
      <c r="Y162" t="n">
        <v>1038</v>
      </c>
      <c r="Z162" t="n">
        <v>818</v>
      </c>
      <c r="AA162" t="n">
        <v>841</v>
      </c>
      <c r="AB162" t="n">
        <v>6</v>
      </c>
      <c r="AC162" t="n">
        <v>6</v>
      </c>
      <c r="AD162" t="n">
        <v>29</v>
      </c>
      <c r="AE162" t="n">
        <v>29</v>
      </c>
      <c r="AF162" t="n">
        <v>9</v>
      </c>
      <c r="AG162" t="n">
        <v>9</v>
      </c>
      <c r="AH162" t="n">
        <v>9</v>
      </c>
      <c r="AI162" t="n">
        <v>9</v>
      </c>
      <c r="AJ162" t="n">
        <v>14</v>
      </c>
      <c r="AK162" t="n">
        <v>14</v>
      </c>
      <c r="AL162" t="n">
        <v>5</v>
      </c>
      <c r="AM162" t="n">
        <v>5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HYPERLINK("https://creighton-primo.hosted.exlibrisgroup.com/primo-explore/search?tab=default_tab&amp;search_scope=EVERYTHING&amp;vid=01CRU&amp;lang=en_US&amp;offset=0&amp;query=any,contains,991001712679702656","Catalog Record")</f>
        <v/>
      </c>
      <c r="AT162">
        <f>HYPERLINK("http://www.worldcat.org/oclc/21613423","WorldCat Record")</f>
        <v/>
      </c>
      <c r="AU162" t="inlineStr">
        <is>
          <t>118151846:eng</t>
        </is>
      </c>
      <c r="AV162" t="inlineStr">
        <is>
          <t>21613423</t>
        </is>
      </c>
      <c r="AW162" t="inlineStr">
        <is>
          <t>991001712679702656</t>
        </is>
      </c>
      <c r="AX162" t="inlineStr">
        <is>
          <t>991001712679702656</t>
        </is>
      </c>
      <c r="AY162" t="inlineStr">
        <is>
          <t>2263341800002656</t>
        </is>
      </c>
      <c r="AZ162" t="inlineStr">
        <is>
          <t>BOOK</t>
        </is>
      </c>
      <c r="BB162" t="inlineStr">
        <is>
          <t>9780300046359</t>
        </is>
      </c>
      <c r="BC162" t="inlineStr">
        <is>
          <t>32285000593425</t>
        </is>
      </c>
      <c r="BD162" t="inlineStr">
        <is>
          <t>893596679</t>
        </is>
      </c>
    </row>
    <row r="163">
      <c r="A163" t="inlineStr">
        <is>
          <t>No</t>
        </is>
      </c>
      <c r="B163" t="inlineStr">
        <is>
          <t>HT133 .H86 2005</t>
        </is>
      </c>
      <c r="C163" t="inlineStr">
        <is>
          <t>0                      HT 0133000H  86          2005</t>
        </is>
      </c>
      <c r="D163" t="inlineStr">
        <is>
          <t>Building Jerusalem : the rise and fall of the Victorian city / Tristram Hunt.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Hunt, Tristram, 1974-</t>
        </is>
      </c>
      <c r="L163" t="inlineStr">
        <is>
          <t>New York : Metropolitan Books/Henry Holt and Co., c2005.</t>
        </is>
      </c>
      <c r="M163" t="inlineStr">
        <is>
          <t>2005</t>
        </is>
      </c>
      <c r="O163" t="inlineStr">
        <is>
          <t>eng</t>
        </is>
      </c>
      <c r="P163" t="inlineStr">
        <is>
          <t>nyu</t>
        </is>
      </c>
      <c r="R163" t="inlineStr">
        <is>
          <t xml:space="preserve">HT </t>
        </is>
      </c>
      <c r="S163" t="n">
        <v>2</v>
      </c>
      <c r="T163" t="n">
        <v>2</v>
      </c>
      <c r="U163" t="inlineStr">
        <is>
          <t>2006-05-22</t>
        </is>
      </c>
      <c r="V163" t="inlineStr">
        <is>
          <t>2006-05-22</t>
        </is>
      </c>
      <c r="W163" t="inlineStr">
        <is>
          <t>2006-01-19</t>
        </is>
      </c>
      <c r="X163" t="inlineStr">
        <is>
          <t>2006-01-19</t>
        </is>
      </c>
      <c r="Y163" t="n">
        <v>435</v>
      </c>
      <c r="Z163" t="n">
        <v>403</v>
      </c>
      <c r="AA163" t="n">
        <v>521</v>
      </c>
      <c r="AB163" t="n">
        <v>1</v>
      </c>
      <c r="AC163" t="n">
        <v>2</v>
      </c>
      <c r="AD163" t="n">
        <v>18</v>
      </c>
      <c r="AE163" t="n">
        <v>22</v>
      </c>
      <c r="AF163" t="n">
        <v>9</v>
      </c>
      <c r="AG163" t="n">
        <v>11</v>
      </c>
      <c r="AH163" t="n">
        <v>7</v>
      </c>
      <c r="AI163" t="n">
        <v>8</v>
      </c>
      <c r="AJ163" t="n">
        <v>11</v>
      </c>
      <c r="AK163" t="n">
        <v>12</v>
      </c>
      <c r="AL163" t="n">
        <v>0</v>
      </c>
      <c r="AM163" t="n">
        <v>1</v>
      </c>
      <c r="AN163" t="n">
        <v>0</v>
      </c>
      <c r="AO163" t="n">
        <v>0</v>
      </c>
      <c r="AP163" t="inlineStr">
        <is>
          <t>No</t>
        </is>
      </c>
      <c r="AQ163" t="inlineStr">
        <is>
          <t>No</t>
        </is>
      </c>
      <c r="AS163">
        <f>HYPERLINK("https://creighton-primo.hosted.exlibrisgroup.com/primo-explore/search?tab=default_tab&amp;search_scope=EVERYTHING&amp;vid=01CRU&amp;lang=en_US&amp;offset=0&amp;query=any,contains,991004701029702656","Catalog Record")</f>
        <v/>
      </c>
      <c r="AT163">
        <f>HYPERLINK("http://www.worldcat.org/oclc/61254032","WorldCat Record")</f>
        <v/>
      </c>
      <c r="AU163" t="inlineStr">
        <is>
          <t>866309210:eng</t>
        </is>
      </c>
      <c r="AV163" t="inlineStr">
        <is>
          <t>61254032</t>
        </is>
      </c>
      <c r="AW163" t="inlineStr">
        <is>
          <t>991004701029702656</t>
        </is>
      </c>
      <c r="AX163" t="inlineStr">
        <is>
          <t>991004701029702656</t>
        </is>
      </c>
      <c r="AY163" t="inlineStr">
        <is>
          <t>2263299450002656</t>
        </is>
      </c>
      <c r="AZ163" t="inlineStr">
        <is>
          <t>BOOK</t>
        </is>
      </c>
      <c r="BB163" t="inlineStr">
        <is>
          <t>9780805080261</t>
        </is>
      </c>
      <c r="BC163" t="inlineStr">
        <is>
          <t>32285005155972</t>
        </is>
      </c>
      <c r="BD163" t="inlineStr">
        <is>
          <t>893247872</t>
        </is>
      </c>
    </row>
    <row r="164">
      <c r="A164" t="inlineStr">
        <is>
          <t>No</t>
        </is>
      </c>
      <c r="B164" t="inlineStr">
        <is>
          <t>HT133 .P37</t>
        </is>
      </c>
      <c r="C164" t="inlineStr">
        <is>
          <t>0                      HT 0133000P  37</t>
        </is>
      </c>
      <c r="D164" t="inlineStr">
        <is>
          <t>English towns, 1500-1700 / John Patten.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Patten, John.</t>
        </is>
      </c>
      <c r="L164" t="inlineStr">
        <is>
          <t>Folkestone [Eng.] : Dawson ; Hamden, Conn. : Archon Books, 1978.</t>
        </is>
      </c>
      <c r="M164" t="inlineStr">
        <is>
          <t>1978</t>
        </is>
      </c>
      <c r="O164" t="inlineStr">
        <is>
          <t>eng</t>
        </is>
      </c>
      <c r="P164" t="inlineStr">
        <is>
          <t>enk</t>
        </is>
      </c>
      <c r="Q164" t="inlineStr">
        <is>
          <t>Studies in historical geography</t>
        </is>
      </c>
      <c r="R164" t="inlineStr">
        <is>
          <t xml:space="preserve">HT </t>
        </is>
      </c>
      <c r="S164" t="n">
        <v>3</v>
      </c>
      <c r="T164" t="n">
        <v>3</v>
      </c>
      <c r="U164" t="inlineStr">
        <is>
          <t>2009-06-10</t>
        </is>
      </c>
      <c r="V164" t="inlineStr">
        <is>
          <t>2009-06-10</t>
        </is>
      </c>
      <c r="W164" t="inlineStr">
        <is>
          <t>1993-05-06</t>
        </is>
      </c>
      <c r="X164" t="inlineStr">
        <is>
          <t>1993-05-06</t>
        </is>
      </c>
      <c r="Y164" t="n">
        <v>483</v>
      </c>
      <c r="Z164" t="n">
        <v>315</v>
      </c>
      <c r="AA164" t="n">
        <v>322</v>
      </c>
      <c r="AB164" t="n">
        <v>4</v>
      </c>
      <c r="AC164" t="n">
        <v>4</v>
      </c>
      <c r="AD164" t="n">
        <v>10</v>
      </c>
      <c r="AE164" t="n">
        <v>10</v>
      </c>
      <c r="AF164" t="n">
        <v>1</v>
      </c>
      <c r="AG164" t="n">
        <v>1</v>
      </c>
      <c r="AH164" t="n">
        <v>1</v>
      </c>
      <c r="AI164" t="n">
        <v>1</v>
      </c>
      <c r="AJ164" t="n">
        <v>6</v>
      </c>
      <c r="AK164" t="n">
        <v>6</v>
      </c>
      <c r="AL164" t="n">
        <v>3</v>
      </c>
      <c r="AM164" t="n">
        <v>3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HYPERLINK("http://catalog.hathitrust.org/Record/000093029","HathiTrust Record")</f>
        <v/>
      </c>
      <c r="AS164">
        <f>HYPERLINK("https://creighton-primo.hosted.exlibrisgroup.com/primo-explore/search?tab=default_tab&amp;search_scope=EVERYTHING&amp;vid=01CRU&amp;lang=en_US&amp;offset=0&amp;query=any,contains,991004489089702656","Catalog Record")</f>
        <v/>
      </c>
      <c r="AT164">
        <f>HYPERLINK("http://www.worldcat.org/oclc/3650742","WorldCat Record")</f>
        <v/>
      </c>
      <c r="AU164" t="inlineStr">
        <is>
          <t>309679587:eng</t>
        </is>
      </c>
      <c r="AV164" t="inlineStr">
        <is>
          <t>3650742</t>
        </is>
      </c>
      <c r="AW164" t="inlineStr">
        <is>
          <t>991004489089702656</t>
        </is>
      </c>
      <c r="AX164" t="inlineStr">
        <is>
          <t>991004489089702656</t>
        </is>
      </c>
      <c r="AY164" t="inlineStr">
        <is>
          <t>2261391640002656</t>
        </is>
      </c>
      <c r="AZ164" t="inlineStr">
        <is>
          <t>BOOK</t>
        </is>
      </c>
      <c r="BB164" t="inlineStr">
        <is>
          <t>9780208017215</t>
        </is>
      </c>
      <c r="BC164" t="inlineStr">
        <is>
          <t>32285001673267</t>
        </is>
      </c>
      <c r="BD164" t="inlineStr">
        <is>
          <t>893624785</t>
        </is>
      </c>
    </row>
    <row r="165">
      <c r="A165" t="inlineStr">
        <is>
          <t>No</t>
        </is>
      </c>
      <c r="B165" t="inlineStr">
        <is>
          <t>HT133 .R44</t>
        </is>
      </c>
      <c r="C165" t="inlineStr">
        <is>
          <t>0                      HT 0133000R  44</t>
        </is>
      </c>
      <c r="D165" t="inlineStr">
        <is>
          <t>Suburbanity and the Victorian city / by David A. Reeder.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Reeder, David A.</t>
        </is>
      </c>
      <c r="L165" t="inlineStr">
        <is>
          <t>[Leicester, Eng.] : Victorian Studies Centre, University of Leicester, 1980.</t>
        </is>
      </c>
      <c r="M165" t="inlineStr">
        <is>
          <t>1980</t>
        </is>
      </c>
      <c r="O165" t="inlineStr">
        <is>
          <t>eng</t>
        </is>
      </c>
      <c r="P165" t="inlineStr">
        <is>
          <t>enk</t>
        </is>
      </c>
      <c r="R165" t="inlineStr">
        <is>
          <t xml:space="preserve">HT </t>
        </is>
      </c>
      <c r="S165" t="n">
        <v>1</v>
      </c>
      <c r="T165" t="n">
        <v>1</v>
      </c>
      <c r="U165" t="inlineStr">
        <is>
          <t>2010-09-22</t>
        </is>
      </c>
      <c r="V165" t="inlineStr">
        <is>
          <t>2010-09-22</t>
        </is>
      </c>
      <c r="W165" t="inlineStr">
        <is>
          <t>1993-05-06</t>
        </is>
      </c>
      <c r="X165" t="inlineStr">
        <is>
          <t>1993-05-06</t>
        </is>
      </c>
      <c r="Y165" t="n">
        <v>23</v>
      </c>
      <c r="Z165" t="n">
        <v>5</v>
      </c>
      <c r="AA165" t="n">
        <v>6</v>
      </c>
      <c r="AB165" t="n">
        <v>1</v>
      </c>
      <c r="AC165" t="n">
        <v>1</v>
      </c>
      <c r="AD165" t="n">
        <v>0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HYPERLINK("http://catalog.hathitrust.org/Record/003556564","HathiTrust Record")</f>
        <v/>
      </c>
      <c r="AS165">
        <f>HYPERLINK("https://creighton-primo.hosted.exlibrisgroup.com/primo-explore/search?tab=default_tab&amp;search_scope=EVERYTHING&amp;vid=01CRU&amp;lang=en_US&amp;offset=0&amp;query=any,contains,991005217829702656","Catalog Record")</f>
        <v/>
      </c>
      <c r="AT165">
        <f>HYPERLINK("http://www.worldcat.org/oclc/8197263","WorldCat Record")</f>
        <v/>
      </c>
      <c r="AU165" t="inlineStr">
        <is>
          <t>31350053:eng</t>
        </is>
      </c>
      <c r="AV165" t="inlineStr">
        <is>
          <t>8197263</t>
        </is>
      </c>
      <c r="AW165" t="inlineStr">
        <is>
          <t>991005217829702656</t>
        </is>
      </c>
      <c r="AX165" t="inlineStr">
        <is>
          <t>991005217829702656</t>
        </is>
      </c>
      <c r="AY165" t="inlineStr">
        <is>
          <t>2265339810002656</t>
        </is>
      </c>
      <c r="AZ165" t="inlineStr">
        <is>
          <t>BOOK</t>
        </is>
      </c>
      <c r="BC165" t="inlineStr">
        <is>
          <t>32285001673275</t>
        </is>
      </c>
      <c r="BD165" t="inlineStr">
        <is>
          <t>893896079</t>
        </is>
      </c>
    </row>
    <row r="166">
      <c r="A166" t="inlineStr">
        <is>
          <t>No</t>
        </is>
      </c>
      <c r="B166" t="inlineStr">
        <is>
          <t>HT133 .R57 1982</t>
        </is>
      </c>
      <c r="C166" t="inlineStr">
        <is>
          <t>0                      HT 0133000R  57          1982</t>
        </is>
      </c>
      <c r="D166" t="inlineStr">
        <is>
          <t>The Rise of suburbia / edited by F.M.L. Thompson.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L166" t="inlineStr">
        <is>
          <t>[Leicester, Leicestershire] : Leicester University Press ; [New York] : St. Martin's Press, 1982.</t>
        </is>
      </c>
      <c r="M166" t="inlineStr">
        <is>
          <t>1982</t>
        </is>
      </c>
      <c r="O166" t="inlineStr">
        <is>
          <t>eng</t>
        </is>
      </c>
      <c r="P166" t="inlineStr">
        <is>
          <t>enk</t>
        </is>
      </c>
      <c r="Q166" t="inlineStr">
        <is>
          <t>Themes in urban history</t>
        </is>
      </c>
      <c r="R166" t="inlineStr">
        <is>
          <t xml:space="preserve">HT </t>
        </is>
      </c>
      <c r="S166" t="n">
        <v>2</v>
      </c>
      <c r="T166" t="n">
        <v>2</v>
      </c>
      <c r="U166" t="inlineStr">
        <is>
          <t>2005-03-10</t>
        </is>
      </c>
      <c r="V166" t="inlineStr">
        <is>
          <t>2005-03-10</t>
        </is>
      </c>
      <c r="W166" t="inlineStr">
        <is>
          <t>1993-05-06</t>
        </is>
      </c>
      <c r="X166" t="inlineStr">
        <is>
          <t>1993-05-06</t>
        </is>
      </c>
      <c r="Y166" t="n">
        <v>342</v>
      </c>
      <c r="Z166" t="n">
        <v>184</v>
      </c>
      <c r="AA166" t="n">
        <v>191</v>
      </c>
      <c r="AB166" t="n">
        <v>3</v>
      </c>
      <c r="AC166" t="n">
        <v>3</v>
      </c>
      <c r="AD166" t="n">
        <v>7</v>
      </c>
      <c r="AE166" t="n">
        <v>7</v>
      </c>
      <c r="AF166" t="n">
        <v>1</v>
      </c>
      <c r="AG166" t="n">
        <v>1</v>
      </c>
      <c r="AH166" t="n">
        <v>3</v>
      </c>
      <c r="AI166" t="n">
        <v>3</v>
      </c>
      <c r="AJ166" t="n">
        <v>3</v>
      </c>
      <c r="AK166" t="n">
        <v>3</v>
      </c>
      <c r="AL166" t="n">
        <v>2</v>
      </c>
      <c r="AM166" t="n">
        <v>2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HYPERLINK("http://catalog.hathitrust.org/Record/006225934","HathiTrust Record")</f>
        <v/>
      </c>
      <c r="AS166">
        <f>HYPERLINK("https://creighton-primo.hosted.exlibrisgroup.com/primo-explore/search?tab=default_tab&amp;search_scope=EVERYTHING&amp;vid=01CRU&amp;lang=en_US&amp;offset=0&amp;query=any,contains,991005190129702656","Catalog Record")</f>
        <v/>
      </c>
      <c r="AT166">
        <f>HYPERLINK("http://www.worldcat.org/oclc/7998190","WorldCat Record")</f>
        <v/>
      </c>
      <c r="AU166" t="inlineStr">
        <is>
          <t>54475221:eng</t>
        </is>
      </c>
      <c r="AV166" t="inlineStr">
        <is>
          <t>7998190</t>
        </is>
      </c>
      <c r="AW166" t="inlineStr">
        <is>
          <t>991005190129702656</t>
        </is>
      </c>
      <c r="AX166" t="inlineStr">
        <is>
          <t>991005190129702656</t>
        </is>
      </c>
      <c r="AY166" t="inlineStr">
        <is>
          <t>2258589450002656</t>
        </is>
      </c>
      <c r="AZ166" t="inlineStr">
        <is>
          <t>BOOK</t>
        </is>
      </c>
      <c r="BB166" t="inlineStr">
        <is>
          <t>9780312684334</t>
        </is>
      </c>
      <c r="BC166" t="inlineStr">
        <is>
          <t>32285001673283</t>
        </is>
      </c>
      <c r="BD166" t="inlineStr">
        <is>
          <t>893431010</t>
        </is>
      </c>
    </row>
    <row r="167">
      <c r="A167" t="inlineStr">
        <is>
          <t>No</t>
        </is>
      </c>
      <c r="B167" t="inlineStr">
        <is>
          <t>HT133 .S85 1982</t>
        </is>
      </c>
      <c r="C167" t="inlineStr">
        <is>
          <t>0                      HT 0133000S  85          1982</t>
        </is>
      </c>
      <c r="D167" t="inlineStr">
        <is>
          <t>The Structure of nineteenth century cities / edited by James H. Johnson and Colin G. Pooley.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L167" t="inlineStr">
        <is>
          <t>London : C. Helm ; New York : St. Martin's Press, 1982.</t>
        </is>
      </c>
      <c r="M167" t="inlineStr">
        <is>
          <t>1982</t>
        </is>
      </c>
      <c r="O167" t="inlineStr">
        <is>
          <t>eng</t>
        </is>
      </c>
      <c r="P167" t="inlineStr">
        <is>
          <t>enk</t>
        </is>
      </c>
      <c r="R167" t="inlineStr">
        <is>
          <t xml:space="preserve">HT </t>
        </is>
      </c>
      <c r="S167" t="n">
        <v>1</v>
      </c>
      <c r="T167" t="n">
        <v>1</v>
      </c>
      <c r="U167" t="inlineStr">
        <is>
          <t>2004-11-09</t>
        </is>
      </c>
      <c r="V167" t="inlineStr">
        <is>
          <t>2004-11-09</t>
        </is>
      </c>
      <c r="W167" t="inlineStr">
        <is>
          <t>1993-05-06</t>
        </is>
      </c>
      <c r="X167" t="inlineStr">
        <is>
          <t>1993-05-06</t>
        </is>
      </c>
      <c r="Y167" t="n">
        <v>417</v>
      </c>
      <c r="Z167" t="n">
        <v>261</v>
      </c>
      <c r="AA167" t="n">
        <v>267</v>
      </c>
      <c r="AB167" t="n">
        <v>2</v>
      </c>
      <c r="AC167" t="n">
        <v>2</v>
      </c>
      <c r="AD167" t="n">
        <v>11</v>
      </c>
      <c r="AE167" t="n">
        <v>11</v>
      </c>
      <c r="AF167" t="n">
        <v>4</v>
      </c>
      <c r="AG167" t="n">
        <v>4</v>
      </c>
      <c r="AH167" t="n">
        <v>3</v>
      </c>
      <c r="AI167" t="n">
        <v>3</v>
      </c>
      <c r="AJ167" t="n">
        <v>7</v>
      </c>
      <c r="AK167" t="n">
        <v>7</v>
      </c>
      <c r="AL167" t="n">
        <v>1</v>
      </c>
      <c r="AM167" t="n">
        <v>1</v>
      </c>
      <c r="AN167" t="n">
        <v>0</v>
      </c>
      <c r="AO167" t="n">
        <v>0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HYPERLINK("http://catalog.hathitrust.org/Record/000761406","HathiTrust Record")</f>
        <v/>
      </c>
      <c r="AS167">
        <f>HYPERLINK("https://creighton-primo.hosted.exlibrisgroup.com/primo-explore/search?tab=default_tab&amp;search_scope=EVERYTHING&amp;vid=01CRU&amp;lang=en_US&amp;offset=0&amp;query=any,contains,991005190029702656","Catalog Record")</f>
        <v/>
      </c>
      <c r="AT167">
        <f>HYPERLINK("http://www.worldcat.org/oclc/7998138","WorldCat Record")</f>
        <v/>
      </c>
      <c r="AU167" t="inlineStr">
        <is>
          <t>351844118:eng</t>
        </is>
      </c>
      <c r="AV167" t="inlineStr">
        <is>
          <t>7998138</t>
        </is>
      </c>
      <c r="AW167" t="inlineStr">
        <is>
          <t>991005190029702656</t>
        </is>
      </c>
      <c r="AX167" t="inlineStr">
        <is>
          <t>991005190029702656</t>
        </is>
      </c>
      <c r="AY167" t="inlineStr">
        <is>
          <t>2258589770002656</t>
        </is>
      </c>
      <c r="AZ167" t="inlineStr">
        <is>
          <t>BOOK</t>
        </is>
      </c>
      <c r="BB167" t="inlineStr">
        <is>
          <t>9780312767815</t>
        </is>
      </c>
      <c r="BC167" t="inlineStr">
        <is>
          <t>32285001673291</t>
        </is>
      </c>
      <c r="BD167" t="inlineStr">
        <is>
          <t>893688743</t>
        </is>
      </c>
    </row>
    <row r="168">
      <c r="A168" t="inlineStr">
        <is>
          <t>No</t>
        </is>
      </c>
      <c r="B168" t="inlineStr">
        <is>
          <t>HT1331 .B34 2005</t>
        </is>
      </c>
      <c r="C168" t="inlineStr">
        <is>
          <t>0                      HT 1331000B  34          2005</t>
        </is>
      </c>
      <c r="D168" t="inlineStr">
        <is>
          <t>African voices of the Atlantic slave trade : beyond the silence and the shame / Anne C. Bailey.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Bailey, Anne C. (Anne Caroline)</t>
        </is>
      </c>
      <c r="L168" t="inlineStr">
        <is>
          <t>Boston : Beacon Press, c2005.</t>
        </is>
      </c>
      <c r="M168" t="inlineStr">
        <is>
          <t>2005</t>
        </is>
      </c>
      <c r="O168" t="inlineStr">
        <is>
          <t>eng</t>
        </is>
      </c>
      <c r="P168" t="inlineStr">
        <is>
          <t>mau</t>
        </is>
      </c>
      <c r="R168" t="inlineStr">
        <is>
          <t xml:space="preserve">HT </t>
        </is>
      </c>
      <c r="S168" t="n">
        <v>3</v>
      </c>
      <c r="T168" t="n">
        <v>3</v>
      </c>
      <c r="U168" t="inlineStr">
        <is>
          <t>2010-11-23</t>
        </is>
      </c>
      <c r="V168" t="inlineStr">
        <is>
          <t>2010-11-23</t>
        </is>
      </c>
      <c r="W168" t="inlineStr">
        <is>
          <t>2005-03-03</t>
        </is>
      </c>
      <c r="X168" t="inlineStr">
        <is>
          <t>2005-03-03</t>
        </is>
      </c>
      <c r="Y168" t="n">
        <v>894</v>
      </c>
      <c r="Z168" t="n">
        <v>810</v>
      </c>
      <c r="AA168" t="n">
        <v>1165</v>
      </c>
      <c r="AB168" t="n">
        <v>6</v>
      </c>
      <c r="AC168" t="n">
        <v>8</v>
      </c>
      <c r="AD168" t="n">
        <v>29</v>
      </c>
      <c r="AE168" t="n">
        <v>42</v>
      </c>
      <c r="AF168" t="n">
        <v>11</v>
      </c>
      <c r="AG168" t="n">
        <v>16</v>
      </c>
      <c r="AH168" t="n">
        <v>7</v>
      </c>
      <c r="AI168" t="n">
        <v>9</v>
      </c>
      <c r="AJ168" t="n">
        <v>12</v>
      </c>
      <c r="AK168" t="n">
        <v>16</v>
      </c>
      <c r="AL168" t="n">
        <v>5</v>
      </c>
      <c r="AM168" t="n">
        <v>7</v>
      </c>
      <c r="AN168" t="n">
        <v>0</v>
      </c>
      <c r="AO168" t="n">
        <v>1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HYPERLINK("http://catalog.hathitrust.org/Record/004965382","HathiTrust Record")</f>
        <v/>
      </c>
      <c r="AS168">
        <f>HYPERLINK("https://creighton-primo.hosted.exlibrisgroup.com/primo-explore/search?tab=default_tab&amp;search_scope=EVERYTHING&amp;vid=01CRU&amp;lang=en_US&amp;offset=0&amp;query=any,contains,991004457259702656","Catalog Record")</f>
        <v/>
      </c>
      <c r="AT168">
        <f>HYPERLINK("http://www.worldcat.org/oclc/55846000","WorldCat Record")</f>
        <v/>
      </c>
      <c r="AU168" t="inlineStr">
        <is>
          <t>794159389:eng</t>
        </is>
      </c>
      <c r="AV168" t="inlineStr">
        <is>
          <t>55846000</t>
        </is>
      </c>
      <c r="AW168" t="inlineStr">
        <is>
          <t>991004457259702656</t>
        </is>
      </c>
      <c r="AX168" t="inlineStr">
        <is>
          <t>991004457259702656</t>
        </is>
      </c>
      <c r="AY168" t="inlineStr">
        <is>
          <t>2269088600002656</t>
        </is>
      </c>
      <c r="AZ168" t="inlineStr">
        <is>
          <t>BOOK</t>
        </is>
      </c>
      <c r="BB168" t="inlineStr">
        <is>
          <t>9780807055120</t>
        </is>
      </c>
      <c r="BC168" t="inlineStr">
        <is>
          <t>32285005040091</t>
        </is>
      </c>
      <c r="BD168" t="inlineStr">
        <is>
          <t>893706440</t>
        </is>
      </c>
    </row>
    <row r="169">
      <c r="A169" t="inlineStr">
        <is>
          <t>No</t>
        </is>
      </c>
      <c r="B169" t="inlineStr">
        <is>
          <t>HT1332 .L38 1991</t>
        </is>
      </c>
      <c r="C169" t="inlineStr">
        <is>
          <t>0                      HT 1332000L  38          1991</t>
        </is>
      </c>
      <c r="D169" t="inlineStr">
        <is>
          <t>The slave coast of West Africa, 1550-1750 : the impact of the Atlantic slave trade on an African society / Robin Law.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Law, Robin.</t>
        </is>
      </c>
      <c r="L169" t="inlineStr">
        <is>
          <t>Oxford : Clarendon Press ; New York : Oxford University Press, 1991.</t>
        </is>
      </c>
      <c r="M169" t="inlineStr">
        <is>
          <t>1991</t>
        </is>
      </c>
      <c r="O169" t="inlineStr">
        <is>
          <t>eng</t>
        </is>
      </c>
      <c r="P169" t="inlineStr">
        <is>
          <t>enk</t>
        </is>
      </c>
      <c r="Q169" t="inlineStr">
        <is>
          <t>Oxford studies in African affairs</t>
        </is>
      </c>
      <c r="R169" t="inlineStr">
        <is>
          <t xml:space="preserve">HT </t>
        </is>
      </c>
      <c r="S169" t="n">
        <v>6</v>
      </c>
      <c r="T169" t="n">
        <v>6</v>
      </c>
      <c r="U169" t="inlineStr">
        <is>
          <t>2009-01-17</t>
        </is>
      </c>
      <c r="V169" t="inlineStr">
        <is>
          <t>2009-01-17</t>
        </is>
      </c>
      <c r="W169" t="inlineStr">
        <is>
          <t>1992-06-18</t>
        </is>
      </c>
      <c r="X169" t="inlineStr">
        <is>
          <t>1992-06-18</t>
        </is>
      </c>
      <c r="Y169" t="n">
        <v>480</v>
      </c>
      <c r="Z169" t="n">
        <v>344</v>
      </c>
      <c r="AA169" t="n">
        <v>509</v>
      </c>
      <c r="AB169" t="n">
        <v>3</v>
      </c>
      <c r="AC169" t="n">
        <v>5</v>
      </c>
      <c r="AD169" t="n">
        <v>15</v>
      </c>
      <c r="AE169" t="n">
        <v>29</v>
      </c>
      <c r="AF169" t="n">
        <v>5</v>
      </c>
      <c r="AG169" t="n">
        <v>11</v>
      </c>
      <c r="AH169" t="n">
        <v>4</v>
      </c>
      <c r="AI169" t="n">
        <v>9</v>
      </c>
      <c r="AJ169" t="n">
        <v>8</v>
      </c>
      <c r="AK169" t="n">
        <v>13</v>
      </c>
      <c r="AL169" t="n">
        <v>2</v>
      </c>
      <c r="AM169" t="n">
        <v>4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HYPERLINK("https://creighton-primo.hosted.exlibrisgroup.com/primo-explore/search?tab=default_tab&amp;search_scope=EVERYTHING&amp;vid=01CRU&amp;lang=en_US&amp;offset=0&amp;query=any,contains,991001861589702656","Catalog Record")</f>
        <v/>
      </c>
      <c r="AT169">
        <f>HYPERLINK("http://www.worldcat.org/oclc/23384473","WorldCat Record")</f>
        <v/>
      </c>
      <c r="AU169" t="inlineStr">
        <is>
          <t>796967526:eng</t>
        </is>
      </c>
      <c r="AV169" t="inlineStr">
        <is>
          <t>23384473</t>
        </is>
      </c>
      <c r="AW169" t="inlineStr">
        <is>
          <t>991001861589702656</t>
        </is>
      </c>
      <c r="AX169" t="inlineStr">
        <is>
          <t>991001861589702656</t>
        </is>
      </c>
      <c r="AY169" t="inlineStr">
        <is>
          <t>2267850270002656</t>
        </is>
      </c>
      <c r="AZ169" t="inlineStr">
        <is>
          <t>BOOK</t>
        </is>
      </c>
      <c r="BB169" t="inlineStr">
        <is>
          <t>9780198202288</t>
        </is>
      </c>
      <c r="BC169" t="inlineStr">
        <is>
          <t>32285001129617</t>
        </is>
      </c>
      <c r="BD169" t="inlineStr">
        <is>
          <t>893885597</t>
        </is>
      </c>
    </row>
    <row r="170">
      <c r="A170" t="inlineStr">
        <is>
          <t>No</t>
        </is>
      </c>
      <c r="B170" t="inlineStr">
        <is>
          <t>HT1334.N6 L68 1993</t>
        </is>
      </c>
      <c r="C170" t="inlineStr">
        <is>
          <t>0                      HT 1334000N  6                  L  68          1993</t>
        </is>
      </c>
      <c r="D170" t="inlineStr">
        <is>
          <t>Slow death for slavery : the course of abolition in Northern Nigeria, 1897-1936 / Paul E. Lovejoy, Jan S. Hogendorn.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Lovejoy, Paul E.</t>
        </is>
      </c>
      <c r="L170" t="inlineStr">
        <is>
          <t>Cambridge [England] ; New York : Cambridge University Press, 1993.</t>
        </is>
      </c>
      <c r="M170" t="inlineStr">
        <is>
          <t>1993</t>
        </is>
      </c>
      <c r="O170" t="inlineStr">
        <is>
          <t>eng</t>
        </is>
      </c>
      <c r="P170" t="inlineStr">
        <is>
          <t>enk</t>
        </is>
      </c>
      <c r="Q170" t="inlineStr">
        <is>
          <t>African studies series ; 76</t>
        </is>
      </c>
      <c r="R170" t="inlineStr">
        <is>
          <t xml:space="preserve">HT </t>
        </is>
      </c>
      <c r="S170" t="n">
        <v>4</v>
      </c>
      <c r="T170" t="n">
        <v>4</v>
      </c>
      <c r="U170" t="inlineStr">
        <is>
          <t>1998-05-03</t>
        </is>
      </c>
      <c r="V170" t="inlineStr">
        <is>
          <t>1998-05-03</t>
        </is>
      </c>
      <c r="W170" t="inlineStr">
        <is>
          <t>1993-11-11</t>
        </is>
      </c>
      <c r="X170" t="inlineStr">
        <is>
          <t>1993-11-11</t>
        </is>
      </c>
      <c r="Y170" t="n">
        <v>525</v>
      </c>
      <c r="Z170" t="n">
        <v>385</v>
      </c>
      <c r="AA170" t="n">
        <v>399</v>
      </c>
      <c r="AB170" t="n">
        <v>3</v>
      </c>
      <c r="AC170" t="n">
        <v>3</v>
      </c>
      <c r="AD170" t="n">
        <v>19</v>
      </c>
      <c r="AE170" t="n">
        <v>19</v>
      </c>
      <c r="AF170" t="n">
        <v>9</v>
      </c>
      <c r="AG170" t="n">
        <v>9</v>
      </c>
      <c r="AH170" t="n">
        <v>4</v>
      </c>
      <c r="AI170" t="n">
        <v>4</v>
      </c>
      <c r="AJ170" t="n">
        <v>11</v>
      </c>
      <c r="AK170" t="n">
        <v>11</v>
      </c>
      <c r="AL170" t="n">
        <v>2</v>
      </c>
      <c r="AM170" t="n">
        <v>2</v>
      </c>
      <c r="AN170" t="n">
        <v>0</v>
      </c>
      <c r="AO170" t="n">
        <v>0</v>
      </c>
      <c r="AP170" t="inlineStr">
        <is>
          <t>No</t>
        </is>
      </c>
      <c r="AQ170" t="inlineStr">
        <is>
          <t>No</t>
        </is>
      </c>
      <c r="AS170">
        <f>HYPERLINK("https://creighton-primo.hosted.exlibrisgroup.com/primo-explore/search?tab=default_tab&amp;search_scope=EVERYTHING&amp;vid=01CRU&amp;lang=en_US&amp;offset=0&amp;query=any,contains,991002075519702656","Catalog Record")</f>
        <v/>
      </c>
      <c r="AT170">
        <f>HYPERLINK("http://www.worldcat.org/oclc/26592676","WorldCat Record")</f>
        <v/>
      </c>
      <c r="AU170" t="inlineStr">
        <is>
          <t>795693485:eng</t>
        </is>
      </c>
      <c r="AV170" t="inlineStr">
        <is>
          <t>26592676</t>
        </is>
      </c>
      <c r="AW170" t="inlineStr">
        <is>
          <t>991002075519702656</t>
        </is>
      </c>
      <c r="AX170" t="inlineStr">
        <is>
          <t>991002075519702656</t>
        </is>
      </c>
      <c r="AY170" t="inlineStr">
        <is>
          <t>2270992080002656</t>
        </is>
      </c>
      <c r="AZ170" t="inlineStr">
        <is>
          <t>BOOK</t>
        </is>
      </c>
      <c r="BB170" t="inlineStr">
        <is>
          <t>9780521374699</t>
        </is>
      </c>
      <c r="BC170" t="inlineStr">
        <is>
          <t>32285001811016</t>
        </is>
      </c>
      <c r="BD170" t="inlineStr">
        <is>
          <t>893603177</t>
        </is>
      </c>
    </row>
    <row r="171">
      <c r="A171" t="inlineStr">
        <is>
          <t>No</t>
        </is>
      </c>
      <c r="B171" t="inlineStr">
        <is>
          <t>HT1342 .D38 2004</t>
        </is>
      </c>
      <c r="C171" t="inlineStr">
        <is>
          <t>0                      HT 1342000D  38          2004</t>
        </is>
      </c>
      <c r="D171" t="inlineStr">
        <is>
          <t>Christian slaves, Muslim masters : white slavery in the Mediterranean, the Barbary Coast, and Italy, 1500-1800 / Robert C. Davis.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Davis, Robert C. (Robert Charles), 1948-</t>
        </is>
      </c>
      <c r="L171" t="inlineStr">
        <is>
          <t>Basingstoke : Palgrave Macmillan, 2004.</t>
        </is>
      </c>
      <c r="M171" t="inlineStr">
        <is>
          <t>2004</t>
        </is>
      </c>
      <c r="O171" t="inlineStr">
        <is>
          <t>eng</t>
        </is>
      </c>
      <c r="P171" t="inlineStr">
        <is>
          <t>enk</t>
        </is>
      </c>
      <c r="Q171" t="inlineStr">
        <is>
          <t>Early modern history, society and culture</t>
        </is>
      </c>
      <c r="R171" t="inlineStr">
        <is>
          <t xml:space="preserve">HT </t>
        </is>
      </c>
      <c r="S171" t="n">
        <v>6</v>
      </c>
      <c r="T171" t="n">
        <v>6</v>
      </c>
      <c r="U171" t="inlineStr">
        <is>
          <t>2009-09-30</t>
        </is>
      </c>
      <c r="V171" t="inlineStr">
        <is>
          <t>2009-09-30</t>
        </is>
      </c>
      <c r="W171" t="inlineStr">
        <is>
          <t>2005-04-11</t>
        </is>
      </c>
      <c r="X171" t="inlineStr">
        <is>
          <t>2005-04-11</t>
        </is>
      </c>
      <c r="Y171" t="n">
        <v>134</v>
      </c>
      <c r="Z171" t="n">
        <v>97</v>
      </c>
      <c r="AA171" t="n">
        <v>400</v>
      </c>
      <c r="AB171" t="n">
        <v>1</v>
      </c>
      <c r="AC171" t="n">
        <v>3</v>
      </c>
      <c r="AD171" t="n">
        <v>4</v>
      </c>
      <c r="AE171" t="n">
        <v>20</v>
      </c>
      <c r="AF171" t="n">
        <v>2</v>
      </c>
      <c r="AG171" t="n">
        <v>5</v>
      </c>
      <c r="AH171" t="n">
        <v>1</v>
      </c>
      <c r="AI171" t="n">
        <v>8</v>
      </c>
      <c r="AJ171" t="n">
        <v>3</v>
      </c>
      <c r="AK171" t="n">
        <v>10</v>
      </c>
      <c r="AL171" t="n">
        <v>0</v>
      </c>
      <c r="AM171" t="n">
        <v>2</v>
      </c>
      <c r="AN171" t="n">
        <v>0</v>
      </c>
      <c r="AO171" t="n">
        <v>0</v>
      </c>
      <c r="AP171" t="inlineStr">
        <is>
          <t>No</t>
        </is>
      </c>
      <c r="AQ171" t="inlineStr">
        <is>
          <t>No</t>
        </is>
      </c>
      <c r="AS171">
        <f>HYPERLINK("https://creighton-primo.hosted.exlibrisgroup.com/primo-explore/search?tab=default_tab&amp;search_scope=EVERYTHING&amp;vid=01CRU&amp;lang=en_US&amp;offset=0&amp;query=any,contains,991004503239702656","Catalog Record")</f>
        <v/>
      </c>
      <c r="AT171">
        <f>HYPERLINK("http://www.worldcat.org/oclc/56443764","WorldCat Record")</f>
        <v/>
      </c>
      <c r="AU171" t="inlineStr">
        <is>
          <t>269977558:eng</t>
        </is>
      </c>
      <c r="AV171" t="inlineStr">
        <is>
          <t>56443764</t>
        </is>
      </c>
      <c r="AW171" t="inlineStr">
        <is>
          <t>991004503239702656</t>
        </is>
      </c>
      <c r="AX171" t="inlineStr">
        <is>
          <t>991004503239702656</t>
        </is>
      </c>
      <c r="AY171" t="inlineStr">
        <is>
          <t>2265717660002656</t>
        </is>
      </c>
      <c r="AZ171" t="inlineStr">
        <is>
          <t>BOOK</t>
        </is>
      </c>
      <c r="BB171" t="inlineStr">
        <is>
          <t>9780333719664</t>
        </is>
      </c>
      <c r="BC171" t="inlineStr">
        <is>
          <t>32285005049514</t>
        </is>
      </c>
      <c r="BD171" t="inlineStr">
        <is>
          <t>893417699</t>
        </is>
      </c>
    </row>
    <row r="172">
      <c r="A172" t="inlineStr">
        <is>
          <t>No</t>
        </is>
      </c>
      <c r="B172" t="inlineStr">
        <is>
          <t>HT1381 .J65 2001</t>
        </is>
      </c>
      <c r="C172" t="inlineStr">
        <is>
          <t>0                      HT 1381000J  65          2001</t>
        </is>
      </c>
      <c r="D172" t="inlineStr">
        <is>
          <t>War and slavery in Sudan / Jok Madut Jok.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Jok, Jok Madut.</t>
        </is>
      </c>
      <c r="L172" t="inlineStr">
        <is>
          <t>Philadelphia : University of Pennsylvania Press, c2001.</t>
        </is>
      </c>
      <c r="M172" t="inlineStr">
        <is>
          <t>2001</t>
        </is>
      </c>
      <c r="O172" t="inlineStr">
        <is>
          <t>eng</t>
        </is>
      </c>
      <c r="P172" t="inlineStr">
        <is>
          <t>pau</t>
        </is>
      </c>
      <c r="Q172" t="inlineStr">
        <is>
          <t>Ethnography of political violence</t>
        </is>
      </c>
      <c r="R172" t="inlineStr">
        <is>
          <t xml:space="preserve">HT </t>
        </is>
      </c>
      <c r="S172" t="n">
        <v>2</v>
      </c>
      <c r="T172" t="n">
        <v>2</v>
      </c>
      <c r="U172" t="inlineStr">
        <is>
          <t>2002-05-23</t>
        </is>
      </c>
      <c r="V172" t="inlineStr">
        <is>
          <t>2002-05-23</t>
        </is>
      </c>
      <c r="W172" t="inlineStr">
        <is>
          <t>2001-12-20</t>
        </is>
      </c>
      <c r="X172" t="inlineStr">
        <is>
          <t>2001-12-20</t>
        </is>
      </c>
      <c r="Y172" t="n">
        <v>574</v>
      </c>
      <c r="Z172" t="n">
        <v>495</v>
      </c>
      <c r="AA172" t="n">
        <v>1120</v>
      </c>
      <c r="AB172" t="n">
        <v>3</v>
      </c>
      <c r="AC172" t="n">
        <v>28</v>
      </c>
      <c r="AD172" t="n">
        <v>23</v>
      </c>
      <c r="AE172" t="n">
        <v>51</v>
      </c>
      <c r="AF172" t="n">
        <v>10</v>
      </c>
      <c r="AG172" t="n">
        <v>20</v>
      </c>
      <c r="AH172" t="n">
        <v>7</v>
      </c>
      <c r="AI172" t="n">
        <v>11</v>
      </c>
      <c r="AJ172" t="n">
        <v>11</v>
      </c>
      <c r="AK172" t="n">
        <v>17</v>
      </c>
      <c r="AL172" t="n">
        <v>2</v>
      </c>
      <c r="AM172" t="n">
        <v>13</v>
      </c>
      <c r="AN172" t="n">
        <v>0</v>
      </c>
      <c r="AO172" t="n">
        <v>1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HYPERLINK("http://catalog.hathitrust.org/Record/004181108","HathiTrust Record")</f>
        <v/>
      </c>
      <c r="AS172">
        <f>HYPERLINK("https://creighton-primo.hosted.exlibrisgroup.com/primo-explore/search?tab=default_tab&amp;search_scope=EVERYTHING&amp;vid=01CRU&amp;lang=en_US&amp;offset=0&amp;query=any,contains,991003684509702656","Catalog Record")</f>
        <v/>
      </c>
      <c r="AT172">
        <f>HYPERLINK("http://www.worldcat.org/oclc/45283248","WorldCat Record")</f>
        <v/>
      </c>
      <c r="AU172" t="inlineStr">
        <is>
          <t>1010737:eng</t>
        </is>
      </c>
      <c r="AV172" t="inlineStr">
        <is>
          <t>45283248</t>
        </is>
      </c>
      <c r="AW172" t="inlineStr">
        <is>
          <t>991003684509702656</t>
        </is>
      </c>
      <c r="AX172" t="inlineStr">
        <is>
          <t>991003684509702656</t>
        </is>
      </c>
      <c r="AY172" t="inlineStr">
        <is>
          <t>2272004720002656</t>
        </is>
      </c>
      <c r="AZ172" t="inlineStr">
        <is>
          <t>BOOK</t>
        </is>
      </c>
      <c r="BB172" t="inlineStr">
        <is>
          <t>9780812217629</t>
        </is>
      </c>
      <c r="BC172" t="inlineStr">
        <is>
          <t>32285004429923</t>
        </is>
      </c>
      <c r="BD172" t="inlineStr">
        <is>
          <t>893518759</t>
        </is>
      </c>
    </row>
    <row r="173">
      <c r="A173" t="inlineStr">
        <is>
          <t>No</t>
        </is>
      </c>
      <c r="B173" t="inlineStr">
        <is>
          <t>HT1384.K48 N39 2003</t>
        </is>
      </c>
      <c r="C173" t="inlineStr">
        <is>
          <t>0                      HT 1384000K  48                 N  39          2003</t>
        </is>
      </c>
      <c r="D173" t="inlineStr">
        <is>
          <t>Slave / Mende Nazer and Damien Lewis.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K173" t="inlineStr">
        <is>
          <t>Nazer, Mende.</t>
        </is>
      </c>
      <c r="L173" t="inlineStr">
        <is>
          <t>New York : Public Affairs, c2003.</t>
        </is>
      </c>
      <c r="M173" t="inlineStr">
        <is>
          <t>2003</t>
        </is>
      </c>
      <c r="N173" t="inlineStr">
        <is>
          <t>1st ed.</t>
        </is>
      </c>
      <c r="O173" t="inlineStr">
        <is>
          <t>eng</t>
        </is>
      </c>
      <c r="P173" t="inlineStr">
        <is>
          <t>nyu</t>
        </is>
      </c>
      <c r="R173" t="inlineStr">
        <is>
          <t xml:space="preserve">HT </t>
        </is>
      </c>
      <c r="S173" t="n">
        <v>2</v>
      </c>
      <c r="T173" t="n">
        <v>2</v>
      </c>
      <c r="U173" t="inlineStr">
        <is>
          <t>2009-01-06</t>
        </is>
      </c>
      <c r="V173" t="inlineStr">
        <is>
          <t>2009-01-06</t>
        </is>
      </c>
      <c r="W173" t="inlineStr">
        <is>
          <t>2004-02-03</t>
        </is>
      </c>
      <c r="X173" t="inlineStr">
        <is>
          <t>2004-02-03</t>
        </is>
      </c>
      <c r="Y173" t="n">
        <v>1002</v>
      </c>
      <c r="Z173" t="n">
        <v>964</v>
      </c>
      <c r="AA173" t="n">
        <v>1347</v>
      </c>
      <c r="AB173" t="n">
        <v>7</v>
      </c>
      <c r="AC173" t="n">
        <v>10</v>
      </c>
      <c r="AD173" t="n">
        <v>23</v>
      </c>
      <c r="AE173" t="n">
        <v>36</v>
      </c>
      <c r="AF173" t="n">
        <v>9</v>
      </c>
      <c r="AG173" t="n">
        <v>12</v>
      </c>
      <c r="AH173" t="n">
        <v>4</v>
      </c>
      <c r="AI173" t="n">
        <v>8</v>
      </c>
      <c r="AJ173" t="n">
        <v>12</v>
      </c>
      <c r="AK173" t="n">
        <v>16</v>
      </c>
      <c r="AL173" t="n">
        <v>4</v>
      </c>
      <c r="AM173" t="n">
        <v>7</v>
      </c>
      <c r="AN173" t="n">
        <v>0</v>
      </c>
      <c r="AO173" t="n">
        <v>1</v>
      </c>
      <c r="AP173" t="inlineStr">
        <is>
          <t>No</t>
        </is>
      </c>
      <c r="AQ173" t="inlineStr">
        <is>
          <t>No</t>
        </is>
      </c>
      <c r="AS173">
        <f>HYPERLINK("https://creighton-primo.hosted.exlibrisgroup.com/primo-explore/search?tab=default_tab&amp;search_scope=EVERYTHING&amp;vid=01CRU&amp;lang=en_US&amp;offset=0&amp;query=any,contains,991004201409702656","Catalog Record")</f>
        <v/>
      </c>
      <c r="AT173">
        <f>HYPERLINK("http://www.worldcat.org/oclc/53324861","WorldCat Record")</f>
        <v/>
      </c>
      <c r="AU173" t="inlineStr">
        <is>
          <t>10568576423:eng</t>
        </is>
      </c>
      <c r="AV173" t="inlineStr">
        <is>
          <t>53324861</t>
        </is>
      </c>
      <c r="AW173" t="inlineStr">
        <is>
          <t>991004201409702656</t>
        </is>
      </c>
      <c r="AX173" t="inlineStr">
        <is>
          <t>991004201409702656</t>
        </is>
      </c>
      <c r="AY173" t="inlineStr">
        <is>
          <t>2270132270002656</t>
        </is>
      </c>
      <c r="AZ173" t="inlineStr">
        <is>
          <t>BOOK</t>
        </is>
      </c>
      <c r="BB173" t="inlineStr">
        <is>
          <t>9781586482121</t>
        </is>
      </c>
      <c r="BC173" t="inlineStr">
        <is>
          <t>32285004636915</t>
        </is>
      </c>
      <c r="BD173" t="inlineStr">
        <is>
          <t>893806797</t>
        </is>
      </c>
    </row>
    <row r="174">
      <c r="A174" t="inlineStr">
        <is>
          <t>No</t>
        </is>
      </c>
      <c r="B174" t="inlineStr">
        <is>
          <t>HT1394.C3 S38 1997</t>
        </is>
      </c>
      <c r="C174" t="inlineStr">
        <is>
          <t>0                      HT 1394000C  3                  S  38          1997</t>
        </is>
      </c>
      <c r="D174" t="inlineStr">
        <is>
          <t>Liberating the family? : gender and British slave emancipation in the rural Western Cape, South Africa, 1823-1853 / Pamela Scully.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Scully, Pamela.</t>
        </is>
      </c>
      <c r="L174" t="inlineStr">
        <is>
          <t>Portsmouth, NH : Heinemann ; Oxford : James Currey ; Cape Town : David Philip, c1997.</t>
        </is>
      </c>
      <c r="M174" t="inlineStr">
        <is>
          <t>1997</t>
        </is>
      </c>
      <c r="O174" t="inlineStr">
        <is>
          <t>eng</t>
        </is>
      </c>
      <c r="P174" t="inlineStr">
        <is>
          <t>nhu</t>
        </is>
      </c>
      <c r="Q174" t="inlineStr">
        <is>
          <t>Social history of Africa series</t>
        </is>
      </c>
      <c r="R174" t="inlineStr">
        <is>
          <t xml:space="preserve">HT </t>
        </is>
      </c>
      <c r="S174" t="n">
        <v>1</v>
      </c>
      <c r="T174" t="n">
        <v>1</v>
      </c>
      <c r="U174" t="inlineStr">
        <is>
          <t>2002-05-23</t>
        </is>
      </c>
      <c r="V174" t="inlineStr">
        <is>
          <t>2002-05-23</t>
        </is>
      </c>
      <c r="W174" t="inlineStr">
        <is>
          <t>1999-03-30</t>
        </is>
      </c>
      <c r="X174" t="inlineStr">
        <is>
          <t>1999-03-30</t>
        </is>
      </c>
      <c r="Y174" t="n">
        <v>282</v>
      </c>
      <c r="Z174" t="n">
        <v>212</v>
      </c>
      <c r="AA174" t="n">
        <v>214</v>
      </c>
      <c r="AB174" t="n">
        <v>2</v>
      </c>
      <c r="AC174" t="n">
        <v>2</v>
      </c>
      <c r="AD174" t="n">
        <v>10</v>
      </c>
      <c r="AE174" t="n">
        <v>10</v>
      </c>
      <c r="AF174" t="n">
        <v>1</v>
      </c>
      <c r="AG174" t="n">
        <v>1</v>
      </c>
      <c r="AH174" t="n">
        <v>4</v>
      </c>
      <c r="AI174" t="n">
        <v>4</v>
      </c>
      <c r="AJ174" t="n">
        <v>7</v>
      </c>
      <c r="AK174" t="n">
        <v>7</v>
      </c>
      <c r="AL174" t="n">
        <v>1</v>
      </c>
      <c r="AM174" t="n">
        <v>1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HYPERLINK("http://catalog.hathitrust.org/Record/003967835","HathiTrust Record")</f>
        <v/>
      </c>
      <c r="AS174">
        <f>HYPERLINK("https://creighton-primo.hosted.exlibrisgroup.com/primo-explore/search?tab=default_tab&amp;search_scope=EVERYTHING&amp;vid=01CRU&amp;lang=en_US&amp;offset=0&amp;query=any,contains,991002854249702656","Catalog Record")</f>
        <v/>
      </c>
      <c r="AT174">
        <f>HYPERLINK("http://www.worldcat.org/oclc/37608231","WorldCat Record")</f>
        <v/>
      </c>
      <c r="AU174" t="inlineStr">
        <is>
          <t>544394:eng</t>
        </is>
      </c>
      <c r="AV174" t="inlineStr">
        <is>
          <t>37608231</t>
        </is>
      </c>
      <c r="AW174" t="inlineStr">
        <is>
          <t>991002854249702656</t>
        </is>
      </c>
      <c r="AX174" t="inlineStr">
        <is>
          <t>991002854249702656</t>
        </is>
      </c>
      <c r="AY174" t="inlineStr">
        <is>
          <t>2264308590002656</t>
        </is>
      </c>
      <c r="AZ174" t="inlineStr">
        <is>
          <t>BOOK</t>
        </is>
      </c>
      <c r="BB174" t="inlineStr">
        <is>
          <t>9780435074272</t>
        </is>
      </c>
      <c r="BC174" t="inlineStr">
        <is>
          <t>32285003547634</t>
        </is>
      </c>
      <c r="BD174" t="inlineStr">
        <is>
          <t>893899329</t>
        </is>
      </c>
    </row>
    <row r="175">
      <c r="A175" t="inlineStr">
        <is>
          <t>No</t>
        </is>
      </c>
      <c r="B175" t="inlineStr">
        <is>
          <t>HT1394.S6 S57 1994</t>
        </is>
      </c>
      <c r="C175" t="inlineStr">
        <is>
          <t>0                      HT 1394000S  6                  S  57          1994</t>
        </is>
      </c>
      <c r="D175" t="inlineStr">
        <is>
          <t>Slavery in South Africa : captive labor on the Dutch frontier / edited by Elizabeth A. Eldredge and Fred Morton.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L175" t="inlineStr">
        <is>
          <t>Boulder : Westview Press ; Pietermaritzburg : University of Natal Press, 1994.</t>
        </is>
      </c>
      <c r="M175" t="inlineStr">
        <is>
          <t>1994</t>
        </is>
      </c>
      <c r="O175" t="inlineStr">
        <is>
          <t>eng</t>
        </is>
      </c>
      <c r="P175" t="inlineStr">
        <is>
          <t>cou</t>
        </is>
      </c>
      <c r="Q175" t="inlineStr">
        <is>
          <t>African modernization and development series</t>
        </is>
      </c>
      <c r="R175" t="inlineStr">
        <is>
          <t xml:space="preserve">HT </t>
        </is>
      </c>
      <c r="S175" t="n">
        <v>0</v>
      </c>
      <c r="T175" t="n">
        <v>0</v>
      </c>
      <c r="U175" t="inlineStr">
        <is>
          <t>2009-04-06</t>
        </is>
      </c>
      <c r="V175" t="inlineStr">
        <is>
          <t>2009-04-06</t>
        </is>
      </c>
      <c r="W175" t="inlineStr">
        <is>
          <t>1995-05-06</t>
        </is>
      </c>
      <c r="X175" t="inlineStr">
        <is>
          <t>1995-05-06</t>
        </is>
      </c>
      <c r="Y175" t="n">
        <v>317</v>
      </c>
      <c r="Z175" t="n">
        <v>201</v>
      </c>
      <c r="AA175" t="n">
        <v>236</v>
      </c>
      <c r="AB175" t="n">
        <v>1</v>
      </c>
      <c r="AC175" t="n">
        <v>1</v>
      </c>
      <c r="AD175" t="n">
        <v>7</v>
      </c>
      <c r="AE175" t="n">
        <v>9</v>
      </c>
      <c r="AF175" t="n">
        <v>1</v>
      </c>
      <c r="AG175" t="n">
        <v>2</v>
      </c>
      <c r="AH175" t="n">
        <v>4</v>
      </c>
      <c r="AI175" t="n">
        <v>5</v>
      </c>
      <c r="AJ175" t="n">
        <v>5</v>
      </c>
      <c r="AK175" t="n">
        <v>5</v>
      </c>
      <c r="AL175" t="n">
        <v>0</v>
      </c>
      <c r="AM175" t="n">
        <v>0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HYPERLINK("http://catalog.hathitrust.org/Record/002971152","HathiTrust Record")</f>
        <v/>
      </c>
      <c r="AS175">
        <f>HYPERLINK("https://creighton-primo.hosted.exlibrisgroup.com/primo-explore/search?tab=default_tab&amp;search_scope=EVERYTHING&amp;vid=01CRU&amp;lang=en_US&amp;offset=0&amp;query=any,contains,991002351839702656","Catalog Record")</f>
        <v/>
      </c>
      <c r="AT175">
        <f>HYPERLINK("http://www.worldcat.org/oclc/30624156","WorldCat Record")</f>
        <v/>
      </c>
      <c r="AU175" t="inlineStr">
        <is>
          <t>836882291:eng</t>
        </is>
      </c>
      <c r="AV175" t="inlineStr">
        <is>
          <t>30624156</t>
        </is>
      </c>
      <c r="AW175" t="inlineStr">
        <is>
          <t>991002351839702656</t>
        </is>
      </c>
      <c r="AX175" t="inlineStr">
        <is>
          <t>991002351839702656</t>
        </is>
      </c>
      <c r="AY175" t="inlineStr">
        <is>
          <t>2260378830002656</t>
        </is>
      </c>
      <c r="AZ175" t="inlineStr">
        <is>
          <t>BOOK</t>
        </is>
      </c>
      <c r="BB175" t="inlineStr">
        <is>
          <t>9780813384733</t>
        </is>
      </c>
      <c r="BC175" t="inlineStr">
        <is>
          <t>32285002038148</t>
        </is>
      </c>
      <c r="BD175" t="inlineStr">
        <is>
          <t>893804512</t>
        </is>
      </c>
    </row>
    <row r="176">
      <c r="A176" t="inlineStr">
        <is>
          <t>No</t>
        </is>
      </c>
      <c r="B176" t="inlineStr">
        <is>
          <t>HT1396 .K54 1998</t>
        </is>
      </c>
      <c r="C176" t="inlineStr">
        <is>
          <t>0                      HT 1396000K  54          1998</t>
        </is>
      </c>
      <c r="D176" t="inlineStr">
        <is>
          <t>Slavery and colonial rule in French West Africa / Martin A. Klein.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Klein, Martin A.</t>
        </is>
      </c>
      <c r="L176" t="inlineStr">
        <is>
          <t>Cambridge ; New York, NY : Cambridge University Press, 1998.</t>
        </is>
      </c>
      <c r="M176" t="inlineStr">
        <is>
          <t>1998</t>
        </is>
      </c>
      <c r="O176" t="inlineStr">
        <is>
          <t>eng</t>
        </is>
      </c>
      <c r="P176" t="inlineStr">
        <is>
          <t>enk</t>
        </is>
      </c>
      <c r="Q176" t="inlineStr">
        <is>
          <t>African studies series ; 94</t>
        </is>
      </c>
      <c r="R176" t="inlineStr">
        <is>
          <t xml:space="preserve">HT </t>
        </is>
      </c>
      <c r="S176" t="n">
        <v>5</v>
      </c>
      <c r="T176" t="n">
        <v>5</v>
      </c>
      <c r="U176" t="inlineStr">
        <is>
          <t>2004-02-17</t>
        </is>
      </c>
      <c r="V176" t="inlineStr">
        <is>
          <t>2004-02-17</t>
        </is>
      </c>
      <c r="W176" t="inlineStr">
        <is>
          <t>1999-03-22</t>
        </is>
      </c>
      <c r="X176" t="inlineStr">
        <is>
          <t>1999-03-22</t>
        </is>
      </c>
      <c r="Y176" t="n">
        <v>549</v>
      </c>
      <c r="Z176" t="n">
        <v>431</v>
      </c>
      <c r="AA176" t="n">
        <v>587</v>
      </c>
      <c r="AB176" t="n">
        <v>3</v>
      </c>
      <c r="AC176" t="n">
        <v>4</v>
      </c>
      <c r="AD176" t="n">
        <v>24</v>
      </c>
      <c r="AE176" t="n">
        <v>33</v>
      </c>
      <c r="AF176" t="n">
        <v>10</v>
      </c>
      <c r="AG176" t="n">
        <v>15</v>
      </c>
      <c r="AH176" t="n">
        <v>6</v>
      </c>
      <c r="AI176" t="n">
        <v>8</v>
      </c>
      <c r="AJ176" t="n">
        <v>13</v>
      </c>
      <c r="AK176" t="n">
        <v>16</v>
      </c>
      <c r="AL176" t="n">
        <v>2</v>
      </c>
      <c r="AM176" t="n">
        <v>3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HYPERLINK("https://creighton-primo.hosted.exlibrisgroup.com/primo-explore/search?tab=default_tab&amp;search_scope=EVERYTHING&amp;vid=01CRU&amp;lang=en_US&amp;offset=0&amp;query=any,contains,991002832269702656","Catalog Record")</f>
        <v/>
      </c>
      <c r="AT176">
        <f>HYPERLINK("http://www.worldcat.org/oclc/37300720","WorldCat Record")</f>
        <v/>
      </c>
      <c r="AU176" t="inlineStr">
        <is>
          <t>3856834453:eng</t>
        </is>
      </c>
      <c r="AV176" t="inlineStr">
        <is>
          <t>37300720</t>
        </is>
      </c>
      <c r="AW176" t="inlineStr">
        <is>
          <t>991002832269702656</t>
        </is>
      </c>
      <c r="AX176" t="inlineStr">
        <is>
          <t>991002832269702656</t>
        </is>
      </c>
      <c r="AY176" t="inlineStr">
        <is>
          <t>2259544510002656</t>
        </is>
      </c>
      <c r="AZ176" t="inlineStr">
        <is>
          <t>BOOK</t>
        </is>
      </c>
      <c r="BB176" t="inlineStr">
        <is>
          <t>9780521593243</t>
        </is>
      </c>
      <c r="BC176" t="inlineStr">
        <is>
          <t>32285003534103</t>
        </is>
      </c>
      <c r="BD176" t="inlineStr">
        <is>
          <t>893886793</t>
        </is>
      </c>
    </row>
    <row r="177">
      <c r="A177" t="inlineStr">
        <is>
          <t>No</t>
        </is>
      </c>
      <c r="B177" t="inlineStr">
        <is>
          <t>HT1401 .D48 2006</t>
        </is>
      </c>
      <c r="C177" t="inlineStr">
        <is>
          <t>0                      HT 1401000D  48          2006</t>
        </is>
      </c>
      <c r="D177" t="inlineStr">
        <is>
          <t>Emancipation without abolition in German East Africa, c.1884-1914 / Jan-Georg Deutsch.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Deutsch, Jan-Georg.</t>
        </is>
      </c>
      <c r="L177" t="inlineStr">
        <is>
          <t>Oxford [England] : James Currey ; Athens, Ohio : Ohio University Press, 2006.</t>
        </is>
      </c>
      <c r="M177" t="inlineStr">
        <is>
          <t>2006</t>
        </is>
      </c>
      <c r="O177" t="inlineStr">
        <is>
          <t>eng</t>
        </is>
      </c>
      <c r="P177" t="inlineStr">
        <is>
          <t>enk</t>
        </is>
      </c>
      <c r="Q177" t="inlineStr">
        <is>
          <t>Eastern African studies</t>
        </is>
      </c>
      <c r="R177" t="inlineStr">
        <is>
          <t xml:space="preserve">HT </t>
        </is>
      </c>
      <c r="S177" t="n">
        <v>1</v>
      </c>
      <c r="T177" t="n">
        <v>1</v>
      </c>
      <c r="U177" t="inlineStr">
        <is>
          <t>2008-08-26</t>
        </is>
      </c>
      <c r="V177" t="inlineStr">
        <is>
          <t>2008-08-26</t>
        </is>
      </c>
      <c r="W177" t="inlineStr">
        <is>
          <t>2008-08-26</t>
        </is>
      </c>
      <c r="X177" t="inlineStr">
        <is>
          <t>2008-08-26</t>
        </is>
      </c>
      <c r="Y177" t="n">
        <v>251</v>
      </c>
      <c r="Z177" t="n">
        <v>192</v>
      </c>
      <c r="AA177" t="n">
        <v>193</v>
      </c>
      <c r="AB177" t="n">
        <v>1</v>
      </c>
      <c r="AC177" t="n">
        <v>1</v>
      </c>
      <c r="AD177" t="n">
        <v>9</v>
      </c>
      <c r="AE177" t="n">
        <v>9</v>
      </c>
      <c r="AF177" t="n">
        <v>2</v>
      </c>
      <c r="AG177" t="n">
        <v>2</v>
      </c>
      <c r="AH177" t="n">
        <v>6</v>
      </c>
      <c r="AI177" t="n">
        <v>6</v>
      </c>
      <c r="AJ177" t="n">
        <v>5</v>
      </c>
      <c r="AK177" t="n">
        <v>5</v>
      </c>
      <c r="AL177" t="n">
        <v>0</v>
      </c>
      <c r="AM177" t="n">
        <v>0</v>
      </c>
      <c r="AN177" t="n">
        <v>0</v>
      </c>
      <c r="AO177" t="n">
        <v>0</v>
      </c>
      <c r="AP177" t="inlineStr">
        <is>
          <t>No</t>
        </is>
      </c>
      <c r="AQ177" t="inlineStr">
        <is>
          <t>No</t>
        </is>
      </c>
      <c r="AS177">
        <f>HYPERLINK("https://creighton-primo.hosted.exlibrisgroup.com/primo-explore/search?tab=default_tab&amp;search_scope=EVERYTHING&amp;vid=01CRU&amp;lang=en_US&amp;offset=0&amp;query=any,contains,991005256199702656","Catalog Record")</f>
        <v/>
      </c>
      <c r="AT177">
        <f>HYPERLINK("http://www.worldcat.org/oclc/66463776","WorldCat Record")</f>
        <v/>
      </c>
      <c r="AU177" t="inlineStr">
        <is>
          <t>50083963:eng</t>
        </is>
      </c>
      <c r="AV177" t="inlineStr">
        <is>
          <t>66463776</t>
        </is>
      </c>
      <c r="AW177" t="inlineStr">
        <is>
          <t>991005256199702656</t>
        </is>
      </c>
      <c r="AX177" t="inlineStr">
        <is>
          <t>991005256199702656</t>
        </is>
      </c>
      <c r="AY177" t="inlineStr">
        <is>
          <t>2259916290002656</t>
        </is>
      </c>
      <c r="AZ177" t="inlineStr">
        <is>
          <t>BOOK</t>
        </is>
      </c>
      <c r="BB177" t="inlineStr">
        <is>
          <t>9780821417195</t>
        </is>
      </c>
      <c r="BC177" t="inlineStr">
        <is>
          <t>32285005455166</t>
        </is>
      </c>
      <c r="BD177" t="inlineStr">
        <is>
          <t>893701279</t>
        </is>
      </c>
    </row>
    <row r="178">
      <c r="A178" t="inlineStr">
        <is>
          <t>No</t>
        </is>
      </c>
      <c r="B178" t="inlineStr">
        <is>
          <t>HT145.B3 T6313 1983</t>
        </is>
      </c>
      <c r="C178" t="inlineStr">
        <is>
          <t>0                      HT 0145000B  3                  T  6313        1983</t>
        </is>
      </c>
      <c r="D178" t="inlineStr">
        <is>
          <t>The Balkan City, 1400--1900 / Nikolaĭ Todorov.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Todorov, Nikolaĭ.</t>
        </is>
      </c>
      <c r="L178" t="inlineStr">
        <is>
          <t>Seattle : University of Washington Press, c1983.</t>
        </is>
      </c>
      <c r="M178" t="inlineStr">
        <is>
          <t>1983</t>
        </is>
      </c>
      <c r="O178" t="inlineStr">
        <is>
          <t>eng</t>
        </is>
      </c>
      <c r="P178" t="inlineStr">
        <is>
          <t>wau</t>
        </is>
      </c>
      <c r="Q178" t="inlineStr">
        <is>
          <t>Publications on Russia and Eastern Europe of the School of International Studies, University of Washington ; v. 12</t>
        </is>
      </c>
      <c r="R178" t="inlineStr">
        <is>
          <t xml:space="preserve">HT </t>
        </is>
      </c>
      <c r="S178" t="n">
        <v>1</v>
      </c>
      <c r="T178" t="n">
        <v>1</v>
      </c>
      <c r="U178" t="inlineStr">
        <is>
          <t>1996-02-15</t>
        </is>
      </c>
      <c r="V178" t="inlineStr">
        <is>
          <t>1996-02-15</t>
        </is>
      </c>
      <c r="W178" t="inlineStr">
        <is>
          <t>1993-06-09</t>
        </is>
      </c>
      <c r="X178" t="inlineStr">
        <is>
          <t>1993-06-09</t>
        </is>
      </c>
      <c r="Y178" t="n">
        <v>368</v>
      </c>
      <c r="Z178" t="n">
        <v>279</v>
      </c>
      <c r="AA178" t="n">
        <v>279</v>
      </c>
      <c r="AB178" t="n">
        <v>3</v>
      </c>
      <c r="AC178" t="n">
        <v>3</v>
      </c>
      <c r="AD178" t="n">
        <v>13</v>
      </c>
      <c r="AE178" t="n">
        <v>13</v>
      </c>
      <c r="AF178" t="n">
        <v>3</v>
      </c>
      <c r="AG178" t="n">
        <v>3</v>
      </c>
      <c r="AH178" t="n">
        <v>3</v>
      </c>
      <c r="AI178" t="n">
        <v>3</v>
      </c>
      <c r="AJ178" t="n">
        <v>8</v>
      </c>
      <c r="AK178" t="n">
        <v>8</v>
      </c>
      <c r="AL178" t="n">
        <v>2</v>
      </c>
      <c r="AM178" t="n">
        <v>2</v>
      </c>
      <c r="AN178" t="n">
        <v>0</v>
      </c>
      <c r="AO178" t="n">
        <v>0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HYPERLINK("https://creighton-primo.hosted.exlibrisgroup.com/primo-explore/search?tab=default_tab&amp;search_scope=EVERYTHING&amp;vid=01CRU&amp;lang=en_US&amp;offset=0&amp;query=any,contains,991000124109702656","Catalog Record")</f>
        <v/>
      </c>
      <c r="AT178">
        <f>HYPERLINK("http://www.worldcat.org/oclc/9081824","WorldCat Record")</f>
        <v/>
      </c>
      <c r="AU178" t="inlineStr">
        <is>
          <t>500632038:eng</t>
        </is>
      </c>
      <c r="AV178" t="inlineStr">
        <is>
          <t>9081824</t>
        </is>
      </c>
      <c r="AW178" t="inlineStr">
        <is>
          <t>991000124109702656</t>
        </is>
      </c>
      <c r="AX178" t="inlineStr">
        <is>
          <t>991000124109702656</t>
        </is>
      </c>
      <c r="AY178" t="inlineStr">
        <is>
          <t>2256214730002656</t>
        </is>
      </c>
      <c r="AZ178" t="inlineStr">
        <is>
          <t>BOOK</t>
        </is>
      </c>
      <c r="BB178" t="inlineStr">
        <is>
          <t>9780295958972</t>
        </is>
      </c>
      <c r="BC178" t="inlineStr">
        <is>
          <t>32285001719953</t>
        </is>
      </c>
      <c r="BD178" t="inlineStr">
        <is>
          <t>893777703</t>
        </is>
      </c>
    </row>
    <row r="179">
      <c r="A179" t="inlineStr">
        <is>
          <t>No</t>
        </is>
      </c>
      <c r="B179" t="inlineStr">
        <is>
          <t>HT145.H8 G9 2004</t>
        </is>
      </c>
      <c r="C179" t="inlineStr">
        <is>
          <t>0                      HT 0145000H  8                  G  9           2004</t>
        </is>
      </c>
      <c r="D179" t="inlineStr">
        <is>
          <t>Identity and the urban experience : fin-de-siécle Budapest / Gábor Gyáni ; translated from the Hungarian by Thomas J. DeKornfeld.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Gyáni, Gábor.</t>
        </is>
      </c>
      <c r="L179" t="inlineStr">
        <is>
          <t>Boulder, Colo. : Social Science Monographs ; Wayne, N.J. : Center for Hungarian Studies and Publications ; New York : Distributed by Columbia University Press, 2004.</t>
        </is>
      </c>
      <c r="M179" t="inlineStr">
        <is>
          <t>2004</t>
        </is>
      </c>
      <c r="O179" t="inlineStr">
        <is>
          <t>eng</t>
        </is>
      </c>
      <c r="P179" t="inlineStr">
        <is>
          <t>cou</t>
        </is>
      </c>
      <c r="Q179" t="inlineStr">
        <is>
          <t>CHSP Hungarian studies series ; no. 5</t>
        </is>
      </c>
      <c r="R179" t="inlineStr">
        <is>
          <t xml:space="preserve">HT </t>
        </is>
      </c>
      <c r="S179" t="n">
        <v>3</v>
      </c>
      <c r="T179" t="n">
        <v>3</v>
      </c>
      <c r="U179" t="inlineStr">
        <is>
          <t>2006-05-22</t>
        </is>
      </c>
      <c r="V179" t="inlineStr">
        <is>
          <t>2006-05-22</t>
        </is>
      </c>
      <c r="W179" t="inlineStr">
        <is>
          <t>2005-11-29</t>
        </is>
      </c>
      <c r="X179" t="inlineStr">
        <is>
          <t>2005-11-29</t>
        </is>
      </c>
      <c r="Y179" t="n">
        <v>176</v>
      </c>
      <c r="Z179" t="n">
        <v>135</v>
      </c>
      <c r="AA179" t="n">
        <v>141</v>
      </c>
      <c r="AB179" t="n">
        <v>1</v>
      </c>
      <c r="AC179" t="n">
        <v>1</v>
      </c>
      <c r="AD179" t="n">
        <v>3</v>
      </c>
      <c r="AE179" t="n">
        <v>3</v>
      </c>
      <c r="AF179" t="n">
        <v>1</v>
      </c>
      <c r="AG179" t="n">
        <v>1</v>
      </c>
      <c r="AH179" t="n">
        <v>1</v>
      </c>
      <c r="AI179" t="n">
        <v>1</v>
      </c>
      <c r="AJ179" t="n">
        <v>2</v>
      </c>
      <c r="AK179" t="n">
        <v>2</v>
      </c>
      <c r="AL179" t="n">
        <v>0</v>
      </c>
      <c r="AM179" t="n">
        <v>0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HYPERLINK("http://catalog.hathitrust.org/Record/005031687","HathiTrust Record")</f>
        <v/>
      </c>
      <c r="AS179">
        <f>HYPERLINK("https://creighton-primo.hosted.exlibrisgroup.com/primo-explore/search?tab=default_tab&amp;search_scope=EVERYTHING&amp;vid=01CRU&amp;lang=en_US&amp;offset=0&amp;query=any,contains,991004683909702656","Catalog Record")</f>
        <v/>
      </c>
      <c r="AT179">
        <f>HYPERLINK("http://www.worldcat.org/oclc/58750911","WorldCat Record")</f>
        <v/>
      </c>
      <c r="AU179" t="inlineStr">
        <is>
          <t>864502441:eng</t>
        </is>
      </c>
      <c r="AV179" t="inlineStr">
        <is>
          <t>58750911</t>
        </is>
      </c>
      <c r="AW179" t="inlineStr">
        <is>
          <t>991004683909702656</t>
        </is>
      </c>
      <c r="AX179" t="inlineStr">
        <is>
          <t>991004683909702656</t>
        </is>
      </c>
      <c r="AY179" t="inlineStr">
        <is>
          <t>2270585540002656</t>
        </is>
      </c>
      <c r="AZ179" t="inlineStr">
        <is>
          <t>BOOK</t>
        </is>
      </c>
      <c r="BB179" t="inlineStr">
        <is>
          <t>9780880335515</t>
        </is>
      </c>
      <c r="BC179" t="inlineStr">
        <is>
          <t>32285005148837</t>
        </is>
      </c>
      <c r="BD179" t="inlineStr">
        <is>
          <t>893532686</t>
        </is>
      </c>
    </row>
    <row r="180">
      <c r="A180" t="inlineStr">
        <is>
          <t>No</t>
        </is>
      </c>
      <c r="B180" t="inlineStr">
        <is>
          <t>HT147.C48 K57 1985</t>
        </is>
      </c>
      <c r="C180" t="inlineStr">
        <is>
          <t>0                      HT 0147000C  48                 K  57          1985</t>
        </is>
      </c>
      <c r="D180" t="inlineStr">
        <is>
          <t>Urbanization in China : town and country in a developing economy, 1949-2000 A.D. / R.J.R. Kirkby.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Kirkby, R. J. R. (Richard J. R.)</t>
        </is>
      </c>
      <c r="L180" t="inlineStr">
        <is>
          <t>New York : Columbia University Press, 1985.</t>
        </is>
      </c>
      <c r="M180" t="inlineStr">
        <is>
          <t>1985</t>
        </is>
      </c>
      <c r="O180" t="inlineStr">
        <is>
          <t>eng</t>
        </is>
      </c>
      <c r="P180" t="inlineStr">
        <is>
          <t>nyu</t>
        </is>
      </c>
      <c r="R180" t="inlineStr">
        <is>
          <t xml:space="preserve">HT </t>
        </is>
      </c>
      <c r="S180" t="n">
        <v>9</v>
      </c>
      <c r="T180" t="n">
        <v>9</v>
      </c>
      <c r="U180" t="inlineStr">
        <is>
          <t>2005-10-05</t>
        </is>
      </c>
      <c r="V180" t="inlineStr">
        <is>
          <t>2005-10-05</t>
        </is>
      </c>
      <c r="W180" t="inlineStr">
        <is>
          <t>1992-12-09</t>
        </is>
      </c>
      <c r="X180" t="inlineStr">
        <is>
          <t>1992-12-09</t>
        </is>
      </c>
      <c r="Y180" t="n">
        <v>422</v>
      </c>
      <c r="Z180" t="n">
        <v>372</v>
      </c>
      <c r="AA180" t="n">
        <v>421</v>
      </c>
      <c r="AB180" t="n">
        <v>1</v>
      </c>
      <c r="AC180" t="n">
        <v>2</v>
      </c>
      <c r="AD180" t="n">
        <v>14</v>
      </c>
      <c r="AE180" t="n">
        <v>16</v>
      </c>
      <c r="AF180" t="n">
        <v>7</v>
      </c>
      <c r="AG180" t="n">
        <v>7</v>
      </c>
      <c r="AH180" t="n">
        <v>3</v>
      </c>
      <c r="AI180" t="n">
        <v>3</v>
      </c>
      <c r="AJ180" t="n">
        <v>9</v>
      </c>
      <c r="AK180" t="n">
        <v>10</v>
      </c>
      <c r="AL180" t="n">
        <v>0</v>
      </c>
      <c r="AM180" t="n">
        <v>1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HYPERLINK("https://creighton-primo.hosted.exlibrisgroup.com/primo-explore/search?tab=default_tab&amp;search_scope=EVERYTHING&amp;vid=01CRU&amp;lang=en_US&amp;offset=0&amp;query=any,contains,991000527999702656","Catalog Record")</f>
        <v/>
      </c>
      <c r="AT180">
        <f>HYPERLINK("http://www.worldcat.org/oclc/11372056","WorldCat Record")</f>
        <v/>
      </c>
      <c r="AU180" t="inlineStr">
        <is>
          <t>836618764:eng</t>
        </is>
      </c>
      <c r="AV180" t="inlineStr">
        <is>
          <t>11372056</t>
        </is>
      </c>
      <c r="AW180" t="inlineStr">
        <is>
          <t>991000527999702656</t>
        </is>
      </c>
      <c r="AX180" t="inlineStr">
        <is>
          <t>991000527999702656</t>
        </is>
      </c>
      <c r="AY180" t="inlineStr">
        <is>
          <t>2258806460002656</t>
        </is>
      </c>
      <c r="AZ180" t="inlineStr">
        <is>
          <t>BOOK</t>
        </is>
      </c>
      <c r="BB180" t="inlineStr">
        <is>
          <t>9780231061506</t>
        </is>
      </c>
      <c r="BC180" t="inlineStr">
        <is>
          <t>32285001414407</t>
        </is>
      </c>
      <c r="BD180" t="inlineStr">
        <is>
          <t>893413437</t>
        </is>
      </c>
    </row>
    <row r="181">
      <c r="A181" t="inlineStr">
        <is>
          <t>No</t>
        </is>
      </c>
      <c r="B181" t="inlineStr">
        <is>
          <t>HT147.C48 U7</t>
        </is>
      </c>
      <c r="C181" t="inlineStr">
        <is>
          <t>0                      HT 0147000C  48                 U  7</t>
        </is>
      </c>
      <c r="D181" t="inlineStr">
        <is>
          <t>Urban development in modern China / edited by Laurence J.C. Ma and Edward W. Hanten.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L181" t="inlineStr">
        <is>
          <t>Boulder, Colo. : Westview Press, c1981.</t>
        </is>
      </c>
      <c r="M181" t="inlineStr">
        <is>
          <t>1981</t>
        </is>
      </c>
      <c r="O181" t="inlineStr">
        <is>
          <t>eng</t>
        </is>
      </c>
      <c r="P181" t="inlineStr">
        <is>
          <t>cou</t>
        </is>
      </c>
      <c r="Q181" t="inlineStr">
        <is>
          <t>Westview special studies on China and East Asia</t>
        </is>
      </c>
      <c r="R181" t="inlineStr">
        <is>
          <t xml:space="preserve">HT </t>
        </is>
      </c>
      <c r="S181" t="n">
        <v>3</v>
      </c>
      <c r="T181" t="n">
        <v>3</v>
      </c>
      <c r="U181" t="inlineStr">
        <is>
          <t>2005-10-05</t>
        </is>
      </c>
      <c r="V181" t="inlineStr">
        <is>
          <t>2005-10-05</t>
        </is>
      </c>
      <c r="W181" t="inlineStr">
        <is>
          <t>1992-12-09</t>
        </is>
      </c>
      <c r="X181" t="inlineStr">
        <is>
          <t>1992-12-09</t>
        </is>
      </c>
      <c r="Y181" t="n">
        <v>337</v>
      </c>
      <c r="Z181" t="n">
        <v>247</v>
      </c>
      <c r="AA181" t="n">
        <v>253</v>
      </c>
      <c r="AB181" t="n">
        <v>3</v>
      </c>
      <c r="AC181" t="n">
        <v>3</v>
      </c>
      <c r="AD181" t="n">
        <v>7</v>
      </c>
      <c r="AE181" t="n">
        <v>7</v>
      </c>
      <c r="AF181" t="n">
        <v>2</v>
      </c>
      <c r="AG181" t="n">
        <v>2</v>
      </c>
      <c r="AH181" t="n">
        <v>3</v>
      </c>
      <c r="AI181" t="n">
        <v>3</v>
      </c>
      <c r="AJ181" t="n">
        <v>2</v>
      </c>
      <c r="AK181" t="n">
        <v>2</v>
      </c>
      <c r="AL181" t="n">
        <v>2</v>
      </c>
      <c r="AM181" t="n">
        <v>2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HYPERLINK("https://creighton-primo.hosted.exlibrisgroup.com/primo-explore/search?tab=default_tab&amp;search_scope=EVERYTHING&amp;vid=01CRU&amp;lang=en_US&amp;offset=0&amp;query=any,contains,991005126849702656","Catalog Record")</f>
        <v/>
      </c>
      <c r="AT181">
        <f>HYPERLINK("http://www.worldcat.org/oclc/7554108","WorldCat Record")</f>
        <v/>
      </c>
      <c r="AU181" t="inlineStr">
        <is>
          <t>350937431:eng</t>
        </is>
      </c>
      <c r="AV181" t="inlineStr">
        <is>
          <t>7554108</t>
        </is>
      </c>
      <c r="AW181" t="inlineStr">
        <is>
          <t>991005126849702656</t>
        </is>
      </c>
      <c r="AX181" t="inlineStr">
        <is>
          <t>991005126849702656</t>
        </is>
      </c>
      <c r="AY181" t="inlineStr">
        <is>
          <t>2264806340002656</t>
        </is>
      </c>
      <c r="AZ181" t="inlineStr">
        <is>
          <t>BOOK</t>
        </is>
      </c>
      <c r="BB181" t="inlineStr">
        <is>
          <t>9780865311206</t>
        </is>
      </c>
      <c r="BC181" t="inlineStr">
        <is>
          <t>32285001414381</t>
        </is>
      </c>
      <c r="BD181" t="inlineStr">
        <is>
          <t>893889716</t>
        </is>
      </c>
    </row>
    <row r="182">
      <c r="A182" t="inlineStr">
        <is>
          <t>No</t>
        </is>
      </c>
      <c r="B182" t="inlineStr">
        <is>
          <t>HT147.T9 D36 1985</t>
        </is>
      </c>
      <c r="C182" t="inlineStr">
        <is>
          <t>0                      HT 0147000T  9                  D  36          1985</t>
        </is>
      </c>
      <c r="D182" t="inlineStr">
        <is>
          <t>The politics of rapid urbanization : government and growth in modern Turkey / Michael N. Danielson, Ruşen Keleş.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Danielson, Michael N.</t>
        </is>
      </c>
      <c r="L182" t="inlineStr">
        <is>
          <t>New York : Holmes &amp; Meier, 1985.</t>
        </is>
      </c>
      <c r="M182" t="inlineStr">
        <is>
          <t>1984</t>
        </is>
      </c>
      <c r="O182" t="inlineStr">
        <is>
          <t>eng</t>
        </is>
      </c>
      <c r="P182" t="inlineStr">
        <is>
          <t>nyu</t>
        </is>
      </c>
      <c r="R182" t="inlineStr">
        <is>
          <t xml:space="preserve">HT </t>
        </is>
      </c>
      <c r="S182" t="n">
        <v>1</v>
      </c>
      <c r="T182" t="n">
        <v>1</v>
      </c>
      <c r="U182" t="inlineStr">
        <is>
          <t>2000-11-29</t>
        </is>
      </c>
      <c r="V182" t="inlineStr">
        <is>
          <t>2000-11-29</t>
        </is>
      </c>
      <c r="W182" t="inlineStr">
        <is>
          <t>1992-10-19</t>
        </is>
      </c>
      <c r="X182" t="inlineStr">
        <is>
          <t>1992-10-19</t>
        </is>
      </c>
      <c r="Y182" t="n">
        <v>270</v>
      </c>
      <c r="Z182" t="n">
        <v>212</v>
      </c>
      <c r="AA182" t="n">
        <v>215</v>
      </c>
      <c r="AB182" t="n">
        <v>2</v>
      </c>
      <c r="AC182" t="n">
        <v>2</v>
      </c>
      <c r="AD182" t="n">
        <v>6</v>
      </c>
      <c r="AE182" t="n">
        <v>6</v>
      </c>
      <c r="AF182" t="n">
        <v>1</v>
      </c>
      <c r="AG182" t="n">
        <v>1</v>
      </c>
      <c r="AH182" t="n">
        <v>2</v>
      </c>
      <c r="AI182" t="n">
        <v>2</v>
      </c>
      <c r="AJ182" t="n">
        <v>4</v>
      </c>
      <c r="AK182" t="n">
        <v>4</v>
      </c>
      <c r="AL182" t="n">
        <v>1</v>
      </c>
      <c r="AM182" t="n">
        <v>1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HYPERLINK("https://creighton-primo.hosted.exlibrisgroup.com/primo-explore/search?tab=default_tab&amp;search_scope=EVERYTHING&amp;vid=01CRU&amp;lang=en_US&amp;offset=0&amp;query=any,contains,991000457319702656","Catalog Record")</f>
        <v/>
      </c>
      <c r="AT182">
        <f>HYPERLINK("http://www.worldcat.org/oclc/10914836","WorldCat Record")</f>
        <v/>
      </c>
      <c r="AU182" t="inlineStr">
        <is>
          <t>3246413:eng</t>
        </is>
      </c>
      <c r="AV182" t="inlineStr">
        <is>
          <t>10914836</t>
        </is>
      </c>
      <c r="AW182" t="inlineStr">
        <is>
          <t>991000457319702656</t>
        </is>
      </c>
      <c r="AX182" t="inlineStr">
        <is>
          <t>991000457319702656</t>
        </is>
      </c>
      <c r="AY182" t="inlineStr">
        <is>
          <t>2255925180002656</t>
        </is>
      </c>
      <c r="AZ182" t="inlineStr">
        <is>
          <t>BOOK</t>
        </is>
      </c>
      <c r="BB182" t="inlineStr">
        <is>
          <t>9780841909526</t>
        </is>
      </c>
      <c r="BC182" t="inlineStr">
        <is>
          <t>32285001352045</t>
        </is>
      </c>
      <c r="BD182" t="inlineStr">
        <is>
          <t>893890693</t>
        </is>
      </c>
    </row>
    <row r="183">
      <c r="A183" t="inlineStr">
        <is>
          <t>No</t>
        </is>
      </c>
      <c r="B183" t="inlineStr">
        <is>
          <t>HT148.A2 A34 1989</t>
        </is>
      </c>
      <c r="C183" t="inlineStr">
        <is>
          <t>0                      HT 0148000A  2                  A  34          1989</t>
        </is>
      </c>
      <c r="D183" t="inlineStr">
        <is>
          <t>African cities in crisis : managing rapid urban growth / edited by Richard E. Stren and Rodney R. White.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L183" t="inlineStr">
        <is>
          <t>Boulder : Westview Press, 1989.</t>
        </is>
      </c>
      <c r="M183" t="inlineStr">
        <is>
          <t>1989</t>
        </is>
      </c>
      <c r="O183" t="inlineStr">
        <is>
          <t>eng</t>
        </is>
      </c>
      <c r="P183" t="inlineStr">
        <is>
          <t>cou</t>
        </is>
      </c>
      <c r="Q183" t="inlineStr">
        <is>
          <t>African modernization and development series</t>
        </is>
      </c>
      <c r="R183" t="inlineStr">
        <is>
          <t xml:space="preserve">HT </t>
        </is>
      </c>
      <c r="S183" t="n">
        <v>9</v>
      </c>
      <c r="T183" t="n">
        <v>9</v>
      </c>
      <c r="U183" t="inlineStr">
        <is>
          <t>2006-11-05</t>
        </is>
      </c>
      <c r="V183" t="inlineStr">
        <is>
          <t>2006-11-05</t>
        </is>
      </c>
      <c r="W183" t="inlineStr">
        <is>
          <t>1992-06-10</t>
        </is>
      </c>
      <c r="X183" t="inlineStr">
        <is>
          <t>1992-06-10</t>
        </is>
      </c>
      <c r="Y183" t="n">
        <v>422</v>
      </c>
      <c r="Z183" t="n">
        <v>288</v>
      </c>
      <c r="AA183" t="n">
        <v>303</v>
      </c>
      <c r="AB183" t="n">
        <v>2</v>
      </c>
      <c r="AC183" t="n">
        <v>2</v>
      </c>
      <c r="AD183" t="n">
        <v>10</v>
      </c>
      <c r="AE183" t="n">
        <v>10</v>
      </c>
      <c r="AF183" t="n">
        <v>3</v>
      </c>
      <c r="AG183" t="n">
        <v>3</v>
      </c>
      <c r="AH183" t="n">
        <v>5</v>
      </c>
      <c r="AI183" t="n">
        <v>5</v>
      </c>
      <c r="AJ183" t="n">
        <v>3</v>
      </c>
      <c r="AK183" t="n">
        <v>3</v>
      </c>
      <c r="AL183" t="n">
        <v>1</v>
      </c>
      <c r="AM183" t="n">
        <v>1</v>
      </c>
      <c r="AN183" t="n">
        <v>0</v>
      </c>
      <c r="AO183" t="n">
        <v>0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HYPERLINK("http://catalog.hathitrust.org/Record/001089164","HathiTrust Record")</f>
        <v/>
      </c>
      <c r="AS183">
        <f>HYPERLINK("https://creighton-primo.hosted.exlibrisgroup.com/primo-explore/search?tab=default_tab&amp;search_scope=EVERYTHING&amp;vid=01CRU&amp;lang=en_US&amp;offset=0&amp;query=any,contains,991001173849702656","Catalog Record")</f>
        <v/>
      </c>
      <c r="AT183">
        <f>HYPERLINK("http://www.worldcat.org/oclc/16984546","WorldCat Record")</f>
        <v/>
      </c>
      <c r="AU183" t="inlineStr">
        <is>
          <t>795465979:eng</t>
        </is>
      </c>
      <c r="AV183" t="inlineStr">
        <is>
          <t>16984546</t>
        </is>
      </c>
      <c r="AW183" t="inlineStr">
        <is>
          <t>991001173849702656</t>
        </is>
      </c>
      <c r="AX183" t="inlineStr">
        <is>
          <t>991001173849702656</t>
        </is>
      </c>
      <c r="AY183" t="inlineStr">
        <is>
          <t>2269705780002656</t>
        </is>
      </c>
      <c r="AZ183" t="inlineStr">
        <is>
          <t>BOOK</t>
        </is>
      </c>
      <c r="BB183" t="inlineStr">
        <is>
          <t>9780813374666</t>
        </is>
      </c>
      <c r="BC183" t="inlineStr">
        <is>
          <t>32285001127686</t>
        </is>
      </c>
      <c r="BD183" t="inlineStr">
        <is>
          <t>893621125</t>
        </is>
      </c>
    </row>
    <row r="184">
      <c r="A184" t="inlineStr">
        <is>
          <t>No</t>
        </is>
      </c>
      <c r="B184" t="inlineStr">
        <is>
          <t>HT148.A2 A87 2001</t>
        </is>
      </c>
      <c r="C184" t="inlineStr">
        <is>
          <t>0                      HT 0148000A  2                  A  87          2001</t>
        </is>
      </c>
      <c r="D184" t="inlineStr">
        <is>
          <t>Associational life in African cities : popular responses to the urban crisis / edited by Arne Tostensen, Inge Tvedten, Mariken Vaa.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L184" t="inlineStr">
        <is>
          <t>[Uppsala] : Nordiska Afrikainstitutet, c2001.</t>
        </is>
      </c>
      <c r="M184" t="inlineStr">
        <is>
          <t>2001</t>
        </is>
      </c>
      <c r="O184" t="inlineStr">
        <is>
          <t>eng</t>
        </is>
      </c>
      <c r="P184" t="inlineStr">
        <is>
          <t xml:space="preserve">sw </t>
        </is>
      </c>
      <c r="R184" t="inlineStr">
        <is>
          <t xml:space="preserve">HT </t>
        </is>
      </c>
      <c r="S184" t="n">
        <v>2</v>
      </c>
      <c r="T184" t="n">
        <v>2</v>
      </c>
      <c r="U184" t="inlineStr">
        <is>
          <t>2009-09-16</t>
        </is>
      </c>
      <c r="V184" t="inlineStr">
        <is>
          <t>2009-09-16</t>
        </is>
      </c>
      <c r="W184" t="inlineStr">
        <is>
          <t>2002-03-18</t>
        </is>
      </c>
      <c r="X184" t="inlineStr">
        <is>
          <t>2002-03-18</t>
        </is>
      </c>
      <c r="Y184" t="n">
        <v>166</v>
      </c>
      <c r="Z184" t="n">
        <v>117</v>
      </c>
      <c r="AA184" t="n">
        <v>122</v>
      </c>
      <c r="AB184" t="n">
        <v>1</v>
      </c>
      <c r="AC184" t="n">
        <v>1</v>
      </c>
      <c r="AD184" t="n">
        <v>5</v>
      </c>
      <c r="AE184" t="n">
        <v>5</v>
      </c>
      <c r="AF184" t="n">
        <v>1</v>
      </c>
      <c r="AG184" t="n">
        <v>1</v>
      </c>
      <c r="AH184" t="n">
        <v>3</v>
      </c>
      <c r="AI184" t="n">
        <v>3</v>
      </c>
      <c r="AJ184" t="n">
        <v>4</v>
      </c>
      <c r="AK184" t="n">
        <v>4</v>
      </c>
      <c r="AL184" t="n">
        <v>0</v>
      </c>
      <c r="AM184" t="n">
        <v>0</v>
      </c>
      <c r="AN184" t="n">
        <v>0</v>
      </c>
      <c r="AO184" t="n">
        <v>0</v>
      </c>
      <c r="AP184" t="inlineStr">
        <is>
          <t>No</t>
        </is>
      </c>
      <c r="AQ184" t="inlineStr">
        <is>
          <t>Yes</t>
        </is>
      </c>
      <c r="AR184">
        <f>HYPERLINK("http://catalog.hathitrust.org/Record/004201751","HathiTrust Record")</f>
        <v/>
      </c>
      <c r="AS184">
        <f>HYPERLINK("https://creighton-primo.hosted.exlibrisgroup.com/primo-explore/search?tab=default_tab&amp;search_scope=EVERYTHING&amp;vid=01CRU&amp;lang=en_US&amp;offset=0&amp;query=any,contains,991003726639702656","Catalog Record")</f>
        <v/>
      </c>
      <c r="AT184">
        <f>HYPERLINK("http://www.worldcat.org/oclc/47223223","WorldCat Record")</f>
        <v/>
      </c>
      <c r="AU184" t="inlineStr">
        <is>
          <t>837038404:eng</t>
        </is>
      </c>
      <c r="AV184" t="inlineStr">
        <is>
          <t>47223223</t>
        </is>
      </c>
      <c r="AW184" t="inlineStr">
        <is>
          <t>991003726639702656</t>
        </is>
      </c>
      <c r="AX184" t="inlineStr">
        <is>
          <t>991003726639702656</t>
        </is>
      </c>
      <c r="AY184" t="inlineStr">
        <is>
          <t>2264988970002656</t>
        </is>
      </c>
      <c r="AZ184" t="inlineStr">
        <is>
          <t>BOOK</t>
        </is>
      </c>
      <c r="BB184" t="inlineStr">
        <is>
          <t>9789171064653</t>
        </is>
      </c>
      <c r="BC184" t="inlineStr">
        <is>
          <t>32285004461819</t>
        </is>
      </c>
      <c r="BD184" t="inlineStr">
        <is>
          <t>893262891</t>
        </is>
      </c>
    </row>
    <row r="185">
      <c r="A185" t="inlineStr">
        <is>
          <t>No</t>
        </is>
      </c>
      <c r="B185" t="inlineStr">
        <is>
          <t>HT148.A2 E47</t>
        </is>
      </c>
      <c r="C185" t="inlineStr">
        <is>
          <t>0                      HT 0148000A  2                  E  47</t>
        </is>
      </c>
      <c r="D185" t="inlineStr">
        <is>
          <t>Urbanization, national development, and regional planning in Africa / edited by Salah El-Shakhs [and] Robert Obudho.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El-Shakhs, Salah, compiler.</t>
        </is>
      </c>
      <c r="L185" t="inlineStr">
        <is>
          <t>New York, Praeger Publishers [1974]</t>
        </is>
      </c>
      <c r="M185" t="inlineStr">
        <is>
          <t>1974</t>
        </is>
      </c>
      <c r="O185" t="inlineStr">
        <is>
          <t>eng</t>
        </is>
      </c>
      <c r="P185" t="inlineStr">
        <is>
          <t>nyu</t>
        </is>
      </c>
      <c r="Q185" t="inlineStr">
        <is>
          <t>Praeger special studies in international economics and development</t>
        </is>
      </c>
      <c r="R185" t="inlineStr">
        <is>
          <t xml:space="preserve">HT </t>
        </is>
      </c>
      <c r="S185" t="n">
        <v>3</v>
      </c>
      <c r="T185" t="n">
        <v>3</v>
      </c>
      <c r="U185" t="inlineStr">
        <is>
          <t>2006-11-05</t>
        </is>
      </c>
      <c r="V185" t="inlineStr">
        <is>
          <t>2006-11-05</t>
        </is>
      </c>
      <c r="W185" t="inlineStr">
        <is>
          <t>1997-03-05</t>
        </is>
      </c>
      <c r="X185" t="inlineStr">
        <is>
          <t>1997-03-05</t>
        </is>
      </c>
      <c r="Y185" t="n">
        <v>413</v>
      </c>
      <c r="Z185" t="n">
        <v>294</v>
      </c>
      <c r="AA185" t="n">
        <v>296</v>
      </c>
      <c r="AB185" t="n">
        <v>3</v>
      </c>
      <c r="AC185" t="n">
        <v>3</v>
      </c>
      <c r="AD185" t="n">
        <v>11</v>
      </c>
      <c r="AE185" t="n">
        <v>11</v>
      </c>
      <c r="AF185" t="n">
        <v>1</v>
      </c>
      <c r="AG185" t="n">
        <v>1</v>
      </c>
      <c r="AH185" t="n">
        <v>3</v>
      </c>
      <c r="AI185" t="n">
        <v>3</v>
      </c>
      <c r="AJ185" t="n">
        <v>6</v>
      </c>
      <c r="AK185" t="n">
        <v>6</v>
      </c>
      <c r="AL185" t="n">
        <v>2</v>
      </c>
      <c r="AM185" t="n">
        <v>2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HYPERLINK("http://catalog.hathitrust.org/Record/001129810","HathiTrust Record")</f>
        <v/>
      </c>
      <c r="AS185">
        <f>HYPERLINK("https://creighton-primo.hosted.exlibrisgroup.com/primo-explore/search?tab=default_tab&amp;search_scope=EVERYTHING&amp;vid=01CRU&amp;lang=en_US&amp;offset=0&amp;query=any,contains,991003220109702656","Catalog Record")</f>
        <v/>
      </c>
      <c r="AT185">
        <f>HYPERLINK("http://www.worldcat.org/oclc/745869","WorldCat Record")</f>
        <v/>
      </c>
      <c r="AU185" t="inlineStr">
        <is>
          <t>350535907:eng</t>
        </is>
      </c>
      <c r="AV185" t="inlineStr">
        <is>
          <t>745869</t>
        </is>
      </c>
      <c r="AW185" t="inlineStr">
        <is>
          <t>991003220109702656</t>
        </is>
      </c>
      <c r="AX185" t="inlineStr">
        <is>
          <t>991003220109702656</t>
        </is>
      </c>
      <c r="AY185" t="inlineStr">
        <is>
          <t>2268885400002656</t>
        </is>
      </c>
      <c r="AZ185" t="inlineStr">
        <is>
          <t>BOOK</t>
        </is>
      </c>
      <c r="BC185" t="inlineStr">
        <is>
          <t>32285002464179</t>
        </is>
      </c>
      <c r="BD185" t="inlineStr">
        <is>
          <t>893535384</t>
        </is>
      </c>
    </row>
    <row r="186">
      <c r="A186" t="inlineStr">
        <is>
          <t>No</t>
        </is>
      </c>
      <c r="B186" t="inlineStr">
        <is>
          <t>HT148.A2 R43 2004</t>
        </is>
      </c>
      <c r="C186" t="inlineStr">
        <is>
          <t>0                      HT 0148000A  2                  R  43          2004</t>
        </is>
      </c>
      <c r="D186" t="inlineStr">
        <is>
          <t>Reconsidering informality : perspectives from urban Africa / edited by Karen Tranberg Hansen and Mariken Vaa.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L186" t="inlineStr">
        <is>
          <t>Uppsala : Nordiska Afrikainstitutet, 2004.</t>
        </is>
      </c>
      <c r="M186" t="inlineStr">
        <is>
          <t>2004</t>
        </is>
      </c>
      <c r="O186" t="inlineStr">
        <is>
          <t>eng</t>
        </is>
      </c>
      <c r="P186" t="inlineStr">
        <is>
          <t xml:space="preserve">sw </t>
        </is>
      </c>
      <c r="R186" t="inlineStr">
        <is>
          <t xml:space="preserve">HT </t>
        </is>
      </c>
      <c r="S186" t="n">
        <v>2</v>
      </c>
      <c r="T186" t="n">
        <v>2</v>
      </c>
      <c r="U186" t="inlineStr">
        <is>
          <t>2005-10-06</t>
        </is>
      </c>
      <c r="V186" t="inlineStr">
        <is>
          <t>2005-10-06</t>
        </is>
      </c>
      <c r="W186" t="inlineStr">
        <is>
          <t>2005-10-06</t>
        </is>
      </c>
      <c r="X186" t="inlineStr">
        <is>
          <t>2005-10-06</t>
        </is>
      </c>
      <c r="Y186" t="n">
        <v>167</v>
      </c>
      <c r="Z186" t="n">
        <v>103</v>
      </c>
      <c r="AA186" t="n">
        <v>104</v>
      </c>
      <c r="AB186" t="n">
        <v>2</v>
      </c>
      <c r="AC186" t="n">
        <v>2</v>
      </c>
      <c r="AD186" t="n">
        <v>4</v>
      </c>
      <c r="AE186" t="n">
        <v>4</v>
      </c>
      <c r="AF186" t="n">
        <v>0</v>
      </c>
      <c r="AG186" t="n">
        <v>0</v>
      </c>
      <c r="AH186" t="n">
        <v>3</v>
      </c>
      <c r="AI186" t="n">
        <v>3</v>
      </c>
      <c r="AJ186" t="n">
        <v>2</v>
      </c>
      <c r="AK186" t="n">
        <v>2</v>
      </c>
      <c r="AL186" t="n">
        <v>1</v>
      </c>
      <c r="AM186" t="n">
        <v>1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HYPERLINK("https://creighton-primo.hosted.exlibrisgroup.com/primo-explore/search?tab=default_tab&amp;search_scope=EVERYTHING&amp;vid=01CRU&amp;lang=en_US&amp;offset=0&amp;query=any,contains,991004641479702656","Catalog Record")</f>
        <v/>
      </c>
      <c r="AT186">
        <f>HYPERLINK("http://www.worldcat.org/oclc/55746252","WorldCat Record")</f>
        <v/>
      </c>
      <c r="AU186" t="inlineStr">
        <is>
          <t>478577082:eng</t>
        </is>
      </c>
      <c r="AV186" t="inlineStr">
        <is>
          <t>55746252</t>
        </is>
      </c>
      <c r="AW186" t="inlineStr">
        <is>
          <t>991004641479702656</t>
        </is>
      </c>
      <c r="AX186" t="inlineStr">
        <is>
          <t>991004641479702656</t>
        </is>
      </c>
      <c r="AY186" t="inlineStr">
        <is>
          <t>2261886550002656</t>
        </is>
      </c>
      <c r="AZ186" t="inlineStr">
        <is>
          <t>BOOK</t>
        </is>
      </c>
      <c r="BB186" t="inlineStr">
        <is>
          <t>9789171065186</t>
        </is>
      </c>
      <c r="BC186" t="inlineStr">
        <is>
          <t>32285005088215</t>
        </is>
      </c>
      <c r="BD186" t="inlineStr">
        <is>
          <t>893782481</t>
        </is>
      </c>
    </row>
    <row r="187">
      <c r="A187" t="inlineStr">
        <is>
          <t>No</t>
        </is>
      </c>
      <c r="B187" t="inlineStr">
        <is>
          <t>HT148.A357 O25 1983</t>
        </is>
      </c>
      <c r="C187" t="inlineStr">
        <is>
          <t>0                      HT 0148000A  357                O  25          1983</t>
        </is>
      </c>
      <c r="D187" t="inlineStr">
        <is>
          <t>The African city / Anthony O'Connor.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O'Connor, Anthony M. (Anthony Michael)</t>
        </is>
      </c>
      <c r="L187" t="inlineStr">
        <is>
          <t>New York : African Pub. Co., 1983.</t>
        </is>
      </c>
      <c r="M187" t="inlineStr">
        <is>
          <t>1983</t>
        </is>
      </c>
      <c r="O187" t="inlineStr">
        <is>
          <t>eng</t>
        </is>
      </c>
      <c r="P187" t="inlineStr">
        <is>
          <t>nyu</t>
        </is>
      </c>
      <c r="R187" t="inlineStr">
        <is>
          <t xml:space="preserve">HT </t>
        </is>
      </c>
      <c r="S187" t="n">
        <v>4</v>
      </c>
      <c r="T187" t="n">
        <v>4</v>
      </c>
      <c r="U187" t="inlineStr">
        <is>
          <t>2003-02-15</t>
        </is>
      </c>
      <c r="V187" t="inlineStr">
        <is>
          <t>2003-02-15</t>
        </is>
      </c>
      <c r="W187" t="inlineStr">
        <is>
          <t>1993-05-06</t>
        </is>
      </c>
      <c r="X187" t="inlineStr">
        <is>
          <t>1993-05-06</t>
        </is>
      </c>
      <c r="Y187" t="n">
        <v>293</v>
      </c>
      <c r="Z187" t="n">
        <v>260</v>
      </c>
      <c r="AA187" t="n">
        <v>349</v>
      </c>
      <c r="AB187" t="n">
        <v>4</v>
      </c>
      <c r="AC187" t="n">
        <v>5</v>
      </c>
      <c r="AD187" t="n">
        <v>15</v>
      </c>
      <c r="AE187" t="n">
        <v>16</v>
      </c>
      <c r="AF187" t="n">
        <v>5</v>
      </c>
      <c r="AG187" t="n">
        <v>5</v>
      </c>
      <c r="AH187" t="n">
        <v>5</v>
      </c>
      <c r="AI187" t="n">
        <v>5</v>
      </c>
      <c r="AJ187" t="n">
        <v>7</v>
      </c>
      <c r="AK187" t="n">
        <v>7</v>
      </c>
      <c r="AL187" t="n">
        <v>3</v>
      </c>
      <c r="AM187" t="n">
        <v>4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HYPERLINK("http://catalog.hathitrust.org/Record/004400550","HathiTrust Record")</f>
        <v/>
      </c>
      <c r="AS187">
        <f>HYPERLINK("https://creighton-primo.hosted.exlibrisgroup.com/primo-explore/search?tab=default_tab&amp;search_scope=EVERYTHING&amp;vid=01CRU&amp;lang=en_US&amp;offset=0&amp;query=any,contains,991000214449702656","Catalog Record")</f>
        <v/>
      </c>
      <c r="AT187">
        <f>HYPERLINK("http://www.worldcat.org/oclc/9557243","WorldCat Record")</f>
        <v/>
      </c>
      <c r="AU187" t="inlineStr">
        <is>
          <t>24890927:eng</t>
        </is>
      </c>
      <c r="AV187" t="inlineStr">
        <is>
          <t>9557243</t>
        </is>
      </c>
      <c r="AW187" t="inlineStr">
        <is>
          <t>991000214449702656</t>
        </is>
      </c>
      <c r="AX187" t="inlineStr">
        <is>
          <t>991000214449702656</t>
        </is>
      </c>
      <c r="AY187" t="inlineStr">
        <is>
          <t>2266666120002656</t>
        </is>
      </c>
      <c r="AZ187" t="inlineStr">
        <is>
          <t>BOOK</t>
        </is>
      </c>
      <c r="BB187" t="inlineStr">
        <is>
          <t>9780841908826</t>
        </is>
      </c>
      <c r="BC187" t="inlineStr">
        <is>
          <t>32285001673366</t>
        </is>
      </c>
      <c r="BD187" t="inlineStr">
        <is>
          <t>893689534</t>
        </is>
      </c>
    </row>
    <row r="188">
      <c r="A188" t="inlineStr">
        <is>
          <t>No</t>
        </is>
      </c>
      <c r="B188" t="inlineStr">
        <is>
          <t>HT148.A357 S56 1992</t>
        </is>
      </c>
      <c r="C188" t="inlineStr">
        <is>
          <t>0                      HT 0148000A  357                S  56          1992</t>
        </is>
      </c>
      <c r="D188" t="inlineStr">
        <is>
          <t>Cities, capital and development : African cities in the world economy / David Simon.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Simon, David, 1957-</t>
        </is>
      </c>
      <c r="L188" t="inlineStr">
        <is>
          <t>London : Belhaven Press ; New York : Halsted Press, c1992.</t>
        </is>
      </c>
      <c r="M188" t="inlineStr">
        <is>
          <t>1992</t>
        </is>
      </c>
      <c r="O188" t="inlineStr">
        <is>
          <t>eng</t>
        </is>
      </c>
      <c r="P188" t="inlineStr">
        <is>
          <t>enk</t>
        </is>
      </c>
      <c r="R188" t="inlineStr">
        <is>
          <t xml:space="preserve">HT </t>
        </is>
      </c>
      <c r="S188" t="n">
        <v>7</v>
      </c>
      <c r="T188" t="n">
        <v>7</v>
      </c>
      <c r="U188" t="inlineStr">
        <is>
          <t>1997-03-04</t>
        </is>
      </c>
      <c r="V188" t="inlineStr">
        <is>
          <t>1997-03-04</t>
        </is>
      </c>
      <c r="W188" t="inlineStr">
        <is>
          <t>1993-11-11</t>
        </is>
      </c>
      <c r="X188" t="inlineStr">
        <is>
          <t>1993-11-11</t>
        </is>
      </c>
      <c r="Y188" t="n">
        <v>283</v>
      </c>
      <c r="Z188" t="n">
        <v>152</v>
      </c>
      <c r="AA188" t="n">
        <v>154</v>
      </c>
      <c r="AB188" t="n">
        <v>1</v>
      </c>
      <c r="AC188" t="n">
        <v>1</v>
      </c>
      <c r="AD188" t="n">
        <v>7</v>
      </c>
      <c r="AE188" t="n">
        <v>7</v>
      </c>
      <c r="AF188" t="n">
        <v>1</v>
      </c>
      <c r="AG188" t="n">
        <v>1</v>
      </c>
      <c r="AH188" t="n">
        <v>4</v>
      </c>
      <c r="AI188" t="n">
        <v>4</v>
      </c>
      <c r="AJ188" t="n">
        <v>3</v>
      </c>
      <c r="AK188" t="n">
        <v>3</v>
      </c>
      <c r="AL188" t="n">
        <v>0</v>
      </c>
      <c r="AM188" t="n">
        <v>0</v>
      </c>
      <c r="AN188" t="n">
        <v>0</v>
      </c>
      <c r="AO188" t="n">
        <v>0</v>
      </c>
      <c r="AP188" t="inlineStr">
        <is>
          <t>No</t>
        </is>
      </c>
      <c r="AQ188" t="inlineStr">
        <is>
          <t>Yes</t>
        </is>
      </c>
      <c r="AR188">
        <f>HYPERLINK("http://catalog.hathitrust.org/Record/002584698","HathiTrust Record")</f>
        <v/>
      </c>
      <c r="AS188">
        <f>HYPERLINK("https://creighton-primo.hosted.exlibrisgroup.com/primo-explore/search?tab=default_tab&amp;search_scope=EVERYTHING&amp;vid=01CRU&amp;lang=en_US&amp;offset=0&amp;query=any,contains,991002056849702656","Catalog Record")</f>
        <v/>
      </c>
      <c r="AT188">
        <f>HYPERLINK("http://www.worldcat.org/oclc/26304497","WorldCat Record")</f>
        <v/>
      </c>
      <c r="AU188" t="inlineStr">
        <is>
          <t>365163551:eng</t>
        </is>
      </c>
      <c r="AV188" t="inlineStr">
        <is>
          <t>26304497</t>
        </is>
      </c>
      <c r="AW188" t="inlineStr">
        <is>
          <t>991002056849702656</t>
        </is>
      </c>
      <c r="AX188" t="inlineStr">
        <is>
          <t>991002056849702656</t>
        </is>
      </c>
      <c r="AY188" t="inlineStr">
        <is>
          <t>2271749240002656</t>
        </is>
      </c>
      <c r="AZ188" t="inlineStr">
        <is>
          <t>BOOK</t>
        </is>
      </c>
      <c r="BB188" t="inlineStr">
        <is>
          <t>9780470219355</t>
        </is>
      </c>
      <c r="BC188" t="inlineStr">
        <is>
          <t>32285001810745</t>
        </is>
      </c>
      <c r="BD188" t="inlineStr">
        <is>
          <t>893328638</t>
        </is>
      </c>
    </row>
    <row r="189">
      <c r="A189" t="inlineStr">
        <is>
          <t>No</t>
        </is>
      </c>
      <c r="B189" t="inlineStr">
        <is>
          <t>HT148.I8 C6</t>
        </is>
      </c>
      <c r="C189" t="inlineStr">
        <is>
          <t>0                      HT 0148000I  8                  C  6</t>
        </is>
      </c>
      <c r="D189" t="inlineStr">
        <is>
          <t>Urban policy and political conflict in Africa : a study of the Ivory Coast / Michael A. Cohen.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Cohen, Michael A., 1944-</t>
        </is>
      </c>
      <c r="L189" t="inlineStr">
        <is>
          <t>Chicago : University of Chicago Press, 1974.</t>
        </is>
      </c>
      <c r="M189" t="inlineStr">
        <is>
          <t>1974</t>
        </is>
      </c>
      <c r="O189" t="inlineStr">
        <is>
          <t>eng</t>
        </is>
      </c>
      <c r="P189" t="inlineStr">
        <is>
          <t>ilu</t>
        </is>
      </c>
      <c r="R189" t="inlineStr">
        <is>
          <t xml:space="preserve">HT </t>
        </is>
      </c>
      <c r="S189" t="n">
        <v>1</v>
      </c>
      <c r="T189" t="n">
        <v>1</v>
      </c>
      <c r="U189" t="inlineStr">
        <is>
          <t>2001-12-04</t>
        </is>
      </c>
      <c r="V189" t="inlineStr">
        <is>
          <t>2001-12-04</t>
        </is>
      </c>
      <c r="W189" t="inlineStr">
        <is>
          <t>1997-08-18</t>
        </is>
      </c>
      <c r="X189" t="inlineStr">
        <is>
          <t>1997-08-18</t>
        </is>
      </c>
      <c r="Y189" t="n">
        <v>511</v>
      </c>
      <c r="Z189" t="n">
        <v>387</v>
      </c>
      <c r="AA189" t="n">
        <v>395</v>
      </c>
      <c r="AB189" t="n">
        <v>2</v>
      </c>
      <c r="AC189" t="n">
        <v>2</v>
      </c>
      <c r="AD189" t="n">
        <v>16</v>
      </c>
      <c r="AE189" t="n">
        <v>16</v>
      </c>
      <c r="AF189" t="n">
        <v>5</v>
      </c>
      <c r="AG189" t="n">
        <v>5</v>
      </c>
      <c r="AH189" t="n">
        <v>5</v>
      </c>
      <c r="AI189" t="n">
        <v>5</v>
      </c>
      <c r="AJ189" t="n">
        <v>9</v>
      </c>
      <c r="AK189" t="n">
        <v>9</v>
      </c>
      <c r="AL189" t="n">
        <v>1</v>
      </c>
      <c r="AM189" t="n">
        <v>1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HYPERLINK("https://creighton-primo.hosted.exlibrisgroup.com/primo-explore/search?tab=default_tab&amp;search_scope=EVERYTHING&amp;vid=01CRU&amp;lang=en_US&amp;offset=0&amp;query=any,contains,991003521199702656","Catalog Record")</f>
        <v/>
      </c>
      <c r="AT189">
        <f>HYPERLINK("http://www.worldcat.org/oclc/1082111","WorldCat Record")</f>
        <v/>
      </c>
      <c r="AU189" t="inlineStr">
        <is>
          <t>418033:eng</t>
        </is>
      </c>
      <c r="AV189" t="inlineStr">
        <is>
          <t>1082111</t>
        </is>
      </c>
      <c r="AW189" t="inlineStr">
        <is>
          <t>991003521199702656</t>
        </is>
      </c>
      <c r="AX189" t="inlineStr">
        <is>
          <t>991003521199702656</t>
        </is>
      </c>
      <c r="AY189" t="inlineStr">
        <is>
          <t>2265281310002656</t>
        </is>
      </c>
      <c r="AZ189" t="inlineStr">
        <is>
          <t>BOOK</t>
        </is>
      </c>
      <c r="BB189" t="inlineStr">
        <is>
          <t>9780226112237</t>
        </is>
      </c>
      <c r="BC189" t="inlineStr">
        <is>
          <t>32285003146296</t>
        </is>
      </c>
      <c r="BD189" t="inlineStr">
        <is>
          <t>893330376</t>
        </is>
      </c>
    </row>
    <row r="190">
      <c r="A190" t="inlineStr">
        <is>
          <t>No</t>
        </is>
      </c>
      <c r="B190" t="inlineStr">
        <is>
          <t>HT148.S6 H65 1991</t>
        </is>
      </c>
      <c r="C190" t="inlineStr">
        <is>
          <t>0                      HT 0148000S  6                  H  65          1991</t>
        </is>
      </c>
      <c r="D190" t="inlineStr">
        <is>
          <t>Homes apart : South Africa's segregated cities / edited by Anthony Lemon.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L190" t="inlineStr">
        <is>
          <t>London : P. Chapman Pub. ; Bloomington, Indianapolis : Indiana University Press, c1991.</t>
        </is>
      </c>
      <c r="M190" t="inlineStr">
        <is>
          <t>1991</t>
        </is>
      </c>
      <c r="O190" t="inlineStr">
        <is>
          <t>eng</t>
        </is>
      </c>
      <c r="P190" t="inlineStr">
        <is>
          <t xml:space="preserve">sa </t>
        </is>
      </c>
      <c r="R190" t="inlineStr">
        <is>
          <t xml:space="preserve">HT </t>
        </is>
      </c>
      <c r="S190" t="n">
        <v>4</v>
      </c>
      <c r="T190" t="n">
        <v>4</v>
      </c>
      <c r="U190" t="inlineStr">
        <is>
          <t>2001-03-02</t>
        </is>
      </c>
      <c r="V190" t="inlineStr">
        <is>
          <t>2001-03-02</t>
        </is>
      </c>
      <c r="W190" t="inlineStr">
        <is>
          <t>1992-01-21</t>
        </is>
      </c>
      <c r="X190" t="inlineStr">
        <is>
          <t>1992-01-21</t>
        </is>
      </c>
      <c r="Y190" t="n">
        <v>466</v>
      </c>
      <c r="Z190" t="n">
        <v>327</v>
      </c>
      <c r="AA190" t="n">
        <v>353</v>
      </c>
      <c r="AB190" t="n">
        <v>3</v>
      </c>
      <c r="AC190" t="n">
        <v>3</v>
      </c>
      <c r="AD190" t="n">
        <v>15</v>
      </c>
      <c r="AE190" t="n">
        <v>15</v>
      </c>
      <c r="AF190" t="n">
        <v>3</v>
      </c>
      <c r="AG190" t="n">
        <v>3</v>
      </c>
      <c r="AH190" t="n">
        <v>4</v>
      </c>
      <c r="AI190" t="n">
        <v>4</v>
      </c>
      <c r="AJ190" t="n">
        <v>8</v>
      </c>
      <c r="AK190" t="n">
        <v>8</v>
      </c>
      <c r="AL190" t="n">
        <v>2</v>
      </c>
      <c r="AM190" t="n">
        <v>2</v>
      </c>
      <c r="AN190" t="n">
        <v>1</v>
      </c>
      <c r="AO190" t="n">
        <v>1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HYPERLINK("http://catalog.hathitrust.org/Record/002485896","HathiTrust Record")</f>
        <v/>
      </c>
      <c r="AS190">
        <f>HYPERLINK("https://creighton-primo.hosted.exlibrisgroup.com/primo-explore/search?tab=default_tab&amp;search_scope=EVERYTHING&amp;vid=01CRU&amp;lang=en_US&amp;offset=0&amp;query=any,contains,991001893839702656","Catalog Record")</f>
        <v/>
      </c>
      <c r="AT190">
        <f>HYPERLINK("http://www.worldcat.org/oclc/23939513","WorldCat Record")</f>
        <v/>
      </c>
      <c r="AU190" t="inlineStr">
        <is>
          <t>836876042:eng</t>
        </is>
      </c>
      <c r="AV190" t="inlineStr">
        <is>
          <t>23939513</t>
        </is>
      </c>
      <c r="AW190" t="inlineStr">
        <is>
          <t>991001893839702656</t>
        </is>
      </c>
      <c r="AX190" t="inlineStr">
        <is>
          <t>991001893839702656</t>
        </is>
      </c>
      <c r="AY190" t="inlineStr">
        <is>
          <t>2258868010002656</t>
        </is>
      </c>
      <c r="AZ190" t="inlineStr">
        <is>
          <t>BOOK</t>
        </is>
      </c>
      <c r="BB190" t="inlineStr">
        <is>
          <t>9780864861993</t>
        </is>
      </c>
      <c r="BC190" t="inlineStr">
        <is>
          <t>32285000865542</t>
        </is>
      </c>
      <c r="BD190" t="inlineStr">
        <is>
          <t>893803973</t>
        </is>
      </c>
    </row>
    <row r="191">
      <c r="A191" t="inlineStr">
        <is>
          <t>No</t>
        </is>
      </c>
      <c r="B191" t="inlineStr">
        <is>
          <t>HT148.S8 H85 1976</t>
        </is>
      </c>
      <c r="C191" t="inlineStr">
        <is>
          <t>0                      HT 0148000S  8                  H  85          1976</t>
        </is>
      </c>
      <c r="D191" t="inlineStr">
        <is>
          <t>African cities and towns before the European conquest / by Richard W. Hull.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Hull, Richard W., 1940-</t>
        </is>
      </c>
      <c r="L191" t="inlineStr">
        <is>
          <t>New York : Norton, c1976.</t>
        </is>
      </c>
      <c r="M191" t="inlineStr">
        <is>
          <t>1976</t>
        </is>
      </c>
      <c r="N191" t="inlineStr">
        <is>
          <t>1st ed.</t>
        </is>
      </c>
      <c r="O191" t="inlineStr">
        <is>
          <t>eng</t>
        </is>
      </c>
      <c r="P191" t="inlineStr">
        <is>
          <t>nyu</t>
        </is>
      </c>
      <c r="R191" t="inlineStr">
        <is>
          <t xml:space="preserve">HT </t>
        </is>
      </c>
      <c r="S191" t="n">
        <v>1</v>
      </c>
      <c r="T191" t="n">
        <v>1</v>
      </c>
      <c r="U191" t="inlineStr">
        <is>
          <t>2002-07-09</t>
        </is>
      </c>
      <c r="V191" t="inlineStr">
        <is>
          <t>2002-07-09</t>
        </is>
      </c>
      <c r="W191" t="inlineStr">
        <is>
          <t>1997-11-03</t>
        </is>
      </c>
      <c r="X191" t="inlineStr">
        <is>
          <t>1997-11-03</t>
        </is>
      </c>
      <c r="Y191" t="n">
        <v>892</v>
      </c>
      <c r="Z191" t="n">
        <v>770</v>
      </c>
      <c r="AA191" t="n">
        <v>770</v>
      </c>
      <c r="AB191" t="n">
        <v>4</v>
      </c>
      <c r="AC191" t="n">
        <v>4</v>
      </c>
      <c r="AD191" t="n">
        <v>21</v>
      </c>
      <c r="AE191" t="n">
        <v>21</v>
      </c>
      <c r="AF191" t="n">
        <v>8</v>
      </c>
      <c r="AG191" t="n">
        <v>8</v>
      </c>
      <c r="AH191" t="n">
        <v>5</v>
      </c>
      <c r="AI191" t="n">
        <v>5</v>
      </c>
      <c r="AJ191" t="n">
        <v>12</v>
      </c>
      <c r="AK191" t="n">
        <v>12</v>
      </c>
      <c r="AL191" t="n">
        <v>3</v>
      </c>
      <c r="AM191" t="n">
        <v>3</v>
      </c>
      <c r="AN191" t="n">
        <v>0</v>
      </c>
      <c r="AO191" t="n">
        <v>0</v>
      </c>
      <c r="AP191" t="inlineStr">
        <is>
          <t>No</t>
        </is>
      </c>
      <c r="AQ191" t="inlineStr">
        <is>
          <t>No</t>
        </is>
      </c>
      <c r="AS191">
        <f>HYPERLINK("https://creighton-primo.hosted.exlibrisgroup.com/primo-explore/search?tab=default_tab&amp;search_scope=EVERYTHING&amp;vid=01CRU&amp;lang=en_US&amp;offset=0&amp;query=any,contains,991004046949702656","Catalog Record")</f>
        <v/>
      </c>
      <c r="AT191">
        <f>HYPERLINK("http://www.worldcat.org/oclc/2202554","WorldCat Record")</f>
        <v/>
      </c>
      <c r="AU191" t="inlineStr">
        <is>
          <t>460146:eng</t>
        </is>
      </c>
      <c r="AV191" t="inlineStr">
        <is>
          <t>2202554</t>
        </is>
      </c>
      <c r="AW191" t="inlineStr">
        <is>
          <t>991004046949702656</t>
        </is>
      </c>
      <c r="AX191" t="inlineStr">
        <is>
          <t>991004046949702656</t>
        </is>
      </c>
      <c r="AY191" t="inlineStr">
        <is>
          <t>2258694250002656</t>
        </is>
      </c>
      <c r="AZ191" t="inlineStr">
        <is>
          <t>BOOK</t>
        </is>
      </c>
      <c r="BB191" t="inlineStr">
        <is>
          <t>9780393055818</t>
        </is>
      </c>
      <c r="BC191" t="inlineStr">
        <is>
          <t>32285003259982</t>
        </is>
      </c>
      <c r="BD191" t="inlineStr">
        <is>
          <t>893318735</t>
        </is>
      </c>
    </row>
    <row r="192">
      <c r="A192" t="inlineStr">
        <is>
          <t>No</t>
        </is>
      </c>
      <c r="B192" t="inlineStr">
        <is>
          <t>HT149.5 .U7337 1996</t>
        </is>
      </c>
      <c r="C192" t="inlineStr">
        <is>
          <t>0                      HT 0149500U  7337        1996</t>
        </is>
      </c>
      <c r="D192" t="inlineStr">
        <is>
          <t>The Urban transformation of the developing world / edited by Josef Gugler.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L192" t="inlineStr">
        <is>
          <t>Oxford ; New York : Oxford University Press, 1996.</t>
        </is>
      </c>
      <c r="M192" t="inlineStr">
        <is>
          <t>1996</t>
        </is>
      </c>
      <c r="O192" t="inlineStr">
        <is>
          <t>eng</t>
        </is>
      </c>
      <c r="P192" t="inlineStr">
        <is>
          <t>enk</t>
        </is>
      </c>
      <c r="R192" t="inlineStr">
        <is>
          <t xml:space="preserve">HT </t>
        </is>
      </c>
      <c r="S192" t="n">
        <v>4</v>
      </c>
      <c r="T192" t="n">
        <v>4</v>
      </c>
      <c r="U192" t="inlineStr">
        <is>
          <t>1998-12-21</t>
        </is>
      </c>
      <c r="V192" t="inlineStr">
        <is>
          <t>1998-12-21</t>
        </is>
      </c>
      <c r="W192" t="inlineStr">
        <is>
          <t>1998-04-16</t>
        </is>
      </c>
      <c r="X192" t="inlineStr">
        <is>
          <t>1998-04-16</t>
        </is>
      </c>
      <c r="Y192" t="n">
        <v>566</v>
      </c>
      <c r="Z192" t="n">
        <v>416</v>
      </c>
      <c r="AA192" t="n">
        <v>1227</v>
      </c>
      <c r="AB192" t="n">
        <v>4</v>
      </c>
      <c r="AC192" t="n">
        <v>5</v>
      </c>
      <c r="AD192" t="n">
        <v>28</v>
      </c>
      <c r="AE192" t="n">
        <v>36</v>
      </c>
      <c r="AF192" t="n">
        <v>13</v>
      </c>
      <c r="AG192" t="n">
        <v>18</v>
      </c>
      <c r="AH192" t="n">
        <v>6</v>
      </c>
      <c r="AI192" t="n">
        <v>7</v>
      </c>
      <c r="AJ192" t="n">
        <v>16</v>
      </c>
      <c r="AK192" t="n">
        <v>18</v>
      </c>
      <c r="AL192" t="n">
        <v>3</v>
      </c>
      <c r="AM192" t="n">
        <v>4</v>
      </c>
      <c r="AN192" t="n">
        <v>0</v>
      </c>
      <c r="AO192" t="n">
        <v>0</v>
      </c>
      <c r="AP192" t="inlineStr">
        <is>
          <t>No</t>
        </is>
      </c>
      <c r="AQ192" t="inlineStr">
        <is>
          <t>Yes</t>
        </is>
      </c>
      <c r="AR192">
        <f>HYPERLINK("http://catalog.hathitrust.org/Record/003082210","HathiTrust Record")</f>
        <v/>
      </c>
      <c r="AS192">
        <f>HYPERLINK("https://creighton-primo.hosted.exlibrisgroup.com/primo-explore/search?tab=default_tab&amp;search_scope=EVERYTHING&amp;vid=01CRU&amp;lang=en_US&amp;offset=0&amp;query=any,contains,991002530309702656","Catalog Record")</f>
        <v/>
      </c>
      <c r="AT192">
        <f>HYPERLINK("http://www.worldcat.org/oclc/32892345","WorldCat Record")</f>
        <v/>
      </c>
      <c r="AU192" t="inlineStr">
        <is>
          <t>864037823:eng</t>
        </is>
      </c>
      <c r="AV192" t="inlineStr">
        <is>
          <t>32892345</t>
        </is>
      </c>
      <c r="AW192" t="inlineStr">
        <is>
          <t>991002530309702656</t>
        </is>
      </c>
      <c r="AX192" t="inlineStr">
        <is>
          <t>991002530309702656</t>
        </is>
      </c>
      <c r="AY192" t="inlineStr">
        <is>
          <t>2255175960002656</t>
        </is>
      </c>
      <c r="AZ192" t="inlineStr">
        <is>
          <t>BOOK</t>
        </is>
      </c>
      <c r="BB192" t="inlineStr">
        <is>
          <t>9780198741589</t>
        </is>
      </c>
      <c r="BC192" t="inlineStr">
        <is>
          <t>32285003375291</t>
        </is>
      </c>
      <c r="BD192" t="inlineStr">
        <is>
          <t>893691713</t>
        </is>
      </c>
    </row>
    <row r="193">
      <c r="A193" t="inlineStr">
        <is>
          <t>No</t>
        </is>
      </c>
      <c r="B193" t="inlineStr">
        <is>
          <t>HT1507 .S48 1994</t>
        </is>
      </c>
      <c r="C193" t="inlineStr">
        <is>
          <t>0                      HT 1507000S  48          1994</t>
        </is>
      </c>
      <c r="D193" t="inlineStr">
        <is>
          <t>The evolution of racism : human differences and the use and abuse of science / Pat Shipman.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Shipman, Pat, 1949-</t>
        </is>
      </c>
      <c r="L193" t="inlineStr">
        <is>
          <t>New York : Simon &amp; Schuster, c1994.</t>
        </is>
      </c>
      <c r="M193" t="inlineStr">
        <is>
          <t>1994</t>
        </is>
      </c>
      <c r="O193" t="inlineStr">
        <is>
          <t>eng</t>
        </is>
      </c>
      <c r="P193" t="inlineStr">
        <is>
          <t>nyu</t>
        </is>
      </c>
      <c r="R193" t="inlineStr">
        <is>
          <t xml:space="preserve">HT </t>
        </is>
      </c>
      <c r="S193" t="n">
        <v>13</v>
      </c>
      <c r="T193" t="n">
        <v>13</v>
      </c>
      <c r="U193" t="inlineStr">
        <is>
          <t>1997-09-15</t>
        </is>
      </c>
      <c r="V193" t="inlineStr">
        <is>
          <t>1997-09-15</t>
        </is>
      </c>
      <c r="W193" t="inlineStr">
        <is>
          <t>1994-09-16</t>
        </is>
      </c>
      <c r="X193" t="inlineStr">
        <is>
          <t>1994-09-16</t>
        </is>
      </c>
      <c r="Y193" t="n">
        <v>1195</v>
      </c>
      <c r="Z193" t="n">
        <v>1067</v>
      </c>
      <c r="AA193" t="n">
        <v>1074</v>
      </c>
      <c r="AB193" t="n">
        <v>4</v>
      </c>
      <c r="AC193" t="n">
        <v>4</v>
      </c>
      <c r="AD193" t="n">
        <v>35</v>
      </c>
      <c r="AE193" t="n">
        <v>35</v>
      </c>
      <c r="AF193" t="n">
        <v>15</v>
      </c>
      <c r="AG193" t="n">
        <v>15</v>
      </c>
      <c r="AH193" t="n">
        <v>8</v>
      </c>
      <c r="AI193" t="n">
        <v>8</v>
      </c>
      <c r="AJ193" t="n">
        <v>20</v>
      </c>
      <c r="AK193" t="n">
        <v>20</v>
      </c>
      <c r="AL193" t="n">
        <v>3</v>
      </c>
      <c r="AM193" t="n">
        <v>3</v>
      </c>
      <c r="AN193" t="n">
        <v>1</v>
      </c>
      <c r="AO193" t="n">
        <v>1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HYPERLINK("https://creighton-primo.hosted.exlibrisgroup.com/primo-explore/search?tab=default_tab&amp;search_scope=EVERYTHING&amp;vid=01CRU&amp;lang=en_US&amp;offset=0&amp;query=any,contains,991002300199702656","Catalog Record")</f>
        <v/>
      </c>
      <c r="AT193">
        <f>HYPERLINK("http://www.worldcat.org/oclc/29845441","WorldCat Record")</f>
        <v/>
      </c>
      <c r="AU193" t="inlineStr">
        <is>
          <t>10627765399:eng</t>
        </is>
      </c>
      <c r="AV193" t="inlineStr">
        <is>
          <t>29845441</t>
        </is>
      </c>
      <c r="AW193" t="inlineStr">
        <is>
          <t>991002300199702656</t>
        </is>
      </c>
      <c r="AX193" t="inlineStr">
        <is>
          <t>991002300199702656</t>
        </is>
      </c>
      <c r="AY193" t="inlineStr">
        <is>
          <t>2265612240002656</t>
        </is>
      </c>
      <c r="AZ193" t="inlineStr">
        <is>
          <t>BOOK</t>
        </is>
      </c>
      <c r="BB193" t="inlineStr">
        <is>
          <t>9780671754600</t>
        </is>
      </c>
      <c r="BC193" t="inlineStr">
        <is>
          <t>32285001945921</t>
        </is>
      </c>
      <c r="BD193" t="inlineStr">
        <is>
          <t>893347335</t>
        </is>
      </c>
    </row>
    <row r="194">
      <c r="A194" t="inlineStr">
        <is>
          <t>No</t>
        </is>
      </c>
      <c r="B194" t="inlineStr">
        <is>
          <t>HT151 .B66</t>
        </is>
      </c>
      <c r="C194" t="inlineStr">
        <is>
          <t>0                      HT 0151000B  66</t>
        </is>
      </c>
      <c r="D194" t="inlineStr">
        <is>
          <t>Urbanization in newly developing countries [by] Gerald Breese.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Breese, Gerald William.</t>
        </is>
      </c>
      <c r="L194" t="inlineStr">
        <is>
          <t>Englewood Cliffs, N.J., Prentice-Hall [1966]</t>
        </is>
      </c>
      <c r="M194" t="inlineStr">
        <is>
          <t>1966</t>
        </is>
      </c>
      <c r="O194" t="inlineStr">
        <is>
          <t>eng</t>
        </is>
      </c>
      <c r="P194" t="inlineStr">
        <is>
          <t>nju</t>
        </is>
      </c>
      <c r="Q194" t="inlineStr">
        <is>
          <t>Modernization of traditional societies series</t>
        </is>
      </c>
      <c r="R194" t="inlineStr">
        <is>
          <t xml:space="preserve">HT </t>
        </is>
      </c>
      <c r="S194" t="n">
        <v>2</v>
      </c>
      <c r="T194" t="n">
        <v>2</v>
      </c>
      <c r="U194" t="inlineStr">
        <is>
          <t>1998-12-21</t>
        </is>
      </c>
      <c r="V194" t="inlineStr">
        <is>
          <t>1998-12-21</t>
        </is>
      </c>
      <c r="W194" t="inlineStr">
        <is>
          <t>1997-08-18</t>
        </is>
      </c>
      <c r="X194" t="inlineStr">
        <is>
          <t>1997-08-18</t>
        </is>
      </c>
      <c r="Y194" t="n">
        <v>1006</v>
      </c>
      <c r="Z194" t="n">
        <v>722</v>
      </c>
      <c r="AA194" t="n">
        <v>730</v>
      </c>
      <c r="AB194" t="n">
        <v>4</v>
      </c>
      <c r="AC194" t="n">
        <v>4</v>
      </c>
      <c r="AD194" t="n">
        <v>32</v>
      </c>
      <c r="AE194" t="n">
        <v>32</v>
      </c>
      <c r="AF194" t="n">
        <v>12</v>
      </c>
      <c r="AG194" t="n">
        <v>12</v>
      </c>
      <c r="AH194" t="n">
        <v>5</v>
      </c>
      <c r="AI194" t="n">
        <v>5</v>
      </c>
      <c r="AJ194" t="n">
        <v>18</v>
      </c>
      <c r="AK194" t="n">
        <v>18</v>
      </c>
      <c r="AL194" t="n">
        <v>3</v>
      </c>
      <c r="AM194" t="n">
        <v>3</v>
      </c>
      <c r="AN194" t="n">
        <v>3</v>
      </c>
      <c r="AO194" t="n">
        <v>3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HYPERLINK("http://catalog.hathitrust.org/Record/001129839","HathiTrust Record")</f>
        <v/>
      </c>
      <c r="AS194">
        <f>HYPERLINK("https://creighton-primo.hosted.exlibrisgroup.com/primo-explore/search?tab=default_tab&amp;search_scope=EVERYTHING&amp;vid=01CRU&amp;lang=en_US&amp;offset=0&amp;query=any,contains,991002042569702656","Catalog Record")</f>
        <v/>
      </c>
      <c r="AT194">
        <f>HYPERLINK("http://www.worldcat.org/oclc/261227","WorldCat Record")</f>
        <v/>
      </c>
      <c r="AU194" t="inlineStr">
        <is>
          <t>3856220014:eng</t>
        </is>
      </c>
      <c r="AV194" t="inlineStr">
        <is>
          <t>261227</t>
        </is>
      </c>
      <c r="AW194" t="inlineStr">
        <is>
          <t>991002042569702656</t>
        </is>
      </c>
      <c r="AX194" t="inlineStr">
        <is>
          <t>991002042569702656</t>
        </is>
      </c>
      <c r="AY194" t="inlineStr">
        <is>
          <t>2265638850002656</t>
        </is>
      </c>
      <c r="AZ194" t="inlineStr">
        <is>
          <t>BOOK</t>
        </is>
      </c>
      <c r="BC194" t="inlineStr">
        <is>
          <t>32285003146353</t>
        </is>
      </c>
      <c r="BD194" t="inlineStr">
        <is>
          <t>893898313</t>
        </is>
      </c>
    </row>
    <row r="195">
      <c r="A195" t="inlineStr">
        <is>
          <t>No</t>
        </is>
      </c>
      <c r="B195" t="inlineStr">
        <is>
          <t>HT151 .B759 1996</t>
        </is>
      </c>
      <c r="C195" t="inlineStr">
        <is>
          <t>0                      HT 0151000B  759         1996</t>
        </is>
      </c>
      <c r="D195" t="inlineStr">
        <is>
          <t>Good neighborhoods : a study of in-town &amp; suburban residential environments / Sidney Brower.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Brower, Sidney N.</t>
        </is>
      </c>
      <c r="L195" t="inlineStr">
        <is>
          <t>Westport, Conn. : Praeger, 1996.</t>
        </is>
      </c>
      <c r="M195" t="inlineStr">
        <is>
          <t>1996</t>
        </is>
      </c>
      <c r="O195" t="inlineStr">
        <is>
          <t>eng</t>
        </is>
      </c>
      <c r="P195" t="inlineStr">
        <is>
          <t>ctu</t>
        </is>
      </c>
      <c r="R195" t="inlineStr">
        <is>
          <t xml:space="preserve">HT </t>
        </is>
      </c>
      <c r="S195" t="n">
        <v>2</v>
      </c>
      <c r="T195" t="n">
        <v>2</v>
      </c>
      <c r="U195" t="inlineStr">
        <is>
          <t>2006-11-17</t>
        </is>
      </c>
      <c r="V195" t="inlineStr">
        <is>
          <t>2006-11-17</t>
        </is>
      </c>
      <c r="W195" t="inlineStr">
        <is>
          <t>1997-12-02</t>
        </is>
      </c>
      <c r="X195" t="inlineStr">
        <is>
          <t>1997-12-02</t>
        </is>
      </c>
      <c r="Y195" t="n">
        <v>425</v>
      </c>
      <c r="Z195" t="n">
        <v>358</v>
      </c>
      <c r="AA195" t="n">
        <v>388</v>
      </c>
      <c r="AB195" t="n">
        <v>5</v>
      </c>
      <c r="AC195" t="n">
        <v>6</v>
      </c>
      <c r="AD195" t="n">
        <v>19</v>
      </c>
      <c r="AE195" t="n">
        <v>20</v>
      </c>
      <c r="AF195" t="n">
        <v>6</v>
      </c>
      <c r="AG195" t="n">
        <v>6</v>
      </c>
      <c r="AH195" t="n">
        <v>6</v>
      </c>
      <c r="AI195" t="n">
        <v>6</v>
      </c>
      <c r="AJ195" t="n">
        <v>10</v>
      </c>
      <c r="AK195" t="n">
        <v>10</v>
      </c>
      <c r="AL195" t="n">
        <v>4</v>
      </c>
      <c r="AM195" t="n">
        <v>5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HYPERLINK("http://catalog.hathitrust.org/Record/003120362","HathiTrust Record")</f>
        <v/>
      </c>
      <c r="AS195">
        <f>HYPERLINK("https://creighton-primo.hosted.exlibrisgroup.com/primo-explore/search?tab=default_tab&amp;search_scope=EVERYTHING&amp;vid=01CRU&amp;lang=en_US&amp;offset=0&amp;query=any,contains,991002583619702656","Catalog Record")</f>
        <v/>
      </c>
      <c r="AT195">
        <f>HYPERLINK("http://www.worldcat.org/oclc/33863498","WorldCat Record")</f>
        <v/>
      </c>
      <c r="AU195" t="inlineStr">
        <is>
          <t>2575225:eng</t>
        </is>
      </c>
      <c r="AV195" t="inlineStr">
        <is>
          <t>33863498</t>
        </is>
      </c>
      <c r="AW195" t="inlineStr">
        <is>
          <t>991002583619702656</t>
        </is>
      </c>
      <c r="AX195" t="inlineStr">
        <is>
          <t>991002583619702656</t>
        </is>
      </c>
      <c r="AY195" t="inlineStr">
        <is>
          <t>2262626200002656</t>
        </is>
      </c>
      <c r="AZ195" t="inlineStr">
        <is>
          <t>BOOK</t>
        </is>
      </c>
      <c r="BB195" t="inlineStr">
        <is>
          <t>9780275951818</t>
        </is>
      </c>
      <c r="BC195" t="inlineStr">
        <is>
          <t>32285003280558</t>
        </is>
      </c>
      <c r="BD195" t="inlineStr">
        <is>
          <t>893523800</t>
        </is>
      </c>
    </row>
    <row r="196">
      <c r="A196" t="inlineStr">
        <is>
          <t>No</t>
        </is>
      </c>
      <c r="B196" t="inlineStr">
        <is>
          <t>HT151 .C3</t>
        </is>
      </c>
      <c r="C196" t="inlineStr">
        <is>
          <t>0                      HT 0151000C  3</t>
        </is>
      </c>
      <c r="D196" t="inlineStr">
        <is>
          <t>The sociology of city life, by Niles Carpenter.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Carpenter, Niles, 1891-1971.</t>
        </is>
      </c>
      <c r="L196" t="inlineStr">
        <is>
          <t>New York Longmans, Green and Co., 1931.</t>
        </is>
      </c>
      <c r="M196" t="inlineStr">
        <is>
          <t>1931</t>
        </is>
      </c>
      <c r="O196" t="inlineStr">
        <is>
          <t>eng</t>
        </is>
      </c>
      <c r="P196" t="inlineStr">
        <is>
          <t>nyu</t>
        </is>
      </c>
      <c r="Q196" t="inlineStr">
        <is>
          <t>Longmans' social science series</t>
        </is>
      </c>
      <c r="R196" t="inlineStr">
        <is>
          <t xml:space="preserve">HT </t>
        </is>
      </c>
      <c r="S196" t="n">
        <v>1</v>
      </c>
      <c r="T196" t="n">
        <v>1</v>
      </c>
      <c r="U196" t="inlineStr">
        <is>
          <t>2001-01-28</t>
        </is>
      </c>
      <c r="V196" t="inlineStr">
        <is>
          <t>2001-01-28</t>
        </is>
      </c>
      <c r="W196" t="inlineStr">
        <is>
          <t>1997-08-19</t>
        </is>
      </c>
      <c r="X196" t="inlineStr">
        <is>
          <t>1997-08-19</t>
        </is>
      </c>
      <c r="Y196" t="n">
        <v>206</v>
      </c>
      <c r="Z196" t="n">
        <v>177</v>
      </c>
      <c r="AA196" t="n">
        <v>284</v>
      </c>
      <c r="AB196" t="n">
        <v>2</v>
      </c>
      <c r="AC196" t="n">
        <v>2</v>
      </c>
      <c r="AD196" t="n">
        <v>12</v>
      </c>
      <c r="AE196" t="n">
        <v>20</v>
      </c>
      <c r="AF196" t="n">
        <v>5</v>
      </c>
      <c r="AG196" t="n">
        <v>8</v>
      </c>
      <c r="AH196" t="n">
        <v>3</v>
      </c>
      <c r="AI196" t="n">
        <v>3</v>
      </c>
      <c r="AJ196" t="n">
        <v>8</v>
      </c>
      <c r="AK196" t="n">
        <v>15</v>
      </c>
      <c r="AL196" t="n">
        <v>1</v>
      </c>
      <c r="AM196" t="n">
        <v>1</v>
      </c>
      <c r="AN196" t="n">
        <v>0</v>
      </c>
      <c r="AO196" t="n">
        <v>0</v>
      </c>
      <c r="AP196" t="inlineStr">
        <is>
          <t>Yes</t>
        </is>
      </c>
      <c r="AQ196" t="inlineStr">
        <is>
          <t>No</t>
        </is>
      </c>
      <c r="AR196">
        <f>HYPERLINK("http://catalog.hathitrust.org/Record/006556348","HathiTrust Record")</f>
        <v/>
      </c>
      <c r="AS196">
        <f>HYPERLINK("https://creighton-primo.hosted.exlibrisgroup.com/primo-explore/search?tab=default_tab&amp;search_scope=EVERYTHING&amp;vid=01CRU&amp;lang=en_US&amp;offset=0&amp;query=any,contains,991003349059702656","Catalog Record")</f>
        <v/>
      </c>
      <c r="AT196">
        <f>HYPERLINK("http://www.worldcat.org/oclc/881279","WorldCat Record")</f>
        <v/>
      </c>
      <c r="AU196" t="inlineStr">
        <is>
          <t>207309098:eng</t>
        </is>
      </c>
      <c r="AV196" t="inlineStr">
        <is>
          <t>881279</t>
        </is>
      </c>
      <c r="AW196" t="inlineStr">
        <is>
          <t>991003349059702656</t>
        </is>
      </c>
      <c r="AX196" t="inlineStr">
        <is>
          <t>991003349059702656</t>
        </is>
      </c>
      <c r="AY196" t="inlineStr">
        <is>
          <t>2259675270002656</t>
        </is>
      </c>
      <c r="AZ196" t="inlineStr">
        <is>
          <t>BOOK</t>
        </is>
      </c>
      <c r="BC196" t="inlineStr">
        <is>
          <t>32285003146387</t>
        </is>
      </c>
      <c r="BD196" t="inlineStr">
        <is>
          <t>893887392</t>
        </is>
      </c>
    </row>
    <row r="197">
      <c r="A197" t="inlineStr">
        <is>
          <t>No</t>
        </is>
      </c>
      <c r="B197" t="inlineStr">
        <is>
          <t>HT151 .C582 1982</t>
        </is>
      </c>
      <c r="C197" t="inlineStr">
        <is>
          <t>0                      HT 0151000C  582         1982</t>
        </is>
      </c>
      <c r="D197" t="inlineStr">
        <is>
          <t>City, class, and capital : new developments in the political economy of cities and regions / edited by Michael Harloe and Elizabeth Lebas ; sponsored by the International Sociological Association Research Committee on the Sociology of Urban and Regional Development.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L197" t="inlineStr">
        <is>
          <t>New York : Holmes &amp; Meier, 1982, c1981.</t>
        </is>
      </c>
      <c r="M197" t="inlineStr">
        <is>
          <t>1982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HT </t>
        </is>
      </c>
      <c r="S197" t="n">
        <v>4</v>
      </c>
      <c r="T197" t="n">
        <v>4</v>
      </c>
      <c r="U197" t="inlineStr">
        <is>
          <t>1995-03-17</t>
        </is>
      </c>
      <c r="V197" t="inlineStr">
        <is>
          <t>1995-03-17</t>
        </is>
      </c>
      <c r="W197" t="inlineStr">
        <is>
          <t>1990-07-13</t>
        </is>
      </c>
      <c r="X197" t="inlineStr">
        <is>
          <t>1990-07-13</t>
        </is>
      </c>
      <c r="Y197" t="n">
        <v>134</v>
      </c>
      <c r="Z197" t="n">
        <v>114</v>
      </c>
      <c r="AA197" t="n">
        <v>168</v>
      </c>
      <c r="AB197" t="n">
        <v>2</v>
      </c>
      <c r="AC197" t="n">
        <v>2</v>
      </c>
      <c r="AD197" t="n">
        <v>6</v>
      </c>
      <c r="AE197" t="n">
        <v>6</v>
      </c>
      <c r="AF197" t="n">
        <v>1</v>
      </c>
      <c r="AG197" t="n">
        <v>1</v>
      </c>
      <c r="AH197" t="n">
        <v>3</v>
      </c>
      <c r="AI197" t="n">
        <v>3</v>
      </c>
      <c r="AJ197" t="n">
        <v>3</v>
      </c>
      <c r="AK197" t="n">
        <v>3</v>
      </c>
      <c r="AL197" t="n">
        <v>1</v>
      </c>
      <c r="AM197" t="n">
        <v>1</v>
      </c>
      <c r="AN197" t="n">
        <v>0</v>
      </c>
      <c r="AO197" t="n">
        <v>0</v>
      </c>
      <c r="AP197" t="inlineStr">
        <is>
          <t>No</t>
        </is>
      </c>
      <c r="AQ197" t="inlineStr">
        <is>
          <t>No</t>
        </is>
      </c>
      <c r="AS197">
        <f>HYPERLINK("https://creighton-primo.hosted.exlibrisgroup.com/primo-explore/search?tab=default_tab&amp;search_scope=EVERYTHING&amp;vid=01CRU&amp;lang=en_US&amp;offset=0&amp;query=any,contains,991005217319702656","Catalog Record")</f>
        <v/>
      </c>
      <c r="AT197">
        <f>HYPERLINK("http://www.worldcat.org/oclc/8195536","WorldCat Record")</f>
        <v/>
      </c>
      <c r="AU197" t="inlineStr">
        <is>
          <t>836683362:eng</t>
        </is>
      </c>
      <c r="AV197" t="inlineStr">
        <is>
          <t>8195536</t>
        </is>
      </c>
      <c r="AW197" t="inlineStr">
        <is>
          <t>991005217319702656</t>
        </is>
      </c>
      <c r="AX197" t="inlineStr">
        <is>
          <t>991005217319702656</t>
        </is>
      </c>
      <c r="AY197" t="inlineStr">
        <is>
          <t>2268317590002656</t>
        </is>
      </c>
      <c r="AZ197" t="inlineStr">
        <is>
          <t>BOOK</t>
        </is>
      </c>
      <c r="BB197" t="inlineStr">
        <is>
          <t>9780841907942</t>
        </is>
      </c>
      <c r="BC197" t="inlineStr">
        <is>
          <t>32285000237007</t>
        </is>
      </c>
      <c r="BD197" t="inlineStr">
        <is>
          <t>893783219</t>
        </is>
      </c>
    </row>
    <row r="198">
      <c r="A198" t="inlineStr">
        <is>
          <t>No</t>
        </is>
      </c>
      <c r="B198" t="inlineStr">
        <is>
          <t>HT151 .D58</t>
        </is>
      </c>
      <c r="C198" t="inlineStr">
        <is>
          <t>0                      HT 0151000D  58</t>
        </is>
      </c>
      <c r="D198" t="inlineStr">
        <is>
          <t>Urban problems and prospects.</t>
        </is>
      </c>
      <c r="F198" t="inlineStr">
        <is>
          <t>No</t>
        </is>
      </c>
      <c r="G198" t="inlineStr">
        <is>
          <t>1</t>
        </is>
      </c>
      <c r="H198" t="inlineStr">
        <is>
          <t>Yes</t>
        </is>
      </c>
      <c r="I198" t="inlineStr">
        <is>
          <t>No</t>
        </is>
      </c>
      <c r="J198" t="inlineStr">
        <is>
          <t>0</t>
        </is>
      </c>
      <c r="K198" t="inlineStr">
        <is>
          <t>Downs, Anthony.</t>
        </is>
      </c>
      <c r="L198" t="inlineStr">
        <is>
          <t>Chicago, Markham Pub. Co. [1970]</t>
        </is>
      </c>
      <c r="M198" t="inlineStr">
        <is>
          <t>1970</t>
        </is>
      </c>
      <c r="O198" t="inlineStr">
        <is>
          <t>eng</t>
        </is>
      </c>
      <c r="P198" t="inlineStr">
        <is>
          <t>ilu</t>
        </is>
      </c>
      <c r="Q198" t="inlineStr">
        <is>
          <t>Markham series in public policy analysis</t>
        </is>
      </c>
      <c r="R198" t="inlineStr">
        <is>
          <t xml:space="preserve">HT </t>
        </is>
      </c>
      <c r="S198" t="n">
        <v>1</v>
      </c>
      <c r="T198" t="n">
        <v>1</v>
      </c>
      <c r="U198" t="inlineStr">
        <is>
          <t>2001-01-15</t>
        </is>
      </c>
      <c r="V198" t="inlineStr">
        <is>
          <t>2001-01-15</t>
        </is>
      </c>
      <c r="W198" t="inlineStr">
        <is>
          <t>1997-08-18</t>
        </is>
      </c>
      <c r="X198" t="inlineStr">
        <is>
          <t>1997-08-18</t>
        </is>
      </c>
      <c r="Y198" t="n">
        <v>646</v>
      </c>
      <c r="Z198" t="n">
        <v>560</v>
      </c>
      <c r="AA198" t="n">
        <v>677</v>
      </c>
      <c r="AB198" t="n">
        <v>4</v>
      </c>
      <c r="AC198" t="n">
        <v>4</v>
      </c>
      <c r="AD198" t="n">
        <v>28</v>
      </c>
      <c r="AE198" t="n">
        <v>32</v>
      </c>
      <c r="AF198" t="n">
        <v>8</v>
      </c>
      <c r="AG198" t="n">
        <v>10</v>
      </c>
      <c r="AH198" t="n">
        <v>6</v>
      </c>
      <c r="AI198" t="n">
        <v>6</v>
      </c>
      <c r="AJ198" t="n">
        <v>18</v>
      </c>
      <c r="AK198" t="n">
        <v>20</v>
      </c>
      <c r="AL198" t="n">
        <v>2</v>
      </c>
      <c r="AM198" t="n">
        <v>2</v>
      </c>
      <c r="AN198" t="n">
        <v>3</v>
      </c>
      <c r="AO198" t="n">
        <v>4</v>
      </c>
      <c r="AP198" t="inlineStr">
        <is>
          <t>No</t>
        </is>
      </c>
      <c r="AQ198" t="inlineStr">
        <is>
          <t>Yes</t>
        </is>
      </c>
      <c r="AR198">
        <f>HYPERLINK("http://catalog.hathitrust.org/Record/000001439","HathiTrust Record")</f>
        <v/>
      </c>
      <c r="AS198">
        <f>HYPERLINK("https://creighton-primo.hosted.exlibrisgroup.com/primo-explore/search?tab=default_tab&amp;search_scope=EVERYTHING&amp;vid=01CRU&amp;lang=en_US&amp;offset=0&amp;query=any,contains,991001709489702656","Catalog Record")</f>
        <v/>
      </c>
      <c r="AT198">
        <f>HYPERLINK("http://www.worldcat.org/oclc/104049","WorldCat Record")</f>
        <v/>
      </c>
      <c r="AU198" t="inlineStr">
        <is>
          <t>1181021:eng</t>
        </is>
      </c>
      <c r="AV198" t="inlineStr">
        <is>
          <t>104049</t>
        </is>
      </c>
      <c r="AW198" t="inlineStr">
        <is>
          <t>991001709489702656</t>
        </is>
      </c>
      <c r="AX198" t="inlineStr">
        <is>
          <t>991001709489702656</t>
        </is>
      </c>
      <c r="AY198" t="inlineStr">
        <is>
          <t>2260724250002656</t>
        </is>
      </c>
      <c r="AZ198" t="inlineStr">
        <is>
          <t>BOOK</t>
        </is>
      </c>
      <c r="BB198" t="inlineStr">
        <is>
          <t>9780841009158</t>
        </is>
      </c>
      <c r="BC198" t="inlineStr">
        <is>
          <t>32285003146429</t>
        </is>
      </c>
      <c r="BD198" t="inlineStr">
        <is>
          <t>893872740</t>
        </is>
      </c>
    </row>
    <row r="199">
      <c r="A199" t="inlineStr">
        <is>
          <t>No</t>
        </is>
      </c>
      <c r="B199" t="inlineStr">
        <is>
          <t>HT151 .F52 1993</t>
        </is>
      </c>
      <c r="C199" t="inlineStr">
        <is>
          <t>0                      HT 0151000F  52          1993</t>
        </is>
      </c>
      <c r="D199" t="inlineStr">
        <is>
          <t>Contemporary urban sociology / William G. Flanagan.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Flanagan, William G.</t>
        </is>
      </c>
      <c r="L199" t="inlineStr">
        <is>
          <t>Cambridge ; New York : Cambridge University Press, 1993.</t>
        </is>
      </c>
      <c r="M199" t="inlineStr">
        <is>
          <t>1993</t>
        </is>
      </c>
      <c r="O199" t="inlineStr">
        <is>
          <t>eng</t>
        </is>
      </c>
      <c r="P199" t="inlineStr">
        <is>
          <t>enk</t>
        </is>
      </c>
      <c r="R199" t="inlineStr">
        <is>
          <t xml:space="preserve">HT </t>
        </is>
      </c>
      <c r="S199" t="n">
        <v>1</v>
      </c>
      <c r="T199" t="n">
        <v>1</v>
      </c>
      <c r="U199" t="inlineStr">
        <is>
          <t>2007-01-31</t>
        </is>
      </c>
      <c r="V199" t="inlineStr">
        <is>
          <t>2007-01-31</t>
        </is>
      </c>
      <c r="W199" t="inlineStr">
        <is>
          <t>1994-11-13</t>
        </is>
      </c>
      <c r="X199" t="inlineStr">
        <is>
          <t>1994-11-13</t>
        </is>
      </c>
      <c r="Y199" t="n">
        <v>550</v>
      </c>
      <c r="Z199" t="n">
        <v>418</v>
      </c>
      <c r="AA199" t="n">
        <v>422</v>
      </c>
      <c r="AB199" t="n">
        <v>4</v>
      </c>
      <c r="AC199" t="n">
        <v>4</v>
      </c>
      <c r="AD199" t="n">
        <v>24</v>
      </c>
      <c r="AE199" t="n">
        <v>24</v>
      </c>
      <c r="AF199" t="n">
        <v>7</v>
      </c>
      <c r="AG199" t="n">
        <v>7</v>
      </c>
      <c r="AH199" t="n">
        <v>6</v>
      </c>
      <c r="AI199" t="n">
        <v>6</v>
      </c>
      <c r="AJ199" t="n">
        <v>15</v>
      </c>
      <c r="AK199" t="n">
        <v>15</v>
      </c>
      <c r="AL199" t="n">
        <v>3</v>
      </c>
      <c r="AM199" t="n">
        <v>3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HYPERLINK("https://creighton-primo.hosted.exlibrisgroup.com/primo-explore/search?tab=default_tab&amp;search_scope=EVERYTHING&amp;vid=01CRU&amp;lang=en_US&amp;offset=0&amp;query=any,contains,991002135039702656","Catalog Record")</f>
        <v/>
      </c>
      <c r="AT199">
        <f>HYPERLINK("http://www.worldcat.org/oclc/27380868","WorldCat Record")</f>
        <v/>
      </c>
      <c r="AU199" t="inlineStr">
        <is>
          <t>151031401:eng</t>
        </is>
      </c>
      <c r="AV199" t="inlineStr">
        <is>
          <t>27380868</t>
        </is>
      </c>
      <c r="AW199" t="inlineStr">
        <is>
          <t>991002135039702656</t>
        </is>
      </c>
      <c r="AX199" t="inlineStr">
        <is>
          <t>991002135039702656</t>
        </is>
      </c>
      <c r="AY199" t="inlineStr">
        <is>
          <t>2262283200002656</t>
        </is>
      </c>
      <c r="AZ199" t="inlineStr">
        <is>
          <t>BOOK</t>
        </is>
      </c>
      <c r="BB199" t="inlineStr">
        <is>
          <t>9780521365192</t>
        </is>
      </c>
      <c r="BC199" t="inlineStr">
        <is>
          <t>32285001957298</t>
        </is>
      </c>
      <c r="BD199" t="inlineStr">
        <is>
          <t>893603231</t>
        </is>
      </c>
    </row>
    <row r="200">
      <c r="A200" t="inlineStr">
        <is>
          <t>No</t>
        </is>
      </c>
      <c r="B200" t="inlineStr">
        <is>
          <t>HT151 .G53 1964</t>
        </is>
      </c>
      <c r="C200" t="inlineStr">
        <is>
          <t>0                      HT 0151000G  53          1964</t>
        </is>
      </c>
      <c r="D200" t="inlineStr">
        <is>
          <t>Urban society [by] Noel P. Gist and Sylvia Fleis Fava.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Gist, Noel P., 1899-1983.</t>
        </is>
      </c>
      <c r="L200" t="inlineStr">
        <is>
          <t>New York, Crowell [1964]</t>
        </is>
      </c>
      <c r="M200" t="inlineStr">
        <is>
          <t>1964</t>
        </is>
      </c>
      <c r="N200" t="inlineStr">
        <is>
          <t>5th ed.</t>
        </is>
      </c>
      <c r="O200" t="inlineStr">
        <is>
          <t>eng</t>
        </is>
      </c>
      <c r="P200" t="inlineStr">
        <is>
          <t>nyu</t>
        </is>
      </c>
      <c r="R200" t="inlineStr">
        <is>
          <t xml:space="preserve">HT </t>
        </is>
      </c>
      <c r="S200" t="n">
        <v>1</v>
      </c>
      <c r="T200" t="n">
        <v>1</v>
      </c>
      <c r="U200" t="inlineStr">
        <is>
          <t>2006-11-17</t>
        </is>
      </c>
      <c r="V200" t="inlineStr">
        <is>
          <t>2006-11-17</t>
        </is>
      </c>
      <c r="W200" t="inlineStr">
        <is>
          <t>1997-08-18</t>
        </is>
      </c>
      <c r="X200" t="inlineStr">
        <is>
          <t>1997-08-18</t>
        </is>
      </c>
      <c r="Y200" t="n">
        <v>537</v>
      </c>
      <c r="Z200" t="n">
        <v>432</v>
      </c>
      <c r="AA200" t="n">
        <v>835</v>
      </c>
      <c r="AB200" t="n">
        <v>4</v>
      </c>
      <c r="AC200" t="n">
        <v>6</v>
      </c>
      <c r="AD200" t="n">
        <v>19</v>
      </c>
      <c r="AE200" t="n">
        <v>37</v>
      </c>
      <c r="AF200" t="n">
        <v>3</v>
      </c>
      <c r="AG200" t="n">
        <v>13</v>
      </c>
      <c r="AH200" t="n">
        <v>7</v>
      </c>
      <c r="AI200" t="n">
        <v>8</v>
      </c>
      <c r="AJ200" t="n">
        <v>12</v>
      </c>
      <c r="AK200" t="n">
        <v>23</v>
      </c>
      <c r="AL200" t="n">
        <v>2</v>
      </c>
      <c r="AM200" t="n">
        <v>4</v>
      </c>
      <c r="AN200" t="n">
        <v>0</v>
      </c>
      <c r="AO200" t="n">
        <v>0</v>
      </c>
      <c r="AP200" t="inlineStr">
        <is>
          <t>No</t>
        </is>
      </c>
      <c r="AQ200" t="inlineStr">
        <is>
          <t>Yes</t>
        </is>
      </c>
      <c r="AR200">
        <f>HYPERLINK("http://catalog.hathitrust.org/Record/001119347","HathiTrust Record")</f>
        <v/>
      </c>
      <c r="AS200">
        <f>HYPERLINK("https://creighton-primo.hosted.exlibrisgroup.com/primo-explore/search?tab=default_tab&amp;search_scope=EVERYTHING&amp;vid=01CRU&amp;lang=en_US&amp;offset=0&amp;query=any,contains,991002042599702656","Catalog Record")</f>
        <v/>
      </c>
      <c r="AT200">
        <f>HYPERLINK("http://www.worldcat.org/oclc/261235","WorldCat Record")</f>
        <v/>
      </c>
      <c r="AU200" t="inlineStr">
        <is>
          <t>1369963:eng</t>
        </is>
      </c>
      <c r="AV200" t="inlineStr">
        <is>
          <t>261235</t>
        </is>
      </c>
      <c r="AW200" t="inlineStr">
        <is>
          <t>991002042599702656</t>
        </is>
      </c>
      <c r="AX200" t="inlineStr">
        <is>
          <t>991002042599702656</t>
        </is>
      </c>
      <c r="AY200" t="inlineStr">
        <is>
          <t>2265639960002656</t>
        </is>
      </c>
      <c r="AZ200" t="inlineStr">
        <is>
          <t>BOOK</t>
        </is>
      </c>
      <c r="BC200" t="inlineStr">
        <is>
          <t>32285003146502</t>
        </is>
      </c>
      <c r="BD200" t="inlineStr">
        <is>
          <t>893250742</t>
        </is>
      </c>
    </row>
    <row r="201">
      <c r="A201" t="inlineStr">
        <is>
          <t>No</t>
        </is>
      </c>
      <c r="B201" t="inlineStr">
        <is>
          <t>HT151 .I8</t>
        </is>
      </c>
      <c r="C201" t="inlineStr">
        <is>
          <t>0                      HT 0151000I  8</t>
        </is>
      </c>
      <c r="D201" t="inlineStr">
        <is>
          <t>Current issues in urban economics / edited by Peter Mieszkowski and Mahlon Straszheim.</t>
        </is>
      </c>
      <c r="F201" t="inlineStr">
        <is>
          <t>No</t>
        </is>
      </c>
      <c r="G201" t="inlineStr">
        <is>
          <t>1</t>
        </is>
      </c>
      <c r="H201" t="inlineStr">
        <is>
          <t>Yes</t>
        </is>
      </c>
      <c r="I201" t="inlineStr">
        <is>
          <t>No</t>
        </is>
      </c>
      <c r="J201" t="inlineStr">
        <is>
          <t>0</t>
        </is>
      </c>
      <c r="L201" t="inlineStr">
        <is>
          <t>Baltimore : Johns Hopkins University Press, c1979.</t>
        </is>
      </c>
      <c r="M201" t="inlineStr">
        <is>
          <t>1979</t>
        </is>
      </c>
      <c r="O201" t="inlineStr">
        <is>
          <t>eng</t>
        </is>
      </c>
      <c r="P201" t="inlineStr">
        <is>
          <t>mdu</t>
        </is>
      </c>
      <c r="R201" t="inlineStr">
        <is>
          <t xml:space="preserve">HT </t>
        </is>
      </c>
      <c r="S201" t="n">
        <v>3</v>
      </c>
      <c r="T201" t="n">
        <v>3</v>
      </c>
      <c r="U201" t="inlineStr">
        <is>
          <t>1997-02-06</t>
        </is>
      </c>
      <c r="V201" t="inlineStr">
        <is>
          <t>1997-02-06</t>
        </is>
      </c>
      <c r="W201" t="inlineStr">
        <is>
          <t>1993-05-06</t>
        </is>
      </c>
      <c r="X201" t="inlineStr">
        <is>
          <t>1993-05-06</t>
        </is>
      </c>
      <c r="Y201" t="n">
        <v>565</v>
      </c>
      <c r="Z201" t="n">
        <v>446</v>
      </c>
      <c r="AA201" t="n">
        <v>448</v>
      </c>
      <c r="AB201" t="n">
        <v>4</v>
      </c>
      <c r="AC201" t="n">
        <v>4</v>
      </c>
      <c r="AD201" t="n">
        <v>25</v>
      </c>
      <c r="AE201" t="n">
        <v>25</v>
      </c>
      <c r="AF201" t="n">
        <v>7</v>
      </c>
      <c r="AG201" t="n">
        <v>7</v>
      </c>
      <c r="AH201" t="n">
        <v>5</v>
      </c>
      <c r="AI201" t="n">
        <v>5</v>
      </c>
      <c r="AJ201" t="n">
        <v>15</v>
      </c>
      <c r="AK201" t="n">
        <v>15</v>
      </c>
      <c r="AL201" t="n">
        <v>2</v>
      </c>
      <c r="AM201" t="n">
        <v>2</v>
      </c>
      <c r="AN201" t="n">
        <v>3</v>
      </c>
      <c r="AO201" t="n">
        <v>3</v>
      </c>
      <c r="AP201" t="inlineStr">
        <is>
          <t>No</t>
        </is>
      </c>
      <c r="AQ201" t="inlineStr">
        <is>
          <t>Yes</t>
        </is>
      </c>
      <c r="AR201">
        <f>HYPERLINK("http://catalog.hathitrust.org/Record/000179662","HathiTrust Record")</f>
        <v/>
      </c>
      <c r="AS201">
        <f>HYPERLINK("https://creighton-primo.hosted.exlibrisgroup.com/primo-explore/search?tab=default_tab&amp;search_scope=EVERYTHING&amp;vid=01CRU&amp;lang=en_US&amp;offset=0&amp;query=any,contains,991001791249702656","Catalog Record")</f>
        <v/>
      </c>
      <c r="AT201">
        <f>HYPERLINK("http://www.worldcat.org/oclc/4114657","WorldCat Record")</f>
        <v/>
      </c>
      <c r="AU201" t="inlineStr">
        <is>
          <t>351983265:eng</t>
        </is>
      </c>
      <c r="AV201" t="inlineStr">
        <is>
          <t>4114657</t>
        </is>
      </c>
      <c r="AW201" t="inlineStr">
        <is>
          <t>991001791249702656</t>
        </is>
      </c>
      <c r="AX201" t="inlineStr">
        <is>
          <t>991001791249702656</t>
        </is>
      </c>
      <c r="AY201" t="inlineStr">
        <is>
          <t>2271946710002656</t>
        </is>
      </c>
      <c r="AZ201" t="inlineStr">
        <is>
          <t>BOOK</t>
        </is>
      </c>
      <c r="BB201" t="inlineStr">
        <is>
          <t>9780801821097</t>
        </is>
      </c>
      <c r="BC201" t="inlineStr">
        <is>
          <t>32285001673390</t>
        </is>
      </c>
      <c r="BD201" t="inlineStr">
        <is>
          <t>893866485</t>
        </is>
      </c>
    </row>
    <row r="202">
      <c r="A202" t="inlineStr">
        <is>
          <t>No</t>
        </is>
      </c>
      <c r="B202" t="inlineStr">
        <is>
          <t>HT151 .L28</t>
        </is>
      </c>
      <c r="C202" t="inlineStr">
        <is>
          <t>0                      HT 0151000L  28</t>
        </is>
      </c>
      <c r="D202" t="inlineStr">
        <is>
          <t>Urban problems : perspectives on corporations, governments, and cities / Calvin J. Larson, Stan R. Nikkel.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Larson, Calvin J.</t>
        </is>
      </c>
      <c r="L202" t="inlineStr">
        <is>
          <t>Boston : Allyn and Bacon, c1979.</t>
        </is>
      </c>
      <c r="M202" t="inlineStr">
        <is>
          <t>1979</t>
        </is>
      </c>
      <c r="O202" t="inlineStr">
        <is>
          <t>eng</t>
        </is>
      </c>
      <c r="P202" t="inlineStr">
        <is>
          <t>mau</t>
        </is>
      </c>
      <c r="R202" t="inlineStr">
        <is>
          <t xml:space="preserve">HT </t>
        </is>
      </c>
      <c r="S202" t="n">
        <v>4</v>
      </c>
      <c r="T202" t="n">
        <v>4</v>
      </c>
      <c r="U202" t="inlineStr">
        <is>
          <t>1997-11-30</t>
        </is>
      </c>
      <c r="V202" t="inlineStr">
        <is>
          <t>1997-11-30</t>
        </is>
      </c>
      <c r="W202" t="inlineStr">
        <is>
          <t>1992-03-30</t>
        </is>
      </c>
      <c r="X202" t="inlineStr">
        <is>
          <t>1992-03-30</t>
        </is>
      </c>
      <c r="Y202" t="n">
        <v>298</v>
      </c>
      <c r="Z202" t="n">
        <v>240</v>
      </c>
      <c r="AA202" t="n">
        <v>246</v>
      </c>
      <c r="AB202" t="n">
        <v>3</v>
      </c>
      <c r="AC202" t="n">
        <v>3</v>
      </c>
      <c r="AD202" t="n">
        <v>7</v>
      </c>
      <c r="AE202" t="n">
        <v>7</v>
      </c>
      <c r="AF202" t="n">
        <v>0</v>
      </c>
      <c r="AG202" t="n">
        <v>0</v>
      </c>
      <c r="AH202" t="n">
        <v>2</v>
      </c>
      <c r="AI202" t="n">
        <v>2</v>
      </c>
      <c r="AJ202" t="n">
        <v>5</v>
      </c>
      <c r="AK202" t="n">
        <v>5</v>
      </c>
      <c r="AL202" t="n">
        <v>2</v>
      </c>
      <c r="AM202" t="n">
        <v>2</v>
      </c>
      <c r="AN202" t="n">
        <v>0</v>
      </c>
      <c r="AO202" t="n">
        <v>0</v>
      </c>
      <c r="AP202" t="inlineStr">
        <is>
          <t>No</t>
        </is>
      </c>
      <c r="AQ202" t="inlineStr">
        <is>
          <t>No</t>
        </is>
      </c>
      <c r="AS202">
        <f>HYPERLINK("https://creighton-primo.hosted.exlibrisgroup.com/primo-explore/search?tab=default_tab&amp;search_scope=EVERYTHING&amp;vid=01CRU&amp;lang=en_US&amp;offset=0&amp;query=any,contains,991004605889702656","Catalog Record")</f>
        <v/>
      </c>
      <c r="AT202">
        <f>HYPERLINK("http://www.worldcat.org/oclc/4194477","WorldCat Record")</f>
        <v/>
      </c>
      <c r="AU202" t="inlineStr">
        <is>
          <t>363442210:eng</t>
        </is>
      </c>
      <c r="AV202" t="inlineStr">
        <is>
          <t>4194477</t>
        </is>
      </c>
      <c r="AW202" t="inlineStr">
        <is>
          <t>991004605889702656</t>
        </is>
      </c>
      <c r="AX202" t="inlineStr">
        <is>
          <t>991004605889702656</t>
        </is>
      </c>
      <c r="AY202" t="inlineStr">
        <is>
          <t>2262480390002656</t>
        </is>
      </c>
      <c r="AZ202" t="inlineStr">
        <is>
          <t>BOOK</t>
        </is>
      </c>
      <c r="BB202" t="inlineStr">
        <is>
          <t>9780205065301</t>
        </is>
      </c>
      <c r="BC202" t="inlineStr">
        <is>
          <t>32285001041267</t>
        </is>
      </c>
      <c r="BD202" t="inlineStr">
        <is>
          <t>893869904</t>
        </is>
      </c>
    </row>
    <row r="203">
      <c r="A203" t="inlineStr">
        <is>
          <t>No</t>
        </is>
      </c>
      <c r="B203" t="inlineStr">
        <is>
          <t>HT151 .M49</t>
        </is>
      </c>
      <c r="C203" t="inlineStr">
        <is>
          <t>0                      HT 0151000M  49</t>
        </is>
      </c>
      <c r="D203" t="inlineStr">
        <is>
          <t>Man and his urban environment : a sociological approach / [by] William H. [i.e. M.] Michelson.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Michelson, William M., 1940-</t>
        </is>
      </c>
      <c r="L203" t="inlineStr">
        <is>
          <t>Reading, Mass. : Addison-Wesley Pub. Co., [1970]</t>
        </is>
      </c>
      <c r="M203" t="inlineStr">
        <is>
          <t>1970</t>
        </is>
      </c>
      <c r="O203" t="inlineStr">
        <is>
          <t>eng</t>
        </is>
      </c>
      <c r="P203" t="inlineStr">
        <is>
          <t>mau</t>
        </is>
      </c>
      <c r="Q203" t="inlineStr">
        <is>
          <t>Addison-Wesley series in urban studies</t>
        </is>
      </c>
      <c r="R203" t="inlineStr">
        <is>
          <t xml:space="preserve">HT </t>
        </is>
      </c>
      <c r="S203" t="n">
        <v>2</v>
      </c>
      <c r="T203" t="n">
        <v>2</v>
      </c>
      <c r="U203" t="inlineStr">
        <is>
          <t>2003-06-25</t>
        </is>
      </c>
      <c r="V203" t="inlineStr">
        <is>
          <t>2003-06-25</t>
        </is>
      </c>
      <c r="W203" t="inlineStr">
        <is>
          <t>1992-12-10</t>
        </is>
      </c>
      <c r="X203" t="inlineStr">
        <is>
          <t>1992-12-10</t>
        </is>
      </c>
      <c r="Y203" t="n">
        <v>611</v>
      </c>
      <c r="Z203" t="n">
        <v>431</v>
      </c>
      <c r="AA203" t="n">
        <v>562</v>
      </c>
      <c r="AB203" t="n">
        <v>3</v>
      </c>
      <c r="AC203" t="n">
        <v>4</v>
      </c>
      <c r="AD203" t="n">
        <v>13</v>
      </c>
      <c r="AE203" t="n">
        <v>18</v>
      </c>
      <c r="AF203" t="n">
        <v>5</v>
      </c>
      <c r="AG203" t="n">
        <v>7</v>
      </c>
      <c r="AH203" t="n">
        <v>3</v>
      </c>
      <c r="AI203" t="n">
        <v>3</v>
      </c>
      <c r="AJ203" t="n">
        <v>8</v>
      </c>
      <c r="AK203" t="n">
        <v>12</v>
      </c>
      <c r="AL203" t="n">
        <v>1</v>
      </c>
      <c r="AM203" t="n">
        <v>1</v>
      </c>
      <c r="AN203" t="n">
        <v>1</v>
      </c>
      <c r="AO203" t="n">
        <v>1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HYPERLINK("http://catalog.hathitrust.org/Record/002870245","HathiTrust Record")</f>
        <v/>
      </c>
      <c r="AS203">
        <f>HYPERLINK("https://creighton-primo.hosted.exlibrisgroup.com/primo-explore/search?tab=default_tab&amp;search_scope=EVERYTHING&amp;vid=01CRU&amp;lang=en_US&amp;offset=0&amp;query=any,contains,991000655909702656","Catalog Record")</f>
        <v/>
      </c>
      <c r="AT203">
        <f>HYPERLINK("http://www.worldcat.org/oclc/115239","WorldCat Record")</f>
        <v/>
      </c>
      <c r="AU203" t="inlineStr">
        <is>
          <t>1232073:eng</t>
        </is>
      </c>
      <c r="AV203" t="inlineStr">
        <is>
          <t>115239</t>
        </is>
      </c>
      <c r="AW203" t="inlineStr">
        <is>
          <t>991000655909702656</t>
        </is>
      </c>
      <c r="AX203" t="inlineStr">
        <is>
          <t>991000655909702656</t>
        </is>
      </c>
      <c r="AY203" t="inlineStr">
        <is>
          <t>2260006640002656</t>
        </is>
      </c>
      <c r="AZ203" t="inlineStr">
        <is>
          <t>BOOK</t>
        </is>
      </c>
      <c r="BC203" t="inlineStr">
        <is>
          <t>32285004676929</t>
        </is>
      </c>
      <c r="BD203" t="inlineStr">
        <is>
          <t>893407405</t>
        </is>
      </c>
    </row>
    <row r="204">
      <c r="A204" t="inlineStr">
        <is>
          <t>No</t>
        </is>
      </c>
      <c r="B204" t="inlineStr">
        <is>
          <t>HT151 .R93 2000</t>
        </is>
      </c>
      <c r="C204" t="inlineStr">
        <is>
          <t>0                      HT 0151000R  93          2000</t>
        </is>
      </c>
      <c r="D204" t="inlineStr">
        <is>
          <t>The seduction of place : the city in the twenty-first century / Joseph Rykwert.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Rykwert, Joseph, 1926-</t>
        </is>
      </c>
      <c r="L204" t="inlineStr">
        <is>
          <t>New York : Pantheon Books , c2000.</t>
        </is>
      </c>
      <c r="M204" t="inlineStr">
        <is>
          <t>2000</t>
        </is>
      </c>
      <c r="N204" t="inlineStr">
        <is>
          <t>1st ed.</t>
        </is>
      </c>
      <c r="O204" t="inlineStr">
        <is>
          <t>eng</t>
        </is>
      </c>
      <c r="P204" t="inlineStr">
        <is>
          <t>nyu</t>
        </is>
      </c>
      <c r="R204" t="inlineStr">
        <is>
          <t xml:space="preserve">HT </t>
        </is>
      </c>
      <c r="S204" t="n">
        <v>2</v>
      </c>
      <c r="T204" t="n">
        <v>2</v>
      </c>
      <c r="U204" t="inlineStr">
        <is>
          <t>2006-11-14</t>
        </is>
      </c>
      <c r="V204" t="inlineStr">
        <is>
          <t>2006-11-14</t>
        </is>
      </c>
      <c r="W204" t="inlineStr">
        <is>
          <t>2001-10-31</t>
        </is>
      </c>
      <c r="X204" t="inlineStr">
        <is>
          <t>2001-10-31</t>
        </is>
      </c>
      <c r="Y204" t="n">
        <v>647</v>
      </c>
      <c r="Z204" t="n">
        <v>562</v>
      </c>
      <c r="AA204" t="n">
        <v>576</v>
      </c>
      <c r="AB204" t="n">
        <v>4</v>
      </c>
      <c r="AC204" t="n">
        <v>4</v>
      </c>
      <c r="AD204" t="n">
        <v>24</v>
      </c>
      <c r="AE204" t="n">
        <v>24</v>
      </c>
      <c r="AF204" t="n">
        <v>9</v>
      </c>
      <c r="AG204" t="n">
        <v>9</v>
      </c>
      <c r="AH204" t="n">
        <v>5</v>
      </c>
      <c r="AI204" t="n">
        <v>5</v>
      </c>
      <c r="AJ204" t="n">
        <v>15</v>
      </c>
      <c r="AK204" t="n">
        <v>15</v>
      </c>
      <c r="AL204" t="n">
        <v>3</v>
      </c>
      <c r="AM204" t="n">
        <v>3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HYPERLINK("http://catalog.hathitrust.org/Record/004123214","HathiTrust Record")</f>
        <v/>
      </c>
      <c r="AS204">
        <f>HYPERLINK("https://creighton-primo.hosted.exlibrisgroup.com/primo-explore/search?tab=default_tab&amp;search_scope=EVERYTHING&amp;vid=01CRU&amp;lang=en_US&amp;offset=0&amp;query=any,contains,991003645419702656","Catalog Record")</f>
        <v/>
      </c>
      <c r="AT204">
        <f>HYPERLINK("http://www.worldcat.org/oclc/43499509","WorldCat Record")</f>
        <v/>
      </c>
      <c r="AU204" t="inlineStr">
        <is>
          <t>11231098:eng</t>
        </is>
      </c>
      <c r="AV204" t="inlineStr">
        <is>
          <t>43499509</t>
        </is>
      </c>
      <c r="AW204" t="inlineStr">
        <is>
          <t>991003645419702656</t>
        </is>
      </c>
      <c r="AX204" t="inlineStr">
        <is>
          <t>991003645419702656</t>
        </is>
      </c>
      <c r="AY204" t="inlineStr">
        <is>
          <t>2258995980002656</t>
        </is>
      </c>
      <c r="AZ204" t="inlineStr">
        <is>
          <t>BOOK</t>
        </is>
      </c>
      <c r="BB204" t="inlineStr">
        <is>
          <t>9780297819998</t>
        </is>
      </c>
      <c r="BC204" t="inlineStr">
        <is>
          <t>32285004417100</t>
        </is>
      </c>
      <c r="BD204" t="inlineStr">
        <is>
          <t>893330610</t>
        </is>
      </c>
    </row>
    <row r="205">
      <c r="A205" t="inlineStr">
        <is>
          <t>No</t>
        </is>
      </c>
      <c r="B205" t="inlineStr">
        <is>
          <t>HT151 .S265 1993</t>
        </is>
      </c>
      <c r="C205" t="inlineStr">
        <is>
          <t>0                      HT 0151000S  265         1993</t>
        </is>
      </c>
      <c r="D205" t="inlineStr">
        <is>
          <t>Urban sociology, capitalism, and modernity / Mike Savage and Alan Warde.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Savage, Michael, 1959-</t>
        </is>
      </c>
      <c r="L205" t="inlineStr">
        <is>
          <t>New York : Continuum, 1993.</t>
        </is>
      </c>
      <c r="M205" t="inlineStr">
        <is>
          <t>1993</t>
        </is>
      </c>
      <c r="O205" t="inlineStr">
        <is>
          <t>eng</t>
        </is>
      </c>
      <c r="P205" t="inlineStr">
        <is>
          <t>nyu</t>
        </is>
      </c>
      <c r="R205" t="inlineStr">
        <is>
          <t xml:space="preserve">HT </t>
        </is>
      </c>
      <c r="S205" t="n">
        <v>1</v>
      </c>
      <c r="T205" t="n">
        <v>1</v>
      </c>
      <c r="U205" t="inlineStr">
        <is>
          <t>1996-04-24</t>
        </is>
      </c>
      <c r="V205" t="inlineStr">
        <is>
          <t>1996-04-24</t>
        </is>
      </c>
      <c r="W205" t="inlineStr">
        <is>
          <t>1994-06-02</t>
        </is>
      </c>
      <c r="X205" t="inlineStr">
        <is>
          <t>1994-06-02</t>
        </is>
      </c>
      <c r="Y205" t="n">
        <v>344</v>
      </c>
      <c r="Z205" t="n">
        <v>290</v>
      </c>
      <c r="AA205" t="n">
        <v>375</v>
      </c>
      <c r="AB205" t="n">
        <v>3</v>
      </c>
      <c r="AC205" t="n">
        <v>4</v>
      </c>
      <c r="AD205" t="n">
        <v>16</v>
      </c>
      <c r="AE205" t="n">
        <v>21</v>
      </c>
      <c r="AF205" t="n">
        <v>4</v>
      </c>
      <c r="AG205" t="n">
        <v>7</v>
      </c>
      <c r="AH205" t="n">
        <v>5</v>
      </c>
      <c r="AI205" t="n">
        <v>6</v>
      </c>
      <c r="AJ205" t="n">
        <v>10</v>
      </c>
      <c r="AK205" t="n">
        <v>11</v>
      </c>
      <c r="AL205" t="n">
        <v>2</v>
      </c>
      <c r="AM205" t="n">
        <v>3</v>
      </c>
      <c r="AN205" t="n">
        <v>0</v>
      </c>
      <c r="AO205" t="n">
        <v>0</v>
      </c>
      <c r="AP205" t="inlineStr">
        <is>
          <t>No</t>
        </is>
      </c>
      <c r="AQ205" t="inlineStr">
        <is>
          <t>No</t>
        </is>
      </c>
      <c r="AS205">
        <f>HYPERLINK("https://creighton-primo.hosted.exlibrisgroup.com/primo-explore/search?tab=default_tab&amp;search_scope=EVERYTHING&amp;vid=01CRU&amp;lang=en_US&amp;offset=0&amp;query=any,contains,991002150279702656","Catalog Record")</f>
        <v/>
      </c>
      <c r="AT205">
        <f>HYPERLINK("http://www.worldcat.org/oclc/27725299","WorldCat Record")</f>
        <v/>
      </c>
      <c r="AU205" t="inlineStr">
        <is>
          <t>356730:eng</t>
        </is>
      </c>
      <c r="AV205" t="inlineStr">
        <is>
          <t>27725299</t>
        </is>
      </c>
      <c r="AW205" t="inlineStr">
        <is>
          <t>991002150279702656</t>
        </is>
      </c>
      <c r="AX205" t="inlineStr">
        <is>
          <t>991002150279702656</t>
        </is>
      </c>
      <c r="AY205" t="inlineStr">
        <is>
          <t>2267585710002656</t>
        </is>
      </c>
      <c r="AZ205" t="inlineStr">
        <is>
          <t>BOOK</t>
        </is>
      </c>
      <c r="BB205" t="inlineStr">
        <is>
          <t>9780826405876</t>
        </is>
      </c>
      <c r="BC205" t="inlineStr">
        <is>
          <t>32285001921062</t>
        </is>
      </c>
      <c r="BD205" t="inlineStr">
        <is>
          <t>893347169</t>
        </is>
      </c>
    </row>
    <row r="206">
      <c r="A206" t="inlineStr">
        <is>
          <t>No</t>
        </is>
      </c>
      <c r="B206" t="inlineStr">
        <is>
          <t>HT151 .S644 2004</t>
        </is>
      </c>
      <c r="C206" t="inlineStr">
        <is>
          <t>0                      HT 0151000S  644         2004</t>
        </is>
      </c>
      <c r="D206" t="inlineStr">
        <is>
          <t>The state of the world's cities 2004/2005 : globalization and urban culture / United Nations Human Settlements Programme.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L206" t="inlineStr">
        <is>
          <t>London ; Sterling, VA : Earthscan, 2004.</t>
        </is>
      </c>
      <c r="M206" t="inlineStr">
        <is>
          <t>2004</t>
        </is>
      </c>
      <c r="O206" t="inlineStr">
        <is>
          <t>eng</t>
        </is>
      </c>
      <c r="P206" t="inlineStr">
        <is>
          <t>enk</t>
        </is>
      </c>
      <c r="R206" t="inlineStr">
        <is>
          <t xml:space="preserve">HT </t>
        </is>
      </c>
      <c r="S206" t="n">
        <v>2</v>
      </c>
      <c r="T206" t="n">
        <v>2</v>
      </c>
      <c r="U206" t="inlineStr">
        <is>
          <t>2006-09-01</t>
        </is>
      </c>
      <c r="V206" t="inlineStr">
        <is>
          <t>2006-09-01</t>
        </is>
      </c>
      <c r="W206" t="inlineStr">
        <is>
          <t>2006-03-27</t>
        </is>
      </c>
      <c r="X206" t="inlineStr">
        <is>
          <t>2006-03-27</t>
        </is>
      </c>
      <c r="Y206" t="n">
        <v>300</v>
      </c>
      <c r="Z206" t="n">
        <v>215</v>
      </c>
      <c r="AA206" t="n">
        <v>680</v>
      </c>
      <c r="AB206" t="n">
        <v>1</v>
      </c>
      <c r="AC206" t="n">
        <v>29</v>
      </c>
      <c r="AD206" t="n">
        <v>15</v>
      </c>
      <c r="AE206" t="n">
        <v>29</v>
      </c>
      <c r="AF206" t="n">
        <v>10</v>
      </c>
      <c r="AG206" t="n">
        <v>13</v>
      </c>
      <c r="AH206" t="n">
        <v>2</v>
      </c>
      <c r="AI206" t="n">
        <v>2</v>
      </c>
      <c r="AJ206" t="n">
        <v>7</v>
      </c>
      <c r="AK206" t="n">
        <v>9</v>
      </c>
      <c r="AL206" t="n">
        <v>0</v>
      </c>
      <c r="AM206" t="n">
        <v>10</v>
      </c>
      <c r="AN206" t="n">
        <v>0</v>
      </c>
      <c r="AO206" t="n">
        <v>0</v>
      </c>
      <c r="AP206" t="inlineStr">
        <is>
          <t>No</t>
        </is>
      </c>
      <c r="AQ206" t="inlineStr">
        <is>
          <t>No</t>
        </is>
      </c>
      <c r="AS206">
        <f>HYPERLINK("https://creighton-primo.hosted.exlibrisgroup.com/primo-explore/search?tab=default_tab&amp;search_scope=EVERYTHING&amp;vid=01CRU&amp;lang=en_US&amp;offset=0&amp;query=any,contains,991004715949702656","Catalog Record")</f>
        <v/>
      </c>
      <c r="AT206">
        <f>HYPERLINK("http://www.worldcat.org/oclc/55960849","WorldCat Record")</f>
        <v/>
      </c>
      <c r="AU206" t="inlineStr">
        <is>
          <t>1074367719:eng</t>
        </is>
      </c>
      <c r="AV206" t="inlineStr">
        <is>
          <t>55960849</t>
        </is>
      </c>
      <c r="AW206" t="inlineStr">
        <is>
          <t>991004715949702656</t>
        </is>
      </c>
      <c r="AX206" t="inlineStr">
        <is>
          <t>991004715949702656</t>
        </is>
      </c>
      <c r="AY206" t="inlineStr">
        <is>
          <t>2265683390002656</t>
        </is>
      </c>
      <c r="AZ206" t="inlineStr">
        <is>
          <t>BOOK</t>
        </is>
      </c>
      <c r="BB206" t="inlineStr">
        <is>
          <t>9781844071593</t>
        </is>
      </c>
      <c r="BC206" t="inlineStr">
        <is>
          <t>32285005164941</t>
        </is>
      </c>
      <c r="BD206" t="inlineStr">
        <is>
          <t>893606375</t>
        </is>
      </c>
    </row>
    <row r="207">
      <c r="A207" t="inlineStr">
        <is>
          <t>No</t>
        </is>
      </c>
      <c r="B207" t="inlineStr">
        <is>
          <t>HT151 .U7 1976</t>
        </is>
      </c>
      <c r="C207" t="inlineStr">
        <is>
          <t>0                      HT 0151000U  7           1976</t>
        </is>
      </c>
      <c r="D207" t="inlineStr">
        <is>
          <t>Urbanization and counterurbanization / edited by Brian J. L. Berry.</t>
        </is>
      </c>
      <c r="E207" t="inlineStr">
        <is>
          <t>V.11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L207" t="inlineStr">
        <is>
          <t>Beverly Hills, Calif. : Sage Publications, c1976.</t>
        </is>
      </c>
      <c r="M207" t="inlineStr">
        <is>
          <t>1976</t>
        </is>
      </c>
      <c r="O207" t="inlineStr">
        <is>
          <t>eng</t>
        </is>
      </c>
      <c r="P207" t="inlineStr">
        <is>
          <t>cau</t>
        </is>
      </c>
      <c r="Q207" t="inlineStr">
        <is>
          <t>Urban affairs annual reviews ; v. 11</t>
        </is>
      </c>
      <c r="R207" t="inlineStr">
        <is>
          <t xml:space="preserve">HT </t>
        </is>
      </c>
      <c r="S207" t="n">
        <v>2</v>
      </c>
      <c r="T207" t="n">
        <v>2</v>
      </c>
      <c r="U207" t="inlineStr">
        <is>
          <t>1997-10-06</t>
        </is>
      </c>
      <c r="V207" t="inlineStr">
        <is>
          <t>1997-10-06</t>
        </is>
      </c>
      <c r="W207" t="inlineStr">
        <is>
          <t>1993-04-29</t>
        </is>
      </c>
      <c r="X207" t="inlineStr">
        <is>
          <t>1999-11-22</t>
        </is>
      </c>
      <c r="Y207" t="n">
        <v>661</v>
      </c>
      <c r="Z207" t="n">
        <v>489</v>
      </c>
      <c r="AA207" t="n">
        <v>492</v>
      </c>
      <c r="AB207" t="n">
        <v>4</v>
      </c>
      <c r="AC207" t="n">
        <v>4</v>
      </c>
      <c r="AD207" t="n">
        <v>29</v>
      </c>
      <c r="AE207" t="n">
        <v>29</v>
      </c>
      <c r="AF207" t="n">
        <v>12</v>
      </c>
      <c r="AG207" t="n">
        <v>12</v>
      </c>
      <c r="AH207" t="n">
        <v>6</v>
      </c>
      <c r="AI207" t="n">
        <v>6</v>
      </c>
      <c r="AJ207" t="n">
        <v>12</v>
      </c>
      <c r="AK207" t="n">
        <v>12</v>
      </c>
      <c r="AL207" t="n">
        <v>2</v>
      </c>
      <c r="AM207" t="n">
        <v>2</v>
      </c>
      <c r="AN207" t="n">
        <v>3</v>
      </c>
      <c r="AO207" t="n">
        <v>3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HYPERLINK("http://catalog.hathitrust.org/Record/002958999","HathiTrust Record")</f>
        <v/>
      </c>
      <c r="AS207">
        <f>HYPERLINK("https://creighton-primo.hosted.exlibrisgroup.com/primo-explore/search?tab=default_tab&amp;search_scope=EVERYTHING&amp;vid=01CRU&amp;lang=en_US&amp;offset=0&amp;query=any,contains,991001770739702656","Catalog Record")</f>
        <v/>
      </c>
      <c r="AT207">
        <f>HYPERLINK("http://www.worldcat.org/oclc/2665078","WorldCat Record")</f>
        <v/>
      </c>
      <c r="AU207" t="inlineStr">
        <is>
          <t>12125253:eng</t>
        </is>
      </c>
      <c r="AV207" t="inlineStr">
        <is>
          <t>2665078</t>
        </is>
      </c>
      <c r="AW207" t="inlineStr">
        <is>
          <t>991001770739702656</t>
        </is>
      </c>
      <c r="AX207" t="inlineStr">
        <is>
          <t>991001770739702656</t>
        </is>
      </c>
      <c r="AY207" t="inlineStr">
        <is>
          <t>2260157100002656</t>
        </is>
      </c>
      <c r="AZ207" t="inlineStr">
        <is>
          <t>BOOK</t>
        </is>
      </c>
      <c r="BB207" t="inlineStr">
        <is>
          <t>9780803904996</t>
        </is>
      </c>
      <c r="BC207" t="inlineStr">
        <is>
          <t>32285001631695</t>
        </is>
      </c>
      <c r="BD207" t="inlineStr">
        <is>
          <t>893509901</t>
        </is>
      </c>
    </row>
    <row r="208">
      <c r="A208" t="inlineStr">
        <is>
          <t>No</t>
        </is>
      </c>
      <c r="B208" t="inlineStr">
        <is>
          <t>HT151 .U7 1981</t>
        </is>
      </c>
      <c r="C208" t="inlineStr">
        <is>
          <t>0                      HT 0151000U  7           1981</t>
        </is>
      </c>
      <c r="D208" t="inlineStr">
        <is>
          <t>Urbanization and urban planning in capitalist society / edited by Michael Dear and Allen J. Scott.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L208" t="inlineStr">
        <is>
          <t>London ; New York : Methuen, c1981.</t>
        </is>
      </c>
      <c r="M208" t="inlineStr">
        <is>
          <t>1981</t>
        </is>
      </c>
      <c r="O208" t="inlineStr">
        <is>
          <t>eng</t>
        </is>
      </c>
      <c r="P208" t="inlineStr">
        <is>
          <t>enk</t>
        </is>
      </c>
      <c r="R208" t="inlineStr">
        <is>
          <t xml:space="preserve">HT </t>
        </is>
      </c>
      <c r="S208" t="n">
        <v>2</v>
      </c>
      <c r="T208" t="n">
        <v>2</v>
      </c>
      <c r="U208" t="inlineStr">
        <is>
          <t>2007-04-16</t>
        </is>
      </c>
      <c r="V208" t="inlineStr">
        <is>
          <t>2007-04-16</t>
        </is>
      </c>
      <c r="W208" t="inlineStr">
        <is>
          <t>1993-05-06</t>
        </is>
      </c>
      <c r="X208" t="inlineStr">
        <is>
          <t>1993-05-06</t>
        </is>
      </c>
      <c r="Y208" t="n">
        <v>358</v>
      </c>
      <c r="Z208" t="n">
        <v>217</v>
      </c>
      <c r="AA208" t="n">
        <v>333</v>
      </c>
      <c r="AB208" t="n">
        <v>3</v>
      </c>
      <c r="AC208" t="n">
        <v>3</v>
      </c>
      <c r="AD208" t="n">
        <v>9</v>
      </c>
      <c r="AE208" t="n">
        <v>15</v>
      </c>
      <c r="AF208" t="n">
        <v>3</v>
      </c>
      <c r="AG208" t="n">
        <v>6</v>
      </c>
      <c r="AH208" t="n">
        <v>0</v>
      </c>
      <c r="AI208" t="n">
        <v>3</v>
      </c>
      <c r="AJ208" t="n">
        <v>4</v>
      </c>
      <c r="AK208" t="n">
        <v>7</v>
      </c>
      <c r="AL208" t="n">
        <v>2</v>
      </c>
      <c r="AM208" t="n">
        <v>2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HYPERLINK("http://catalog.hathitrust.org/Record/000141739","HathiTrust Record")</f>
        <v/>
      </c>
      <c r="AS208">
        <f>HYPERLINK("https://creighton-primo.hosted.exlibrisgroup.com/primo-explore/search?tab=default_tab&amp;search_scope=EVERYTHING&amp;vid=01CRU&amp;lang=en_US&amp;offset=0&amp;query=any,contains,991005145859702656","Catalog Record")</f>
        <v/>
      </c>
      <c r="AT208">
        <f>HYPERLINK("http://www.worldcat.org/oclc/7668585","WorldCat Record")</f>
        <v/>
      </c>
      <c r="AU208" t="inlineStr">
        <is>
          <t>351877139:eng</t>
        </is>
      </c>
      <c r="AV208" t="inlineStr">
        <is>
          <t>7668585</t>
        </is>
      </c>
      <c r="AW208" t="inlineStr">
        <is>
          <t>991005145859702656</t>
        </is>
      </c>
      <c r="AX208" t="inlineStr">
        <is>
          <t>991005145859702656</t>
        </is>
      </c>
      <c r="AY208" t="inlineStr">
        <is>
          <t>2261593010002656</t>
        </is>
      </c>
      <c r="AZ208" t="inlineStr">
        <is>
          <t>BOOK</t>
        </is>
      </c>
      <c r="BB208" t="inlineStr">
        <is>
          <t>9780416746402</t>
        </is>
      </c>
      <c r="BC208" t="inlineStr">
        <is>
          <t>32285001673424</t>
        </is>
      </c>
      <c r="BD208" t="inlineStr">
        <is>
          <t>893606904</t>
        </is>
      </c>
    </row>
    <row r="209">
      <c r="A209" t="inlineStr">
        <is>
          <t>No</t>
        </is>
      </c>
      <c r="B209" t="inlineStr">
        <is>
          <t>HT151 .W39</t>
        </is>
      </c>
      <c r="C209" t="inlineStr">
        <is>
          <t>0                      HT 0151000W  39</t>
        </is>
      </c>
      <c r="D209" t="inlineStr">
        <is>
          <t>The anthropology of urban environments / edited by Thomas Weaver and Douglas White.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Weaver, Thomas, 1929-</t>
        </is>
      </c>
      <c r="L209" t="inlineStr">
        <is>
          <t>[Washington, D.C. : Society for Applied Anthropology, 1972]</t>
        </is>
      </c>
      <c r="M209" t="inlineStr">
        <is>
          <t>1972</t>
        </is>
      </c>
      <c r="O209" t="inlineStr">
        <is>
          <t>eng</t>
        </is>
      </c>
      <c r="P209" t="inlineStr">
        <is>
          <t>dcu</t>
        </is>
      </c>
      <c r="Q209" t="inlineStr">
        <is>
          <t>Society for Applied Anthropology. Monograph no. 11</t>
        </is>
      </c>
      <c r="R209" t="inlineStr">
        <is>
          <t xml:space="preserve">HT </t>
        </is>
      </c>
      <c r="S209" t="n">
        <v>6</v>
      </c>
      <c r="T209" t="n">
        <v>6</v>
      </c>
      <c r="U209" t="inlineStr">
        <is>
          <t>2010-03-12</t>
        </is>
      </c>
      <c r="V209" t="inlineStr">
        <is>
          <t>2010-03-12</t>
        </is>
      </c>
      <c r="W209" t="inlineStr">
        <is>
          <t>1997-08-18</t>
        </is>
      </c>
      <c r="X209" t="inlineStr">
        <is>
          <t>1997-08-18</t>
        </is>
      </c>
      <c r="Y209" t="n">
        <v>588</v>
      </c>
      <c r="Z209" t="n">
        <v>463</v>
      </c>
      <c r="AA209" t="n">
        <v>465</v>
      </c>
      <c r="AB209" t="n">
        <v>5</v>
      </c>
      <c r="AC209" t="n">
        <v>5</v>
      </c>
      <c r="AD209" t="n">
        <v>27</v>
      </c>
      <c r="AE209" t="n">
        <v>27</v>
      </c>
      <c r="AF209" t="n">
        <v>11</v>
      </c>
      <c r="AG209" t="n">
        <v>11</v>
      </c>
      <c r="AH209" t="n">
        <v>5</v>
      </c>
      <c r="AI209" t="n">
        <v>5</v>
      </c>
      <c r="AJ209" t="n">
        <v>17</v>
      </c>
      <c r="AK209" t="n">
        <v>17</v>
      </c>
      <c r="AL209" t="n">
        <v>4</v>
      </c>
      <c r="AM209" t="n">
        <v>4</v>
      </c>
      <c r="AN209" t="n">
        <v>0</v>
      </c>
      <c r="AO209" t="n">
        <v>0</v>
      </c>
      <c r="AP209" t="inlineStr">
        <is>
          <t>No</t>
        </is>
      </c>
      <c r="AQ209" t="inlineStr">
        <is>
          <t>Yes</t>
        </is>
      </c>
      <c r="AR209">
        <f>HYPERLINK("http://catalog.hathitrust.org/Record/000006958","HathiTrust Record")</f>
        <v/>
      </c>
      <c r="AS209">
        <f>HYPERLINK("https://creighton-primo.hosted.exlibrisgroup.com/primo-explore/search?tab=default_tab&amp;search_scope=EVERYTHING&amp;vid=01CRU&amp;lang=en_US&amp;offset=0&amp;query=any,contains,991002900649702656","Catalog Record")</f>
        <v/>
      </c>
      <c r="AT209">
        <f>HYPERLINK("http://www.worldcat.org/oclc/516552","WorldCat Record")</f>
        <v/>
      </c>
      <c r="AU209" t="inlineStr">
        <is>
          <t>909508245:eng</t>
        </is>
      </c>
      <c r="AV209" t="inlineStr">
        <is>
          <t>516552</t>
        </is>
      </c>
      <c r="AW209" t="inlineStr">
        <is>
          <t>991002900649702656</t>
        </is>
      </c>
      <c r="AX209" t="inlineStr">
        <is>
          <t>991002900649702656</t>
        </is>
      </c>
      <c r="AY209" t="inlineStr">
        <is>
          <t>2256548840002656</t>
        </is>
      </c>
      <c r="AZ209" t="inlineStr">
        <is>
          <t>BOOK</t>
        </is>
      </c>
      <c r="BC209" t="inlineStr">
        <is>
          <t>32285003146726</t>
        </is>
      </c>
      <c r="BD209" t="inlineStr">
        <is>
          <t>893329696</t>
        </is>
      </c>
    </row>
    <row r="210">
      <c r="A210" t="inlineStr">
        <is>
          <t>No</t>
        </is>
      </c>
      <c r="B210" t="inlineStr">
        <is>
          <t>HT151 .W413</t>
        </is>
      </c>
      <c r="C210" t="inlineStr">
        <is>
          <t>0                      HT 0151000W  413</t>
        </is>
      </c>
      <c r="D210" t="inlineStr">
        <is>
          <t>The city. Translated and edited by Don Martindale and Gertrud Neuwirth.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Weber, Max, 1864-1920.</t>
        </is>
      </c>
      <c r="L210" t="inlineStr">
        <is>
          <t>Glencoe, Ill., Free Press [1958]</t>
        </is>
      </c>
      <c r="M210" t="inlineStr">
        <is>
          <t>1958</t>
        </is>
      </c>
      <c r="O210" t="inlineStr">
        <is>
          <t>eng</t>
        </is>
      </c>
      <c r="P210" t="inlineStr">
        <is>
          <t xml:space="preserve">xx </t>
        </is>
      </c>
      <c r="R210" t="inlineStr">
        <is>
          <t xml:space="preserve">HT </t>
        </is>
      </c>
      <c r="S210" t="n">
        <v>1</v>
      </c>
      <c r="T210" t="n">
        <v>1</v>
      </c>
      <c r="U210" t="inlineStr">
        <is>
          <t>2000-11-27</t>
        </is>
      </c>
      <c r="V210" t="inlineStr">
        <is>
          <t>2000-11-27</t>
        </is>
      </c>
      <c r="W210" t="inlineStr">
        <is>
          <t>1997-08-18</t>
        </is>
      </c>
      <c r="X210" t="inlineStr">
        <is>
          <t>1997-08-18</t>
        </is>
      </c>
      <c r="Y210" t="n">
        <v>1024</v>
      </c>
      <c r="Z210" t="n">
        <v>826</v>
      </c>
      <c r="AA210" t="n">
        <v>1232</v>
      </c>
      <c r="AB210" t="n">
        <v>6</v>
      </c>
      <c r="AC210" t="n">
        <v>9</v>
      </c>
      <c r="AD210" t="n">
        <v>33</v>
      </c>
      <c r="AE210" t="n">
        <v>52</v>
      </c>
      <c r="AF210" t="n">
        <v>12</v>
      </c>
      <c r="AG210" t="n">
        <v>20</v>
      </c>
      <c r="AH210" t="n">
        <v>7</v>
      </c>
      <c r="AI210" t="n">
        <v>10</v>
      </c>
      <c r="AJ210" t="n">
        <v>14</v>
      </c>
      <c r="AK210" t="n">
        <v>21</v>
      </c>
      <c r="AL210" t="n">
        <v>5</v>
      </c>
      <c r="AM210" t="n">
        <v>8</v>
      </c>
      <c r="AN210" t="n">
        <v>2</v>
      </c>
      <c r="AO210" t="n">
        <v>4</v>
      </c>
      <c r="AP210" t="inlineStr">
        <is>
          <t>No</t>
        </is>
      </c>
      <c r="AQ210" t="inlineStr">
        <is>
          <t>Yes</t>
        </is>
      </c>
      <c r="AR210">
        <f>HYPERLINK("http://catalog.hathitrust.org/Record/002789235","HathiTrust Record")</f>
        <v/>
      </c>
      <c r="AS210">
        <f>HYPERLINK("https://creighton-primo.hosted.exlibrisgroup.com/primo-explore/search?tab=default_tab&amp;search_scope=EVERYTHING&amp;vid=01CRU&amp;lang=en_US&amp;offset=0&amp;query=any,contains,991003446389702656","Catalog Record")</f>
        <v/>
      </c>
      <c r="AT210">
        <f>HYPERLINK("http://www.worldcat.org/oclc/981841","WorldCat Record")</f>
        <v/>
      </c>
      <c r="AU210" t="inlineStr">
        <is>
          <t>4159941236:eng</t>
        </is>
      </c>
      <c r="AV210" t="inlineStr">
        <is>
          <t>981841</t>
        </is>
      </c>
      <c r="AW210" t="inlineStr">
        <is>
          <t>991003446389702656</t>
        </is>
      </c>
      <c r="AX210" t="inlineStr">
        <is>
          <t>991003446389702656</t>
        </is>
      </c>
      <c r="AY210" t="inlineStr">
        <is>
          <t>2269752840002656</t>
        </is>
      </c>
      <c r="AZ210" t="inlineStr">
        <is>
          <t>BOOK</t>
        </is>
      </c>
      <c r="BC210" t="inlineStr">
        <is>
          <t>32285003146734</t>
        </is>
      </c>
      <c r="BD210" t="inlineStr">
        <is>
          <t>893781019</t>
        </is>
      </c>
    </row>
    <row r="211">
      <c r="A211" t="inlineStr">
        <is>
          <t>No</t>
        </is>
      </c>
      <c r="B211" t="inlineStr">
        <is>
          <t>HT151 .W55 1988</t>
        </is>
      </c>
      <c r="C211" t="inlineStr">
        <is>
          <t>0                      HT 0151000W  55          1988</t>
        </is>
      </c>
      <c r="D211" t="inlineStr">
        <is>
          <t>City : rediscovering the center / William H. Whyte ; photos. by the author.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Whyte, William H., Jr. 1917-1999.</t>
        </is>
      </c>
      <c r="L211" t="inlineStr">
        <is>
          <t>New York : Doubleday, c1988.</t>
        </is>
      </c>
      <c r="M211" t="inlineStr">
        <is>
          <t>1988</t>
        </is>
      </c>
      <c r="N211" t="inlineStr">
        <is>
          <t>1st ed.</t>
        </is>
      </c>
      <c r="O211" t="inlineStr">
        <is>
          <t>eng</t>
        </is>
      </c>
      <c r="P211" t="inlineStr">
        <is>
          <t>nyu</t>
        </is>
      </c>
      <c r="R211" t="inlineStr">
        <is>
          <t xml:space="preserve">HT </t>
        </is>
      </c>
      <c r="S211" t="n">
        <v>3</v>
      </c>
      <c r="T211" t="n">
        <v>3</v>
      </c>
      <c r="U211" t="inlineStr">
        <is>
          <t>2009-07-19</t>
        </is>
      </c>
      <c r="V211" t="inlineStr">
        <is>
          <t>2009-07-19</t>
        </is>
      </c>
      <c r="W211" t="inlineStr">
        <is>
          <t>1990-05-03</t>
        </is>
      </c>
      <c r="X211" t="inlineStr">
        <is>
          <t>1990-05-03</t>
        </is>
      </c>
      <c r="Y211" t="n">
        <v>1064</v>
      </c>
      <c r="Z211" t="n">
        <v>937</v>
      </c>
      <c r="AA211" t="n">
        <v>1412</v>
      </c>
      <c r="AB211" t="n">
        <v>6</v>
      </c>
      <c r="AC211" t="n">
        <v>8</v>
      </c>
      <c r="AD211" t="n">
        <v>31</v>
      </c>
      <c r="AE211" t="n">
        <v>52</v>
      </c>
      <c r="AF211" t="n">
        <v>13</v>
      </c>
      <c r="AG211" t="n">
        <v>21</v>
      </c>
      <c r="AH211" t="n">
        <v>7</v>
      </c>
      <c r="AI211" t="n">
        <v>11</v>
      </c>
      <c r="AJ211" t="n">
        <v>14</v>
      </c>
      <c r="AK211" t="n">
        <v>22</v>
      </c>
      <c r="AL211" t="n">
        <v>4</v>
      </c>
      <c r="AM211" t="n">
        <v>6</v>
      </c>
      <c r="AN211" t="n">
        <v>1</v>
      </c>
      <c r="AO211" t="n">
        <v>2</v>
      </c>
      <c r="AP211" t="inlineStr">
        <is>
          <t>No</t>
        </is>
      </c>
      <c r="AQ211" t="inlineStr">
        <is>
          <t>Yes</t>
        </is>
      </c>
      <c r="AR211">
        <f>HYPERLINK("http://catalog.hathitrust.org/Record/001095982","HathiTrust Record")</f>
        <v/>
      </c>
      <c r="AS211">
        <f>HYPERLINK("https://creighton-primo.hosted.exlibrisgroup.com/primo-explore/search?tab=default_tab&amp;search_scope=EVERYTHING&amp;vid=01CRU&amp;lang=en_US&amp;offset=0&amp;query=any,contains,991001240739702656","Catalog Record")</f>
        <v/>
      </c>
      <c r="AT211">
        <f>HYPERLINK("http://www.worldcat.org/oclc/17619517","WorldCat Record")</f>
        <v/>
      </c>
      <c r="AU211" t="inlineStr">
        <is>
          <t>15713897:eng</t>
        </is>
      </c>
      <c r="AV211" t="inlineStr">
        <is>
          <t>17619517</t>
        </is>
      </c>
      <c r="AW211" t="inlineStr">
        <is>
          <t>991001240739702656</t>
        </is>
      </c>
      <c r="AX211" t="inlineStr">
        <is>
          <t>991001240739702656</t>
        </is>
      </c>
      <c r="AY211" t="inlineStr">
        <is>
          <t>2257714180002656</t>
        </is>
      </c>
      <c r="AZ211" t="inlineStr">
        <is>
          <t>BOOK</t>
        </is>
      </c>
      <c r="BB211" t="inlineStr">
        <is>
          <t>9780385054584</t>
        </is>
      </c>
      <c r="BC211" t="inlineStr">
        <is>
          <t>32285000148022</t>
        </is>
      </c>
      <c r="BD211" t="inlineStr">
        <is>
          <t>893321770</t>
        </is>
      </c>
    </row>
    <row r="212">
      <c r="A212" t="inlineStr">
        <is>
          <t>No</t>
        </is>
      </c>
      <c r="B212" t="inlineStr">
        <is>
          <t>HT1521 .B3313 1991</t>
        </is>
      </c>
      <c r="C212" t="inlineStr">
        <is>
          <t>0                      HT 1521000B  3313        1991</t>
        </is>
      </c>
      <c r="D212" t="inlineStr">
        <is>
          <t>Race, nation, class : ambiguous identities / Etienne Balibar and Immanuel Wallerstein ; translation of Etienne Balibar by Chris Turner.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Balibar, Étienne, 1942-</t>
        </is>
      </c>
      <c r="L212" t="inlineStr">
        <is>
          <t>London ; New York : Verso, 1991.</t>
        </is>
      </c>
      <c r="M212" t="inlineStr">
        <is>
          <t>1991</t>
        </is>
      </c>
      <c r="O212" t="inlineStr">
        <is>
          <t>eng</t>
        </is>
      </c>
      <c r="P212" t="inlineStr">
        <is>
          <t>enk</t>
        </is>
      </c>
      <c r="R212" t="inlineStr">
        <is>
          <t xml:space="preserve">HT </t>
        </is>
      </c>
      <c r="S212" t="n">
        <v>1</v>
      </c>
      <c r="T212" t="n">
        <v>1</v>
      </c>
      <c r="U212" t="inlineStr">
        <is>
          <t>2009-11-02</t>
        </is>
      </c>
      <c r="V212" t="inlineStr">
        <is>
          <t>2009-11-02</t>
        </is>
      </c>
      <c r="W212" t="inlineStr">
        <is>
          <t>2008-03-26</t>
        </is>
      </c>
      <c r="X212" t="inlineStr">
        <is>
          <t>2008-03-26</t>
        </is>
      </c>
      <c r="Y212" t="n">
        <v>624</v>
      </c>
      <c r="Z212" t="n">
        <v>387</v>
      </c>
      <c r="AA212" t="n">
        <v>422</v>
      </c>
      <c r="AB212" t="n">
        <v>2</v>
      </c>
      <c r="AC212" t="n">
        <v>2</v>
      </c>
      <c r="AD212" t="n">
        <v>29</v>
      </c>
      <c r="AE212" t="n">
        <v>29</v>
      </c>
      <c r="AF212" t="n">
        <v>10</v>
      </c>
      <c r="AG212" t="n">
        <v>10</v>
      </c>
      <c r="AH212" t="n">
        <v>8</v>
      </c>
      <c r="AI212" t="n">
        <v>8</v>
      </c>
      <c r="AJ212" t="n">
        <v>17</v>
      </c>
      <c r="AK212" t="n">
        <v>17</v>
      </c>
      <c r="AL212" t="n">
        <v>1</v>
      </c>
      <c r="AM212" t="n">
        <v>1</v>
      </c>
      <c r="AN212" t="n">
        <v>1</v>
      </c>
      <c r="AO212" t="n">
        <v>1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HYPERLINK("https://creighton-primo.hosted.exlibrisgroup.com/primo-explore/search?tab=default_tab&amp;search_scope=EVERYTHING&amp;vid=01CRU&amp;lang=en_US&amp;offset=0&amp;query=any,contains,991005197729702656","Catalog Record")</f>
        <v/>
      </c>
      <c r="AT212">
        <f>HYPERLINK("http://www.worldcat.org/oclc/24174517","WorldCat Record")</f>
        <v/>
      </c>
      <c r="AU212" t="inlineStr">
        <is>
          <t>2892298134:eng</t>
        </is>
      </c>
      <c r="AV212" t="inlineStr">
        <is>
          <t>24174517</t>
        </is>
      </c>
      <c r="AW212" t="inlineStr">
        <is>
          <t>991005197729702656</t>
        </is>
      </c>
      <c r="AX212" t="inlineStr">
        <is>
          <t>991005197729702656</t>
        </is>
      </c>
      <c r="AY212" t="inlineStr">
        <is>
          <t>2269506660002656</t>
        </is>
      </c>
      <c r="AZ212" t="inlineStr">
        <is>
          <t>BOOK</t>
        </is>
      </c>
      <c r="BB212" t="inlineStr">
        <is>
          <t>9780860913276</t>
        </is>
      </c>
      <c r="BC212" t="inlineStr">
        <is>
          <t>32285005398853</t>
        </is>
      </c>
      <c r="BD212" t="inlineStr">
        <is>
          <t>893501483</t>
        </is>
      </c>
    </row>
    <row r="213">
      <c r="A213" t="inlineStr">
        <is>
          <t>No</t>
        </is>
      </c>
      <c r="B213" t="inlineStr">
        <is>
          <t>HT1521 .B476 2002</t>
        </is>
      </c>
      <c r="C213" t="inlineStr">
        <is>
          <t>0                      HT 1521000B  476         2002</t>
        </is>
      </c>
      <c r="D213" t="inlineStr">
        <is>
          <t>Race and power : global racism in the twenty-first century / Gargi Bhattacharyya, John Gabriel and Stephen Small.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Bhattacharyya, Gargi, 1964-</t>
        </is>
      </c>
      <c r="L213" t="inlineStr">
        <is>
          <t>London ; New York : Routledge, 2002.</t>
        </is>
      </c>
      <c r="M213" t="inlineStr">
        <is>
          <t>2002</t>
        </is>
      </c>
      <c r="O213" t="inlineStr">
        <is>
          <t>eng</t>
        </is>
      </c>
      <c r="P213" t="inlineStr">
        <is>
          <t>enk</t>
        </is>
      </c>
      <c r="R213" t="inlineStr">
        <is>
          <t xml:space="preserve">HT </t>
        </is>
      </c>
      <c r="S213" t="n">
        <v>5</v>
      </c>
      <c r="T213" t="n">
        <v>5</v>
      </c>
      <c r="U213" t="inlineStr">
        <is>
          <t>2004-08-29</t>
        </is>
      </c>
      <c r="V213" t="inlineStr">
        <is>
          <t>2004-08-29</t>
        </is>
      </c>
      <c r="W213" t="inlineStr">
        <is>
          <t>2001-11-15</t>
        </is>
      </c>
      <c r="X213" t="inlineStr">
        <is>
          <t>2001-11-15</t>
        </is>
      </c>
      <c r="Y213" t="n">
        <v>359</v>
      </c>
      <c r="Z213" t="n">
        <v>230</v>
      </c>
      <c r="AA213" t="n">
        <v>253</v>
      </c>
      <c r="AB213" t="n">
        <v>2</v>
      </c>
      <c r="AC213" t="n">
        <v>2</v>
      </c>
      <c r="AD213" t="n">
        <v>11</v>
      </c>
      <c r="AE213" t="n">
        <v>12</v>
      </c>
      <c r="AF213" t="n">
        <v>2</v>
      </c>
      <c r="AG213" t="n">
        <v>2</v>
      </c>
      <c r="AH213" t="n">
        <v>4</v>
      </c>
      <c r="AI213" t="n">
        <v>5</v>
      </c>
      <c r="AJ213" t="n">
        <v>5</v>
      </c>
      <c r="AK213" t="n">
        <v>5</v>
      </c>
      <c r="AL213" t="n">
        <v>1</v>
      </c>
      <c r="AM213" t="n">
        <v>1</v>
      </c>
      <c r="AN213" t="n">
        <v>1</v>
      </c>
      <c r="AO213" t="n">
        <v>1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HYPERLINK("https://creighton-primo.hosted.exlibrisgroup.com/primo-explore/search?tab=default_tab&amp;search_scope=EVERYTHING&amp;vid=01CRU&amp;lang=en_US&amp;offset=0&amp;query=any,contains,991003621099702656","Catalog Record")</f>
        <v/>
      </c>
      <c r="AT213">
        <f>HYPERLINK("http://www.worldcat.org/oclc/46769518","WorldCat Record")</f>
        <v/>
      </c>
      <c r="AU213" t="inlineStr">
        <is>
          <t>837078274:eng</t>
        </is>
      </c>
      <c r="AV213" t="inlineStr">
        <is>
          <t>46769518</t>
        </is>
      </c>
      <c r="AW213" t="inlineStr">
        <is>
          <t>991003621099702656</t>
        </is>
      </c>
      <c r="AX213" t="inlineStr">
        <is>
          <t>991003621099702656</t>
        </is>
      </c>
      <c r="AY213" t="inlineStr">
        <is>
          <t>2271837570002656</t>
        </is>
      </c>
      <c r="AZ213" t="inlineStr">
        <is>
          <t>BOOK</t>
        </is>
      </c>
      <c r="BB213" t="inlineStr">
        <is>
          <t>9780415219709</t>
        </is>
      </c>
      <c r="BC213" t="inlineStr">
        <is>
          <t>32285004411913</t>
        </is>
      </c>
      <c r="BD213" t="inlineStr">
        <is>
          <t>893874972</t>
        </is>
      </c>
    </row>
    <row r="214">
      <c r="A214" t="inlineStr">
        <is>
          <t>No</t>
        </is>
      </c>
      <c r="B214" t="inlineStr">
        <is>
          <t>HT1521 .B78 1968</t>
        </is>
      </c>
      <c r="C214" t="inlineStr">
        <is>
          <t>0                      HT 1521000B  78          1968</t>
        </is>
      </c>
      <c r="D214" t="inlineStr">
        <is>
          <t>A world view of race / by Ralph J. Bunche.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Bunche, Ralph J. (Ralph Johnson), 1904-1971.</t>
        </is>
      </c>
      <c r="L214" t="inlineStr">
        <is>
          <t>Port Washington, N.Y. : Kennikat Press, [1968, c1936]</t>
        </is>
      </c>
      <c r="M214" t="inlineStr">
        <is>
          <t>1968</t>
        </is>
      </c>
      <c r="O214" t="inlineStr">
        <is>
          <t>eng</t>
        </is>
      </c>
      <c r="P214" t="inlineStr">
        <is>
          <t>nyu</t>
        </is>
      </c>
      <c r="Q214" t="inlineStr">
        <is>
          <t>Kennikat Press series in Negro culture and history</t>
        </is>
      </c>
      <c r="R214" t="inlineStr">
        <is>
          <t xml:space="preserve">HT </t>
        </is>
      </c>
      <c r="S214" t="n">
        <v>2</v>
      </c>
      <c r="T214" t="n">
        <v>2</v>
      </c>
      <c r="U214" t="inlineStr">
        <is>
          <t>2008-12-11</t>
        </is>
      </c>
      <c r="V214" t="inlineStr">
        <is>
          <t>2008-12-11</t>
        </is>
      </c>
      <c r="W214" t="inlineStr">
        <is>
          <t>1991-02-06</t>
        </is>
      </c>
      <c r="X214" t="inlineStr">
        <is>
          <t>1991-02-06</t>
        </is>
      </c>
      <c r="Y214" t="n">
        <v>299</v>
      </c>
      <c r="Z214" t="n">
        <v>269</v>
      </c>
      <c r="AA214" t="n">
        <v>426</v>
      </c>
      <c r="AB214" t="n">
        <v>2</v>
      </c>
      <c r="AC214" t="n">
        <v>2</v>
      </c>
      <c r="AD214" t="n">
        <v>11</v>
      </c>
      <c r="AE214" t="n">
        <v>16</v>
      </c>
      <c r="AF214" t="n">
        <v>3</v>
      </c>
      <c r="AG214" t="n">
        <v>5</v>
      </c>
      <c r="AH214" t="n">
        <v>2</v>
      </c>
      <c r="AI214" t="n">
        <v>6</v>
      </c>
      <c r="AJ214" t="n">
        <v>6</v>
      </c>
      <c r="AK214" t="n">
        <v>7</v>
      </c>
      <c r="AL214" t="n">
        <v>1</v>
      </c>
      <c r="AM214" t="n">
        <v>1</v>
      </c>
      <c r="AN214" t="n">
        <v>0</v>
      </c>
      <c r="AO214" t="n">
        <v>0</v>
      </c>
      <c r="AP214" t="inlineStr">
        <is>
          <t>No</t>
        </is>
      </c>
      <c r="AQ214" t="inlineStr">
        <is>
          <t>No</t>
        </is>
      </c>
      <c r="AS214">
        <f>HYPERLINK("https://creighton-primo.hosted.exlibrisgroup.com/primo-explore/search?tab=default_tab&amp;search_scope=EVERYTHING&amp;vid=01CRU&amp;lang=en_US&amp;offset=0&amp;query=any,contains,991002085679702656","Catalog Record")</f>
        <v/>
      </c>
      <c r="AT214">
        <f>HYPERLINK("http://www.worldcat.org/oclc/265113","WorldCat Record")</f>
        <v/>
      </c>
      <c r="AU214" t="inlineStr">
        <is>
          <t>1381496:eng</t>
        </is>
      </c>
      <c r="AV214" t="inlineStr">
        <is>
          <t>265113</t>
        </is>
      </c>
      <c r="AW214" t="inlineStr">
        <is>
          <t>991002085679702656</t>
        </is>
      </c>
      <c r="AX214" t="inlineStr">
        <is>
          <t>991002085679702656</t>
        </is>
      </c>
      <c r="AY214" t="inlineStr">
        <is>
          <t>2267671920002656</t>
        </is>
      </c>
      <c r="AZ214" t="inlineStr">
        <is>
          <t>BOOK</t>
        </is>
      </c>
      <c r="BC214" t="inlineStr">
        <is>
          <t>32285000473438</t>
        </is>
      </c>
      <c r="BD214" t="inlineStr">
        <is>
          <t>893773198</t>
        </is>
      </c>
    </row>
    <row r="215">
      <c r="A215" t="inlineStr">
        <is>
          <t>No</t>
        </is>
      </c>
      <c r="B215" t="inlineStr">
        <is>
          <t>HT1521 .C33 1989</t>
        </is>
      </c>
      <c r="C215" t="inlineStr">
        <is>
          <t>0                      HT 1521000C  33          1989</t>
        </is>
      </c>
      <c r="D215" t="inlineStr">
        <is>
          <t>For the love of one another : a special message on the occasion of the tenth anniversary of Brothers and Sisters to us.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Catholic Church. National Conference of Catholic Bishops. Bishops' Committee on Black Catholics.</t>
        </is>
      </c>
      <c r="L215" t="inlineStr">
        <is>
          <t>Washington, D.C. : United States Catholic Conference, c1989.</t>
        </is>
      </c>
      <c r="M215" t="inlineStr">
        <is>
          <t>1989</t>
        </is>
      </c>
      <c r="O215" t="inlineStr">
        <is>
          <t>eng</t>
        </is>
      </c>
      <c r="P215" t="inlineStr">
        <is>
          <t>dcu</t>
        </is>
      </c>
      <c r="Q215" t="inlineStr">
        <is>
          <t>Publication / Office for Publishing and Promotion Services, United States Catholic Conference ; no. 312-4</t>
        </is>
      </c>
      <c r="R215" t="inlineStr">
        <is>
          <t xml:space="preserve">HT </t>
        </is>
      </c>
      <c r="S215" t="n">
        <v>15</v>
      </c>
      <c r="T215" t="n">
        <v>15</v>
      </c>
      <c r="U215" t="inlineStr">
        <is>
          <t>2008-04-13</t>
        </is>
      </c>
      <c r="V215" t="inlineStr">
        <is>
          <t>2008-04-13</t>
        </is>
      </c>
      <c r="W215" t="inlineStr">
        <is>
          <t>1990-02-08</t>
        </is>
      </c>
      <c r="X215" t="inlineStr">
        <is>
          <t>1990-02-08</t>
        </is>
      </c>
      <c r="Y215" t="n">
        <v>71</v>
      </c>
      <c r="Z215" t="n">
        <v>70</v>
      </c>
      <c r="AA215" t="n">
        <v>70</v>
      </c>
      <c r="AB215" t="n">
        <v>1</v>
      </c>
      <c r="AC215" t="n">
        <v>1</v>
      </c>
      <c r="AD215" t="n">
        <v>11</v>
      </c>
      <c r="AE215" t="n">
        <v>11</v>
      </c>
      <c r="AF215" t="n">
        <v>4</v>
      </c>
      <c r="AG215" t="n">
        <v>4</v>
      </c>
      <c r="AH215" t="n">
        <v>3</v>
      </c>
      <c r="AI215" t="n">
        <v>3</v>
      </c>
      <c r="AJ215" t="n">
        <v>9</v>
      </c>
      <c r="AK215" t="n">
        <v>9</v>
      </c>
      <c r="AL215" t="n">
        <v>0</v>
      </c>
      <c r="AM215" t="n">
        <v>0</v>
      </c>
      <c r="AN215" t="n">
        <v>0</v>
      </c>
      <c r="AO215" t="n">
        <v>0</v>
      </c>
      <c r="AP215" t="inlineStr">
        <is>
          <t>No</t>
        </is>
      </c>
      <c r="AQ215" t="inlineStr">
        <is>
          <t>No</t>
        </is>
      </c>
      <c r="AS215">
        <f>HYPERLINK("https://creighton-primo.hosted.exlibrisgroup.com/primo-explore/search?tab=default_tab&amp;search_scope=EVERYTHING&amp;vid=01CRU&amp;lang=en_US&amp;offset=0&amp;query=any,contains,991001629099702656","Catalog Record")</f>
        <v/>
      </c>
      <c r="AT215">
        <f>HYPERLINK("http://www.worldcat.org/oclc/20882228","WorldCat Record")</f>
        <v/>
      </c>
      <c r="AU215" t="inlineStr">
        <is>
          <t>22546079:eng</t>
        </is>
      </c>
      <c r="AV215" t="inlineStr">
        <is>
          <t>20882228</t>
        </is>
      </c>
      <c r="AW215" t="inlineStr">
        <is>
          <t>991001629099702656</t>
        </is>
      </c>
      <c r="AX215" t="inlineStr">
        <is>
          <t>991001629099702656</t>
        </is>
      </c>
      <c r="AY215" t="inlineStr">
        <is>
          <t>2268306900002656</t>
        </is>
      </c>
      <c r="AZ215" t="inlineStr">
        <is>
          <t>BOOK</t>
        </is>
      </c>
      <c r="BB215" t="inlineStr">
        <is>
          <t>9781555863128</t>
        </is>
      </c>
      <c r="BC215" t="inlineStr">
        <is>
          <t>32285000021062</t>
        </is>
      </c>
      <c r="BD215" t="inlineStr">
        <is>
          <t>893346639</t>
        </is>
      </c>
    </row>
    <row r="216">
      <c r="A216" t="inlineStr">
        <is>
          <t>No</t>
        </is>
      </c>
      <c r="B216" t="inlineStr">
        <is>
          <t>HT1521 .C335 2001</t>
        </is>
      </c>
      <c r="C216" t="inlineStr">
        <is>
          <t>0                      HT 1521000C  335         2001</t>
        </is>
      </c>
      <c r="D216" t="inlineStr">
        <is>
          <t>Love thy neighbor as thyself : U.S. Catholic bishops speak against racism, January 1997-June 2000 / Committee on African American Catholics, National Conference of Catholic Bishops.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Catholic Church. National Conference of Catholic Bishops. Committee on African American Catholics.</t>
        </is>
      </c>
      <c r="L216" t="inlineStr">
        <is>
          <t>Washington, D.C. : United States Catholic Conference, 2001.</t>
        </is>
      </c>
      <c r="M216" t="inlineStr">
        <is>
          <t>2001</t>
        </is>
      </c>
      <c r="O216" t="inlineStr">
        <is>
          <t>eng</t>
        </is>
      </c>
      <c r="P216" t="inlineStr">
        <is>
          <t>dcu</t>
        </is>
      </c>
      <c r="Q216" t="inlineStr">
        <is>
          <t>Publication (United States Catholic Conference) ; no. 5-393</t>
        </is>
      </c>
      <c r="R216" t="inlineStr">
        <is>
          <t xml:space="preserve">HT </t>
        </is>
      </c>
      <c r="S216" t="n">
        <v>6</v>
      </c>
      <c r="T216" t="n">
        <v>6</v>
      </c>
      <c r="U216" t="inlineStr">
        <is>
          <t>2008-04-13</t>
        </is>
      </c>
      <c r="V216" t="inlineStr">
        <is>
          <t>2008-04-13</t>
        </is>
      </c>
      <c r="W216" t="inlineStr">
        <is>
          <t>2001-03-07</t>
        </is>
      </c>
      <c r="X216" t="inlineStr">
        <is>
          <t>2001-03-07</t>
        </is>
      </c>
      <c r="Y216" t="n">
        <v>119</v>
      </c>
      <c r="Z216" t="n">
        <v>112</v>
      </c>
      <c r="AA216" t="n">
        <v>112</v>
      </c>
      <c r="AB216" t="n">
        <v>2</v>
      </c>
      <c r="AC216" t="n">
        <v>2</v>
      </c>
      <c r="AD216" t="n">
        <v>18</v>
      </c>
      <c r="AE216" t="n">
        <v>18</v>
      </c>
      <c r="AF216" t="n">
        <v>5</v>
      </c>
      <c r="AG216" t="n">
        <v>5</v>
      </c>
      <c r="AH216" t="n">
        <v>4</v>
      </c>
      <c r="AI216" t="n">
        <v>4</v>
      </c>
      <c r="AJ216" t="n">
        <v>14</v>
      </c>
      <c r="AK216" t="n">
        <v>14</v>
      </c>
      <c r="AL216" t="n">
        <v>0</v>
      </c>
      <c r="AM216" t="n">
        <v>0</v>
      </c>
      <c r="AN216" t="n">
        <v>0</v>
      </c>
      <c r="AO216" t="n">
        <v>0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HYPERLINK("https://creighton-primo.hosted.exlibrisgroup.com/primo-explore/search?tab=default_tab&amp;search_scope=EVERYTHING&amp;vid=01CRU&amp;lang=en_US&amp;offset=0&amp;query=any,contains,991003507089702656","Catalog Record")</f>
        <v/>
      </c>
      <c r="AT216">
        <f>HYPERLINK("http://www.worldcat.org/oclc/46350576","WorldCat Record")</f>
        <v/>
      </c>
      <c r="AU216" t="inlineStr">
        <is>
          <t>35043118:eng</t>
        </is>
      </c>
      <c r="AV216" t="inlineStr">
        <is>
          <t>46350576</t>
        </is>
      </c>
      <c r="AW216" t="inlineStr">
        <is>
          <t>991003507089702656</t>
        </is>
      </c>
      <c r="AX216" t="inlineStr">
        <is>
          <t>991003507089702656</t>
        </is>
      </c>
      <c r="AY216" t="inlineStr">
        <is>
          <t>2256585160002656</t>
        </is>
      </c>
      <c r="AZ216" t="inlineStr">
        <is>
          <t>BOOK</t>
        </is>
      </c>
      <c r="BB216" t="inlineStr">
        <is>
          <t>9781574553932</t>
        </is>
      </c>
      <c r="BC216" t="inlineStr">
        <is>
          <t>32285004299805</t>
        </is>
      </c>
      <c r="BD216" t="inlineStr">
        <is>
          <t>893348750</t>
        </is>
      </c>
    </row>
    <row r="217">
      <c r="A217" t="inlineStr">
        <is>
          <t>No</t>
        </is>
      </c>
      <c r="B217" t="inlineStr">
        <is>
          <t>HT1521 .C66 1994</t>
        </is>
      </c>
      <c r="C217" t="inlineStr">
        <is>
          <t>0                      HT 1521000C  66          1994</t>
        </is>
      </c>
      <c r="D217" t="inlineStr">
        <is>
          <t>Confronting racism and sexism / Elisabeth Hayes, Scipio A. J. Colin III, editors.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L217" t="inlineStr">
        <is>
          <t>San Francisco : Jossey-Bass, c1994.</t>
        </is>
      </c>
      <c r="M217" t="inlineStr">
        <is>
          <t>1994</t>
        </is>
      </c>
      <c r="O217" t="inlineStr">
        <is>
          <t>eng</t>
        </is>
      </c>
      <c r="P217" t="inlineStr">
        <is>
          <t>cau</t>
        </is>
      </c>
      <c r="Q217" t="inlineStr">
        <is>
          <t>New directions for adult and continuing education, 0195-2242 ; no. 61 (Spring 1994)</t>
        </is>
      </c>
      <c r="R217" t="inlineStr">
        <is>
          <t xml:space="preserve">HT </t>
        </is>
      </c>
      <c r="S217" t="n">
        <v>7</v>
      </c>
      <c r="T217" t="n">
        <v>7</v>
      </c>
      <c r="U217" t="inlineStr">
        <is>
          <t>2006-10-31</t>
        </is>
      </c>
      <c r="V217" t="inlineStr">
        <is>
          <t>2006-10-31</t>
        </is>
      </c>
      <c r="W217" t="inlineStr">
        <is>
          <t>1996-03-07</t>
        </is>
      </c>
      <c r="X217" t="inlineStr">
        <is>
          <t>1996-03-07</t>
        </is>
      </c>
      <c r="Y217" t="n">
        <v>275</v>
      </c>
      <c r="Z217" t="n">
        <v>245</v>
      </c>
      <c r="AA217" t="n">
        <v>245</v>
      </c>
      <c r="AB217" t="n">
        <v>4</v>
      </c>
      <c r="AC217" t="n">
        <v>4</v>
      </c>
      <c r="AD217" t="n">
        <v>11</v>
      </c>
      <c r="AE217" t="n">
        <v>11</v>
      </c>
      <c r="AF217" t="n">
        <v>2</v>
      </c>
      <c r="AG217" t="n">
        <v>2</v>
      </c>
      <c r="AH217" t="n">
        <v>2</v>
      </c>
      <c r="AI217" t="n">
        <v>2</v>
      </c>
      <c r="AJ217" t="n">
        <v>7</v>
      </c>
      <c r="AK217" t="n">
        <v>7</v>
      </c>
      <c r="AL217" t="n">
        <v>3</v>
      </c>
      <c r="AM217" t="n">
        <v>3</v>
      </c>
      <c r="AN217" t="n">
        <v>0</v>
      </c>
      <c r="AO217" t="n">
        <v>0</v>
      </c>
      <c r="AP217" t="inlineStr">
        <is>
          <t>No</t>
        </is>
      </c>
      <c r="AQ217" t="inlineStr">
        <is>
          <t>No</t>
        </is>
      </c>
      <c r="AS217">
        <f>HYPERLINK("https://creighton-primo.hosted.exlibrisgroup.com/primo-explore/search?tab=default_tab&amp;search_scope=EVERYTHING&amp;vid=01CRU&amp;lang=en_US&amp;offset=0&amp;query=any,contains,991002323269702656","Catalog Record")</f>
        <v/>
      </c>
      <c r="AT217">
        <f>HYPERLINK("http://www.worldcat.org/oclc/30120541","WorldCat Record")</f>
        <v/>
      </c>
      <c r="AU217" t="inlineStr">
        <is>
          <t>356247904:eng</t>
        </is>
      </c>
      <c r="AV217" t="inlineStr">
        <is>
          <t>30120541</t>
        </is>
      </c>
      <c r="AW217" t="inlineStr">
        <is>
          <t>991002323269702656</t>
        </is>
      </c>
      <c r="AX217" t="inlineStr">
        <is>
          <t>991002323269702656</t>
        </is>
      </c>
      <c r="AY217" t="inlineStr">
        <is>
          <t>2266990850002656</t>
        </is>
      </c>
      <c r="AZ217" t="inlineStr">
        <is>
          <t>BOOK</t>
        </is>
      </c>
      <c r="BB217" t="inlineStr">
        <is>
          <t>9781555427177</t>
        </is>
      </c>
      <c r="BC217" t="inlineStr">
        <is>
          <t>32285002140639</t>
        </is>
      </c>
      <c r="BD217" t="inlineStr">
        <is>
          <t>893529831</t>
        </is>
      </c>
    </row>
    <row r="218">
      <c r="A218" t="inlineStr">
        <is>
          <t>No</t>
        </is>
      </c>
      <c r="B218" t="inlineStr">
        <is>
          <t>HT1521 .E44 1996</t>
        </is>
      </c>
      <c r="C218" t="inlineStr">
        <is>
          <t>0                      HT 1521000E  44          1996</t>
        </is>
      </c>
      <c r="D218" t="inlineStr">
        <is>
          <t>Hatreds : racialized and sexualized conflicts in the 21st century / Zillah Eisenstein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Eisenstein, Zillah R.</t>
        </is>
      </c>
      <c r="L218" t="inlineStr">
        <is>
          <t>New York : Routledge, 1996.</t>
        </is>
      </c>
      <c r="M218" t="inlineStr">
        <is>
          <t>1996</t>
        </is>
      </c>
      <c r="O218" t="inlineStr">
        <is>
          <t>eng</t>
        </is>
      </c>
      <c r="P218" t="inlineStr">
        <is>
          <t>nyu</t>
        </is>
      </c>
      <c r="R218" t="inlineStr">
        <is>
          <t xml:space="preserve">HT </t>
        </is>
      </c>
      <c r="S218" t="n">
        <v>2</v>
      </c>
      <c r="T218" t="n">
        <v>2</v>
      </c>
      <c r="U218" t="inlineStr">
        <is>
          <t>2001-04-17</t>
        </is>
      </c>
      <c r="V218" t="inlineStr">
        <is>
          <t>2001-04-17</t>
        </is>
      </c>
      <c r="W218" t="inlineStr">
        <is>
          <t>1999-11-23</t>
        </is>
      </c>
      <c r="X218" t="inlineStr">
        <is>
          <t>1999-11-23</t>
        </is>
      </c>
      <c r="Y218" t="n">
        <v>436</v>
      </c>
      <c r="Z218" t="n">
        <v>322</v>
      </c>
      <c r="AA218" t="n">
        <v>343</v>
      </c>
      <c r="AB218" t="n">
        <v>4</v>
      </c>
      <c r="AC218" t="n">
        <v>4</v>
      </c>
      <c r="AD218" t="n">
        <v>21</v>
      </c>
      <c r="AE218" t="n">
        <v>21</v>
      </c>
      <c r="AF218" t="n">
        <v>4</v>
      </c>
      <c r="AG218" t="n">
        <v>4</v>
      </c>
      <c r="AH218" t="n">
        <v>6</v>
      </c>
      <c r="AI218" t="n">
        <v>6</v>
      </c>
      <c r="AJ218" t="n">
        <v>14</v>
      </c>
      <c r="AK218" t="n">
        <v>14</v>
      </c>
      <c r="AL218" t="n">
        <v>3</v>
      </c>
      <c r="AM218" t="n">
        <v>3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HYPERLINK("http://catalog.hathitrust.org/Record/003081080","HathiTrust Record")</f>
        <v/>
      </c>
      <c r="AS218">
        <f>HYPERLINK("https://creighton-primo.hosted.exlibrisgroup.com/primo-explore/search?tab=default_tab&amp;search_scope=EVERYTHING&amp;vid=01CRU&amp;lang=en_US&amp;offset=0&amp;query=any,contains,991002603769702656","Catalog Record")</f>
        <v/>
      </c>
      <c r="AT218">
        <f>HYPERLINK("http://www.worldcat.org/oclc/34113903","WorldCat Record")</f>
        <v/>
      </c>
      <c r="AU218" t="inlineStr">
        <is>
          <t>39013557:eng</t>
        </is>
      </c>
      <c r="AV218" t="inlineStr">
        <is>
          <t>34113903</t>
        </is>
      </c>
      <c r="AW218" t="inlineStr">
        <is>
          <t>991002603769702656</t>
        </is>
      </c>
      <c r="AX218" t="inlineStr">
        <is>
          <t>991002603769702656</t>
        </is>
      </c>
      <c r="AY218" t="inlineStr">
        <is>
          <t>2272533620002656</t>
        </is>
      </c>
      <c r="AZ218" t="inlineStr">
        <is>
          <t>BOOK</t>
        </is>
      </c>
      <c r="BB218" t="inlineStr">
        <is>
          <t>9780415912204</t>
        </is>
      </c>
      <c r="BC218" t="inlineStr">
        <is>
          <t>32285003624359</t>
        </is>
      </c>
      <c r="BD218" t="inlineStr">
        <is>
          <t>893498309</t>
        </is>
      </c>
    </row>
    <row r="219">
      <c r="A219" t="inlineStr">
        <is>
          <t>No</t>
        </is>
      </c>
      <c r="B219" t="inlineStr">
        <is>
          <t>HT1521 .E84 1987</t>
        </is>
      </c>
      <c r="C219" t="inlineStr">
        <is>
          <t>0                      HT 1521000E  84          1987</t>
        </is>
      </c>
      <c r="D219" t="inlineStr">
        <is>
          <t>Ethnic conflict : international perspectives / edited by Jerry Boucher, Dan Landis, Karen Arnold Clark.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L219" t="inlineStr">
        <is>
          <t>Newbury Park, Calif. : Sage Publications, c1987.</t>
        </is>
      </c>
      <c r="M219" t="inlineStr">
        <is>
          <t>1987</t>
        </is>
      </c>
      <c r="O219" t="inlineStr">
        <is>
          <t>eng</t>
        </is>
      </c>
      <c r="P219" t="inlineStr">
        <is>
          <t>cau</t>
        </is>
      </c>
      <c r="Q219" t="inlineStr">
        <is>
          <t>Sage focus editions ; 84</t>
        </is>
      </c>
      <c r="R219" t="inlineStr">
        <is>
          <t xml:space="preserve">HT </t>
        </is>
      </c>
      <c r="S219" t="n">
        <v>6</v>
      </c>
      <c r="T219" t="n">
        <v>6</v>
      </c>
      <c r="U219" t="inlineStr">
        <is>
          <t>2000-11-27</t>
        </is>
      </c>
      <c r="V219" t="inlineStr">
        <is>
          <t>2000-11-27</t>
        </is>
      </c>
      <c r="W219" t="inlineStr">
        <is>
          <t>1990-08-22</t>
        </is>
      </c>
      <c r="X219" t="inlineStr">
        <is>
          <t>1990-08-22</t>
        </is>
      </c>
      <c r="Y219" t="n">
        <v>433</v>
      </c>
      <c r="Z219" t="n">
        <v>298</v>
      </c>
      <c r="AA219" t="n">
        <v>301</v>
      </c>
      <c r="AB219" t="n">
        <v>2</v>
      </c>
      <c r="AC219" t="n">
        <v>2</v>
      </c>
      <c r="AD219" t="n">
        <v>15</v>
      </c>
      <c r="AE219" t="n">
        <v>15</v>
      </c>
      <c r="AF219" t="n">
        <v>5</v>
      </c>
      <c r="AG219" t="n">
        <v>5</v>
      </c>
      <c r="AH219" t="n">
        <v>5</v>
      </c>
      <c r="AI219" t="n">
        <v>5</v>
      </c>
      <c r="AJ219" t="n">
        <v>8</v>
      </c>
      <c r="AK219" t="n">
        <v>8</v>
      </c>
      <c r="AL219" t="n">
        <v>1</v>
      </c>
      <c r="AM219" t="n">
        <v>1</v>
      </c>
      <c r="AN219" t="n">
        <v>0</v>
      </c>
      <c r="AO219" t="n">
        <v>0</v>
      </c>
      <c r="AP219" t="inlineStr">
        <is>
          <t>No</t>
        </is>
      </c>
      <c r="AQ219" t="inlineStr">
        <is>
          <t>No</t>
        </is>
      </c>
      <c r="AS219">
        <f>HYPERLINK("https://creighton-primo.hosted.exlibrisgroup.com/primo-explore/search?tab=default_tab&amp;search_scope=EVERYTHING&amp;vid=01CRU&amp;lang=en_US&amp;offset=0&amp;query=any,contains,991000898019702656","Catalog Record")</f>
        <v/>
      </c>
      <c r="AT219">
        <f>HYPERLINK("http://www.worldcat.org/oclc/14002344","WorldCat Record")</f>
        <v/>
      </c>
      <c r="AU219" t="inlineStr">
        <is>
          <t>1909017761:eng</t>
        </is>
      </c>
      <c r="AV219" t="inlineStr">
        <is>
          <t>14002344</t>
        </is>
      </c>
      <c r="AW219" t="inlineStr">
        <is>
          <t>991000898019702656</t>
        </is>
      </c>
      <c r="AX219" t="inlineStr">
        <is>
          <t>991000898019702656</t>
        </is>
      </c>
      <c r="AY219" t="inlineStr">
        <is>
          <t>2257122870002656</t>
        </is>
      </c>
      <c r="AZ219" t="inlineStr">
        <is>
          <t>BOOK</t>
        </is>
      </c>
      <c r="BB219" t="inlineStr">
        <is>
          <t>9780803928176</t>
        </is>
      </c>
      <c r="BC219" t="inlineStr">
        <is>
          <t>32285000244706</t>
        </is>
      </c>
      <c r="BD219" t="inlineStr">
        <is>
          <t>893249784</t>
        </is>
      </c>
    </row>
    <row r="220">
      <c r="A220" t="inlineStr">
        <is>
          <t>No</t>
        </is>
      </c>
      <c r="B220" t="inlineStr">
        <is>
          <t>HT1521 .G57 1997</t>
        </is>
      </c>
      <c r="C220" t="inlineStr">
        <is>
          <t>0                      HT 1521000G  57          1997</t>
        </is>
      </c>
      <c r="D220" t="inlineStr">
        <is>
          <t>Her Majesty's other children : sketches of racism from a neocolonial age / Lewis R. Gordon ; with a foreword by Renée T. White.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Gordon, Lewis R. (Lewis Ricardo), 1962-</t>
        </is>
      </c>
      <c r="L220" t="inlineStr">
        <is>
          <t>Lanham, Md. : Rowman &amp; Littlefield, c1997.</t>
        </is>
      </c>
      <c r="M220" t="inlineStr">
        <is>
          <t>1997</t>
        </is>
      </c>
      <c r="O220" t="inlineStr">
        <is>
          <t>eng</t>
        </is>
      </c>
      <c r="P220" t="inlineStr">
        <is>
          <t>mdu</t>
        </is>
      </c>
      <c r="R220" t="inlineStr">
        <is>
          <t xml:space="preserve">HT </t>
        </is>
      </c>
      <c r="S220" t="n">
        <v>11</v>
      </c>
      <c r="T220" t="n">
        <v>11</v>
      </c>
      <c r="U220" t="inlineStr">
        <is>
          <t>2004-10-09</t>
        </is>
      </c>
      <c r="V220" t="inlineStr">
        <is>
          <t>2004-10-09</t>
        </is>
      </c>
      <c r="W220" t="inlineStr">
        <is>
          <t>1997-09-30</t>
        </is>
      </c>
      <c r="X220" t="inlineStr">
        <is>
          <t>1997-09-30</t>
        </is>
      </c>
      <c r="Y220" t="n">
        <v>286</v>
      </c>
      <c r="Z220" t="n">
        <v>240</v>
      </c>
      <c r="AA220" t="n">
        <v>627</v>
      </c>
      <c r="AB220" t="n">
        <v>2</v>
      </c>
      <c r="AC220" t="n">
        <v>3</v>
      </c>
      <c r="AD220" t="n">
        <v>16</v>
      </c>
      <c r="AE220" t="n">
        <v>21</v>
      </c>
      <c r="AF220" t="n">
        <v>4</v>
      </c>
      <c r="AG220" t="n">
        <v>7</v>
      </c>
      <c r="AH220" t="n">
        <v>6</v>
      </c>
      <c r="AI220" t="n">
        <v>6</v>
      </c>
      <c r="AJ220" t="n">
        <v>9</v>
      </c>
      <c r="AK220" t="n">
        <v>10</v>
      </c>
      <c r="AL220" t="n">
        <v>1</v>
      </c>
      <c r="AM220" t="n">
        <v>2</v>
      </c>
      <c r="AN220" t="n">
        <v>0</v>
      </c>
      <c r="AO220" t="n">
        <v>0</v>
      </c>
      <c r="AP220" t="inlineStr">
        <is>
          <t>No</t>
        </is>
      </c>
      <c r="AQ220" t="inlineStr">
        <is>
          <t>Yes</t>
        </is>
      </c>
      <c r="AR220">
        <f>HYPERLINK("http://catalog.hathitrust.org/Record/003945913","HathiTrust Record")</f>
        <v/>
      </c>
      <c r="AS220">
        <f>HYPERLINK("https://creighton-primo.hosted.exlibrisgroup.com/primo-explore/search?tab=default_tab&amp;search_scope=EVERYTHING&amp;vid=01CRU&amp;lang=en_US&amp;offset=0&amp;query=any,contains,991002777529702656","Catalog Record")</f>
        <v/>
      </c>
      <c r="AT220">
        <f>HYPERLINK("http://www.worldcat.org/oclc/36470208","WorldCat Record")</f>
        <v/>
      </c>
      <c r="AU220" t="inlineStr">
        <is>
          <t>799822009:eng</t>
        </is>
      </c>
      <c r="AV220" t="inlineStr">
        <is>
          <t>36470208</t>
        </is>
      </c>
      <c r="AW220" t="inlineStr">
        <is>
          <t>991002777529702656</t>
        </is>
      </c>
      <c r="AX220" t="inlineStr">
        <is>
          <t>991002777529702656</t>
        </is>
      </c>
      <c r="AY220" t="inlineStr">
        <is>
          <t>2260192810002656</t>
        </is>
      </c>
      <c r="AZ220" t="inlineStr">
        <is>
          <t>BOOK</t>
        </is>
      </c>
      <c r="BB220" t="inlineStr">
        <is>
          <t>9780847684472</t>
        </is>
      </c>
      <c r="BC220" t="inlineStr">
        <is>
          <t>32285003251237</t>
        </is>
      </c>
      <c r="BD220" t="inlineStr">
        <is>
          <t>893530456</t>
        </is>
      </c>
    </row>
    <row r="221">
      <c r="A221" t="inlineStr">
        <is>
          <t>No</t>
        </is>
      </c>
      <c r="B221" t="inlineStr">
        <is>
          <t>HT1521 .G65 1995</t>
        </is>
      </c>
      <c r="C221" t="inlineStr">
        <is>
          <t>0                      HT 1521000G  65          1995</t>
        </is>
      </c>
      <c r="D221" t="inlineStr">
        <is>
          <t>Bad faith and antiblack racism / Lewis R. Gordon.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Gordon, Lewis R. (Lewis Ricardo), 1962-</t>
        </is>
      </c>
      <c r="L221" t="inlineStr">
        <is>
          <t>Atlantic Highlands, N.J. : Humanities Press, 1995.</t>
        </is>
      </c>
      <c r="M221" t="inlineStr">
        <is>
          <t>1995</t>
        </is>
      </c>
      <c r="O221" t="inlineStr">
        <is>
          <t>eng</t>
        </is>
      </c>
      <c r="P221" t="inlineStr">
        <is>
          <t>nju</t>
        </is>
      </c>
      <c r="R221" t="inlineStr">
        <is>
          <t xml:space="preserve">HT </t>
        </is>
      </c>
      <c r="S221" t="n">
        <v>2</v>
      </c>
      <c r="T221" t="n">
        <v>2</v>
      </c>
      <c r="U221" t="inlineStr">
        <is>
          <t>2003-07-23</t>
        </is>
      </c>
      <c r="V221" t="inlineStr">
        <is>
          <t>2003-07-23</t>
        </is>
      </c>
      <c r="W221" t="inlineStr">
        <is>
          <t>1995-03-10</t>
        </is>
      </c>
      <c r="X221" t="inlineStr">
        <is>
          <t>1995-03-10</t>
        </is>
      </c>
      <c r="Y221" t="n">
        <v>349</v>
      </c>
      <c r="Z221" t="n">
        <v>303</v>
      </c>
      <c r="AA221" t="n">
        <v>340</v>
      </c>
      <c r="AB221" t="n">
        <v>2</v>
      </c>
      <c r="AC221" t="n">
        <v>2</v>
      </c>
      <c r="AD221" t="n">
        <v>15</v>
      </c>
      <c r="AE221" t="n">
        <v>23</v>
      </c>
      <c r="AF221" t="n">
        <v>5</v>
      </c>
      <c r="AG221" t="n">
        <v>9</v>
      </c>
      <c r="AH221" t="n">
        <v>5</v>
      </c>
      <c r="AI221" t="n">
        <v>7</v>
      </c>
      <c r="AJ221" t="n">
        <v>9</v>
      </c>
      <c r="AK221" t="n">
        <v>12</v>
      </c>
      <c r="AL221" t="n">
        <v>1</v>
      </c>
      <c r="AM221" t="n">
        <v>1</v>
      </c>
      <c r="AN221" t="n">
        <v>0</v>
      </c>
      <c r="AO221" t="n">
        <v>0</v>
      </c>
      <c r="AP221" t="inlineStr">
        <is>
          <t>No</t>
        </is>
      </c>
      <c r="AQ221" t="inlineStr">
        <is>
          <t>No</t>
        </is>
      </c>
      <c r="AS221">
        <f>HYPERLINK("https://creighton-primo.hosted.exlibrisgroup.com/primo-explore/search?tab=default_tab&amp;search_scope=EVERYTHING&amp;vid=01CRU&amp;lang=en_US&amp;offset=0&amp;query=any,contains,991002342309702656","Catalog Record")</f>
        <v/>
      </c>
      <c r="AT221">
        <f>HYPERLINK("http://www.worldcat.org/oclc/30508348","WorldCat Record")</f>
        <v/>
      </c>
      <c r="AU221" t="inlineStr">
        <is>
          <t>937897:eng</t>
        </is>
      </c>
      <c r="AV221" t="inlineStr">
        <is>
          <t>30508348</t>
        </is>
      </c>
      <c r="AW221" t="inlineStr">
        <is>
          <t>991002342309702656</t>
        </is>
      </c>
      <c r="AX221" t="inlineStr">
        <is>
          <t>991002342309702656</t>
        </is>
      </c>
      <c r="AY221" t="inlineStr">
        <is>
          <t>2272719540002656</t>
        </is>
      </c>
      <c r="AZ221" t="inlineStr">
        <is>
          <t>BOOK</t>
        </is>
      </c>
      <c r="BB221" t="inlineStr">
        <is>
          <t>9780391038684</t>
        </is>
      </c>
      <c r="BC221" t="inlineStr">
        <is>
          <t>32285002002300</t>
        </is>
      </c>
      <c r="BD221" t="inlineStr">
        <is>
          <t>893347395</t>
        </is>
      </c>
    </row>
    <row r="222">
      <c r="A222" t="inlineStr">
        <is>
          <t>No</t>
        </is>
      </c>
      <c r="B222" t="inlineStr">
        <is>
          <t>HT1521 .G67</t>
        </is>
      </c>
      <c r="C222" t="inlineStr">
        <is>
          <t>0                      HT 1521000G  67</t>
        </is>
      </c>
      <c r="D222" t="inlineStr">
        <is>
          <t>Human nature, class, and ethnicity / Milton M. Gordon.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Gordon, Milton M., 1918-</t>
        </is>
      </c>
      <c r="L222" t="inlineStr">
        <is>
          <t>New York : Oxford University Press, 1978.</t>
        </is>
      </c>
      <c r="M222" t="inlineStr">
        <is>
          <t>1978</t>
        </is>
      </c>
      <c r="O222" t="inlineStr">
        <is>
          <t>eng</t>
        </is>
      </c>
      <c r="P222" t="inlineStr">
        <is>
          <t>nyu</t>
        </is>
      </c>
      <c r="R222" t="inlineStr">
        <is>
          <t xml:space="preserve">HT </t>
        </is>
      </c>
      <c r="S222" t="n">
        <v>6</v>
      </c>
      <c r="T222" t="n">
        <v>6</v>
      </c>
      <c r="U222" t="inlineStr">
        <is>
          <t>1999-10-29</t>
        </is>
      </c>
      <c r="V222" t="inlineStr">
        <is>
          <t>1999-10-29</t>
        </is>
      </c>
      <c r="W222" t="inlineStr">
        <is>
          <t>1997-08-19</t>
        </is>
      </c>
      <c r="X222" t="inlineStr">
        <is>
          <t>1997-08-19</t>
        </is>
      </c>
      <c r="Y222" t="n">
        <v>703</v>
      </c>
      <c r="Z222" t="n">
        <v>547</v>
      </c>
      <c r="AA222" t="n">
        <v>560</v>
      </c>
      <c r="AB222" t="n">
        <v>4</v>
      </c>
      <c r="AC222" t="n">
        <v>4</v>
      </c>
      <c r="AD222" t="n">
        <v>26</v>
      </c>
      <c r="AE222" t="n">
        <v>27</v>
      </c>
      <c r="AF222" t="n">
        <v>11</v>
      </c>
      <c r="AG222" t="n">
        <v>12</v>
      </c>
      <c r="AH222" t="n">
        <v>6</v>
      </c>
      <c r="AI222" t="n">
        <v>6</v>
      </c>
      <c r="AJ222" t="n">
        <v>13</v>
      </c>
      <c r="AK222" t="n">
        <v>13</v>
      </c>
      <c r="AL222" t="n">
        <v>3</v>
      </c>
      <c r="AM222" t="n">
        <v>3</v>
      </c>
      <c r="AN222" t="n">
        <v>0</v>
      </c>
      <c r="AO222" t="n">
        <v>0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HYPERLINK("http://catalog.hathitrust.org/Record/000251204","HathiTrust Record")</f>
        <v/>
      </c>
      <c r="AS222">
        <f>HYPERLINK("https://creighton-primo.hosted.exlibrisgroup.com/primo-explore/search?tab=default_tab&amp;search_scope=EVERYTHING&amp;vid=01CRU&amp;lang=en_US&amp;offset=0&amp;query=any,contains,991004313729702656","Catalog Record")</f>
        <v/>
      </c>
      <c r="AT222">
        <f>HYPERLINK("http://www.worldcat.org/oclc/3002446","WorldCat Record")</f>
        <v/>
      </c>
      <c r="AU222" t="inlineStr">
        <is>
          <t>414939:eng</t>
        </is>
      </c>
      <c r="AV222" t="inlineStr">
        <is>
          <t>3002446</t>
        </is>
      </c>
      <c r="AW222" t="inlineStr">
        <is>
          <t>991004313729702656</t>
        </is>
      </c>
      <c r="AX222" t="inlineStr">
        <is>
          <t>991004313729702656</t>
        </is>
      </c>
      <c r="AY222" t="inlineStr">
        <is>
          <t>2272215660002656</t>
        </is>
      </c>
      <c r="AZ222" t="inlineStr">
        <is>
          <t>BOOK</t>
        </is>
      </c>
      <c r="BB222" t="inlineStr">
        <is>
          <t>9780195022360</t>
        </is>
      </c>
      <c r="BC222" t="inlineStr">
        <is>
          <t>32285003149274</t>
        </is>
      </c>
      <c r="BD222" t="inlineStr">
        <is>
          <t>893349860</t>
        </is>
      </c>
    </row>
    <row r="223">
      <c r="A223" t="inlineStr">
        <is>
          <t>No</t>
        </is>
      </c>
      <c r="B223" t="inlineStr">
        <is>
          <t>HT1521 .H94</t>
        </is>
      </c>
      <c r="C223" t="inlineStr">
        <is>
          <t>0                      HT 1521000H  94</t>
        </is>
      </c>
      <c r="D223" t="inlineStr">
        <is>
          <t>Anatomy of racial intolerance / compiled by George B. de Huszar.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Huszar, George B. de (George Bernard), 1919-1968, compiler.</t>
        </is>
      </c>
      <c r="L223" t="inlineStr">
        <is>
          <t>New York : H. W. Wilson Company, 1946.</t>
        </is>
      </c>
      <c r="M223" t="inlineStr">
        <is>
          <t>1946</t>
        </is>
      </c>
      <c r="O223" t="inlineStr">
        <is>
          <t>eng</t>
        </is>
      </c>
      <c r="P223" t="inlineStr">
        <is>
          <t>nyu</t>
        </is>
      </c>
      <c r="Q223" t="inlineStr">
        <is>
          <t>Reference shelf ; v. 18, no. 5</t>
        </is>
      </c>
      <c r="R223" t="inlineStr">
        <is>
          <t xml:space="preserve">HT </t>
        </is>
      </c>
      <c r="S223" t="n">
        <v>3</v>
      </c>
      <c r="T223" t="n">
        <v>3</v>
      </c>
      <c r="U223" t="inlineStr">
        <is>
          <t>2004-10-08</t>
        </is>
      </c>
      <c r="V223" t="inlineStr">
        <is>
          <t>2004-10-08</t>
        </is>
      </c>
      <c r="W223" t="inlineStr">
        <is>
          <t>1992-06-26</t>
        </is>
      </c>
      <c r="X223" t="inlineStr">
        <is>
          <t>1992-06-26</t>
        </is>
      </c>
      <c r="Y223" t="n">
        <v>498</v>
      </c>
      <c r="Z223" t="n">
        <v>456</v>
      </c>
      <c r="AA223" t="n">
        <v>457</v>
      </c>
      <c r="AB223" t="n">
        <v>6</v>
      </c>
      <c r="AC223" t="n">
        <v>6</v>
      </c>
      <c r="AD223" t="n">
        <v>21</v>
      </c>
      <c r="AE223" t="n">
        <v>21</v>
      </c>
      <c r="AF223" t="n">
        <v>6</v>
      </c>
      <c r="AG223" t="n">
        <v>6</v>
      </c>
      <c r="AH223" t="n">
        <v>4</v>
      </c>
      <c r="AI223" t="n">
        <v>4</v>
      </c>
      <c r="AJ223" t="n">
        <v>12</v>
      </c>
      <c r="AK223" t="n">
        <v>12</v>
      </c>
      <c r="AL223" t="n">
        <v>5</v>
      </c>
      <c r="AM223" t="n">
        <v>5</v>
      </c>
      <c r="AN223" t="n">
        <v>0</v>
      </c>
      <c r="AO223" t="n">
        <v>0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HYPERLINK("https://creighton-primo.hosted.exlibrisgroup.com/primo-explore/search?tab=default_tab&amp;search_scope=EVERYTHING&amp;vid=01CRU&amp;lang=en_US&amp;offset=0&amp;query=any,contains,991001931069702656","Catalog Record")</f>
        <v/>
      </c>
      <c r="AT223">
        <f>HYPERLINK("http://www.worldcat.org/oclc/248809","WorldCat Record")</f>
        <v/>
      </c>
      <c r="AU223" t="inlineStr">
        <is>
          <t>1409765:eng</t>
        </is>
      </c>
      <c r="AV223" t="inlineStr">
        <is>
          <t>248809</t>
        </is>
      </c>
      <c r="AW223" t="inlineStr">
        <is>
          <t>991001931069702656</t>
        </is>
      </c>
      <c r="AX223" t="inlineStr">
        <is>
          <t>991001931069702656</t>
        </is>
      </c>
      <c r="AY223" t="inlineStr">
        <is>
          <t>2258653830002656</t>
        </is>
      </c>
      <c r="AZ223" t="inlineStr">
        <is>
          <t>BOOK</t>
        </is>
      </c>
      <c r="BC223" t="inlineStr">
        <is>
          <t>32285001145688</t>
        </is>
      </c>
      <c r="BD223" t="inlineStr">
        <is>
          <t>893703468</t>
        </is>
      </c>
    </row>
    <row r="224">
      <c r="A224" t="inlineStr">
        <is>
          <t>No</t>
        </is>
      </c>
      <c r="B224" t="inlineStr">
        <is>
          <t>HT1521 .I34 1990</t>
        </is>
      </c>
      <c r="C224" t="inlineStr">
        <is>
          <t>0                      HT 1521000I  34          1990</t>
        </is>
      </c>
      <c r="D224" t="inlineStr">
        <is>
          <t>The Idea of race in Latin America, 1870-1940 / edited and with an introduction by Richard Graham ; with chapters by Thomas E. Skidmore, Aline Helg, and Alan Knight.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L224" t="inlineStr">
        <is>
          <t>Austin : University of Texas Press, 1990.</t>
        </is>
      </c>
      <c r="M224" t="inlineStr">
        <is>
          <t>1990</t>
        </is>
      </c>
      <c r="O224" t="inlineStr">
        <is>
          <t>eng</t>
        </is>
      </c>
      <c r="P224" t="inlineStr">
        <is>
          <t>txu</t>
        </is>
      </c>
      <c r="Q224" t="inlineStr">
        <is>
          <t>Critical reflections on Latin America series</t>
        </is>
      </c>
      <c r="R224" t="inlineStr">
        <is>
          <t xml:space="preserve">HT </t>
        </is>
      </c>
      <c r="S224" t="n">
        <v>4</v>
      </c>
      <c r="T224" t="n">
        <v>4</v>
      </c>
      <c r="U224" t="inlineStr">
        <is>
          <t>1997-04-02</t>
        </is>
      </c>
      <c r="V224" t="inlineStr">
        <is>
          <t>1997-04-02</t>
        </is>
      </c>
      <c r="W224" t="inlineStr">
        <is>
          <t>1990-05-17</t>
        </is>
      </c>
      <c r="X224" t="inlineStr">
        <is>
          <t>1990-05-17</t>
        </is>
      </c>
      <c r="Y224" t="n">
        <v>801</v>
      </c>
      <c r="Z224" t="n">
        <v>682</v>
      </c>
      <c r="AA224" t="n">
        <v>817</v>
      </c>
      <c r="AB224" t="n">
        <v>7</v>
      </c>
      <c r="AC224" t="n">
        <v>9</v>
      </c>
      <c r="AD224" t="n">
        <v>39</v>
      </c>
      <c r="AE224" t="n">
        <v>48</v>
      </c>
      <c r="AF224" t="n">
        <v>17</v>
      </c>
      <c r="AG224" t="n">
        <v>19</v>
      </c>
      <c r="AH224" t="n">
        <v>8</v>
      </c>
      <c r="AI224" t="n">
        <v>10</v>
      </c>
      <c r="AJ224" t="n">
        <v>18</v>
      </c>
      <c r="AK224" t="n">
        <v>22</v>
      </c>
      <c r="AL224" t="n">
        <v>6</v>
      </c>
      <c r="AM224" t="n">
        <v>8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HYPERLINK("http://catalog.hathitrust.org/Record/001953143","HathiTrust Record")</f>
        <v/>
      </c>
      <c r="AS224">
        <f>HYPERLINK("https://creighton-primo.hosted.exlibrisgroup.com/primo-explore/search?tab=default_tab&amp;search_scope=EVERYTHING&amp;vid=01CRU&amp;lang=en_US&amp;offset=0&amp;query=any,contains,991001564149702656","Catalog Record")</f>
        <v/>
      </c>
      <c r="AT224">
        <f>HYPERLINK("http://www.worldcat.org/oclc/20319627","WorldCat Record")</f>
        <v/>
      </c>
      <c r="AU224" t="inlineStr">
        <is>
          <t>1117888315:eng</t>
        </is>
      </c>
      <c r="AV224" t="inlineStr">
        <is>
          <t>20319627</t>
        </is>
      </c>
      <c r="AW224" t="inlineStr">
        <is>
          <t>991001564149702656</t>
        </is>
      </c>
      <c r="AX224" t="inlineStr">
        <is>
          <t>991001564149702656</t>
        </is>
      </c>
      <c r="AY224" t="inlineStr">
        <is>
          <t>2254988990002656</t>
        </is>
      </c>
      <c r="AZ224" t="inlineStr">
        <is>
          <t>BOOK</t>
        </is>
      </c>
      <c r="BB224" t="inlineStr">
        <is>
          <t>9780292738577</t>
        </is>
      </c>
      <c r="BC224" t="inlineStr">
        <is>
          <t>32285000136589</t>
        </is>
      </c>
      <c r="BD224" t="inlineStr">
        <is>
          <t>893778867</t>
        </is>
      </c>
    </row>
    <row r="225">
      <c r="A225" t="inlineStr">
        <is>
          <t>No</t>
        </is>
      </c>
      <c r="B225" t="inlineStr">
        <is>
          <t>HT1521 .I44</t>
        </is>
      </c>
      <c r="C225" t="inlineStr">
        <is>
          <t>0                      HT 1521000I  44</t>
        </is>
      </c>
      <c r="D225" t="inlineStr">
        <is>
          <t>Intergroup and minority relations : an experiential handbook / edited by Howard L. Fromkin, John J. Sherwood.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L225" t="inlineStr">
        <is>
          <t>La Jolla, Calif. : University Associates, c1976.</t>
        </is>
      </c>
      <c r="M225" t="inlineStr">
        <is>
          <t>1976</t>
        </is>
      </c>
      <c r="O225" t="inlineStr">
        <is>
          <t>eng</t>
        </is>
      </c>
      <c r="P225" t="inlineStr">
        <is>
          <t>cau</t>
        </is>
      </c>
      <c r="R225" t="inlineStr">
        <is>
          <t xml:space="preserve">HT </t>
        </is>
      </c>
      <c r="S225" t="n">
        <v>2</v>
      </c>
      <c r="T225" t="n">
        <v>2</v>
      </c>
      <c r="U225" t="inlineStr">
        <is>
          <t>2002-12-05</t>
        </is>
      </c>
      <c r="V225" t="inlineStr">
        <is>
          <t>2002-12-05</t>
        </is>
      </c>
      <c r="W225" t="inlineStr">
        <is>
          <t>1997-08-19</t>
        </is>
      </c>
      <c r="X225" t="inlineStr">
        <is>
          <t>1997-08-19</t>
        </is>
      </c>
      <c r="Y225" t="n">
        <v>384</v>
      </c>
      <c r="Z225" t="n">
        <v>340</v>
      </c>
      <c r="AA225" t="n">
        <v>348</v>
      </c>
      <c r="AB225" t="n">
        <v>4</v>
      </c>
      <c r="AC225" t="n">
        <v>4</v>
      </c>
      <c r="AD225" t="n">
        <v>11</v>
      </c>
      <c r="AE225" t="n">
        <v>11</v>
      </c>
      <c r="AF225" t="n">
        <v>3</v>
      </c>
      <c r="AG225" t="n">
        <v>3</v>
      </c>
      <c r="AH225" t="n">
        <v>2</v>
      </c>
      <c r="AI225" t="n">
        <v>2</v>
      </c>
      <c r="AJ225" t="n">
        <v>3</v>
      </c>
      <c r="AK225" t="n">
        <v>3</v>
      </c>
      <c r="AL225" t="n">
        <v>3</v>
      </c>
      <c r="AM225" t="n">
        <v>3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HYPERLINK("http://catalog.hathitrust.org/Record/000699012","HathiTrust Record")</f>
        <v/>
      </c>
      <c r="AS225">
        <f>HYPERLINK("https://creighton-primo.hosted.exlibrisgroup.com/primo-explore/search?tab=default_tab&amp;search_scope=EVERYTHING&amp;vid=01CRU&amp;lang=en_US&amp;offset=0&amp;query=any,contains,991003973609702656","Catalog Record")</f>
        <v/>
      </c>
      <c r="AT225">
        <f>HYPERLINK("http://www.worldcat.org/oclc/1995042","WorldCat Record")</f>
        <v/>
      </c>
      <c r="AU225" t="inlineStr">
        <is>
          <t>3514312:eng</t>
        </is>
      </c>
      <c r="AV225" t="inlineStr">
        <is>
          <t>1995042</t>
        </is>
      </c>
      <c r="AW225" t="inlineStr">
        <is>
          <t>991003973609702656</t>
        </is>
      </c>
      <c r="AX225" t="inlineStr">
        <is>
          <t>991003973609702656</t>
        </is>
      </c>
      <c r="AY225" t="inlineStr">
        <is>
          <t>2260015220002656</t>
        </is>
      </c>
      <c r="AZ225" t="inlineStr">
        <is>
          <t>BOOK</t>
        </is>
      </c>
      <c r="BB225" t="inlineStr">
        <is>
          <t>9780883900925</t>
        </is>
      </c>
      <c r="BC225" t="inlineStr">
        <is>
          <t>32285003149308</t>
        </is>
      </c>
      <c r="BD225" t="inlineStr">
        <is>
          <t>893324775</t>
        </is>
      </c>
    </row>
    <row r="226">
      <c r="A226" t="inlineStr">
        <is>
          <t>No</t>
        </is>
      </c>
      <c r="B226" t="inlineStr">
        <is>
          <t>HT1521 .J65</t>
        </is>
      </c>
      <c r="C226" t="inlineStr">
        <is>
          <t>0                      HT 1521000J  65</t>
        </is>
      </c>
      <c r="D226" t="inlineStr">
        <is>
          <t>Prejudice and racism / [by] James M. Jones.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Yes</t>
        </is>
      </c>
      <c r="J226" t="inlineStr">
        <is>
          <t>0</t>
        </is>
      </c>
      <c r="K226" t="inlineStr">
        <is>
          <t>Jones, James M. (Psychologist)</t>
        </is>
      </c>
      <c r="L226" t="inlineStr">
        <is>
          <t>Reading, Mass. : Addison-Wesley Pub. Co., [1972]</t>
        </is>
      </c>
      <c r="M226" t="inlineStr">
        <is>
          <t>1972</t>
        </is>
      </c>
      <c r="O226" t="inlineStr">
        <is>
          <t>eng</t>
        </is>
      </c>
      <c r="P226" t="inlineStr">
        <is>
          <t>mau</t>
        </is>
      </c>
      <c r="Q226" t="inlineStr">
        <is>
          <t>Topics in social psychology</t>
        </is>
      </c>
      <c r="R226" t="inlineStr">
        <is>
          <t xml:space="preserve">HT </t>
        </is>
      </c>
      <c r="S226" t="n">
        <v>11</v>
      </c>
      <c r="T226" t="n">
        <v>11</v>
      </c>
      <c r="U226" t="inlineStr">
        <is>
          <t>2001-11-05</t>
        </is>
      </c>
      <c r="V226" t="inlineStr">
        <is>
          <t>2001-11-05</t>
        </is>
      </c>
      <c r="W226" t="inlineStr">
        <is>
          <t>1992-01-30</t>
        </is>
      </c>
      <c r="X226" t="inlineStr">
        <is>
          <t>1992-01-30</t>
        </is>
      </c>
      <c r="Y226" t="n">
        <v>638</v>
      </c>
      <c r="Z226" t="n">
        <v>505</v>
      </c>
      <c r="AA226" t="n">
        <v>659</v>
      </c>
      <c r="AB226" t="n">
        <v>6</v>
      </c>
      <c r="AC226" t="n">
        <v>8</v>
      </c>
      <c r="AD226" t="n">
        <v>18</v>
      </c>
      <c r="AE226" t="n">
        <v>26</v>
      </c>
      <c r="AF226" t="n">
        <v>4</v>
      </c>
      <c r="AG226" t="n">
        <v>8</v>
      </c>
      <c r="AH226" t="n">
        <v>6</v>
      </c>
      <c r="AI226" t="n">
        <v>7</v>
      </c>
      <c r="AJ226" t="n">
        <v>8</v>
      </c>
      <c r="AK226" t="n">
        <v>12</v>
      </c>
      <c r="AL226" t="n">
        <v>4</v>
      </c>
      <c r="AM226" t="n">
        <v>6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HYPERLINK("http://catalog.hathitrust.org/Record/000005181","HathiTrust Record")</f>
        <v/>
      </c>
      <c r="AS226">
        <f>HYPERLINK("https://creighton-primo.hosted.exlibrisgroup.com/primo-explore/search?tab=default_tab&amp;search_scope=EVERYTHING&amp;vid=01CRU&amp;lang=en_US&amp;offset=0&amp;query=any,contains,991002497489702656","Catalog Record")</f>
        <v/>
      </c>
      <c r="AT226">
        <f>HYPERLINK("http://www.worldcat.org/oclc/363970","WorldCat Record")</f>
        <v/>
      </c>
      <c r="AU226" t="inlineStr">
        <is>
          <t>1421071:eng</t>
        </is>
      </c>
      <c r="AV226" t="inlineStr">
        <is>
          <t>363970</t>
        </is>
      </c>
      <c r="AW226" t="inlineStr">
        <is>
          <t>991002497489702656</t>
        </is>
      </c>
      <c r="AX226" t="inlineStr">
        <is>
          <t>991002497489702656</t>
        </is>
      </c>
      <c r="AY226" t="inlineStr">
        <is>
          <t>2262047260002656</t>
        </is>
      </c>
      <c r="AZ226" t="inlineStr">
        <is>
          <t>BOOK</t>
        </is>
      </c>
      <c r="BC226" t="inlineStr">
        <is>
          <t>32285000931195</t>
        </is>
      </c>
      <c r="BD226" t="inlineStr">
        <is>
          <t>893873601</t>
        </is>
      </c>
    </row>
    <row r="227">
      <c r="A227" t="inlineStr">
        <is>
          <t>No</t>
        </is>
      </c>
      <c r="B227" t="inlineStr">
        <is>
          <t>HT1521 .J65 1997</t>
        </is>
      </c>
      <c r="C227" t="inlineStr">
        <is>
          <t>0                      HT 1521000J  65          1997</t>
        </is>
      </c>
      <c r="D227" t="inlineStr">
        <is>
          <t>Prejudice and racism / James M. Jones.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Yes</t>
        </is>
      </c>
      <c r="J227" t="inlineStr">
        <is>
          <t>0</t>
        </is>
      </c>
      <c r="K227" t="inlineStr">
        <is>
          <t>Jones, James M. (Psychologist)</t>
        </is>
      </c>
      <c r="L227" t="inlineStr">
        <is>
          <t>New York : McGraw-Hill Companies, c1997.</t>
        </is>
      </c>
      <c r="M227" t="inlineStr">
        <is>
          <t>1997</t>
        </is>
      </c>
      <c r="N227" t="inlineStr">
        <is>
          <t>2nd ed.</t>
        </is>
      </c>
      <c r="O227" t="inlineStr">
        <is>
          <t>eng</t>
        </is>
      </c>
      <c r="P227" t="inlineStr">
        <is>
          <t>nyu</t>
        </is>
      </c>
      <c r="Q227" t="inlineStr">
        <is>
          <t>McGraw-Hill series in social psychology</t>
        </is>
      </c>
      <c r="R227" t="inlineStr">
        <is>
          <t xml:space="preserve">HT </t>
        </is>
      </c>
      <c r="S227" t="n">
        <v>6</v>
      </c>
      <c r="T227" t="n">
        <v>6</v>
      </c>
      <c r="U227" t="inlineStr">
        <is>
          <t>2006-02-26</t>
        </is>
      </c>
      <c r="V227" t="inlineStr">
        <is>
          <t>2006-02-26</t>
        </is>
      </c>
      <c r="W227" t="inlineStr">
        <is>
          <t>2000-08-14</t>
        </is>
      </c>
      <c r="X227" t="inlineStr">
        <is>
          <t>2000-08-14</t>
        </is>
      </c>
      <c r="Y227" t="n">
        <v>286</v>
      </c>
      <c r="Z227" t="n">
        <v>199</v>
      </c>
      <c r="AA227" t="n">
        <v>659</v>
      </c>
      <c r="AB227" t="n">
        <v>2</v>
      </c>
      <c r="AC227" t="n">
        <v>8</v>
      </c>
      <c r="AD227" t="n">
        <v>10</v>
      </c>
      <c r="AE227" t="n">
        <v>26</v>
      </c>
      <c r="AF227" t="n">
        <v>3</v>
      </c>
      <c r="AG227" t="n">
        <v>8</v>
      </c>
      <c r="AH227" t="n">
        <v>4</v>
      </c>
      <c r="AI227" t="n">
        <v>7</v>
      </c>
      <c r="AJ227" t="n">
        <v>6</v>
      </c>
      <c r="AK227" t="n">
        <v>12</v>
      </c>
      <c r="AL227" t="n">
        <v>1</v>
      </c>
      <c r="AM227" t="n">
        <v>6</v>
      </c>
      <c r="AN227" t="n">
        <v>0</v>
      </c>
      <c r="AO227" t="n">
        <v>0</v>
      </c>
      <c r="AP227" t="inlineStr">
        <is>
          <t>No</t>
        </is>
      </c>
      <c r="AQ227" t="inlineStr">
        <is>
          <t>No</t>
        </is>
      </c>
      <c r="AS227">
        <f>HYPERLINK("https://creighton-primo.hosted.exlibrisgroup.com/primo-explore/search?tab=default_tab&amp;search_scope=EVERYTHING&amp;vid=01CRU&amp;lang=en_US&amp;offset=0&amp;query=any,contains,991003265009702656","Catalog Record")</f>
        <v/>
      </c>
      <c r="AT227">
        <f>HYPERLINK("http://www.worldcat.org/oclc/35262380","WorldCat Record")</f>
        <v/>
      </c>
      <c r="AU227" t="inlineStr">
        <is>
          <t>1421071:eng</t>
        </is>
      </c>
      <c r="AV227" t="inlineStr">
        <is>
          <t>35262380</t>
        </is>
      </c>
      <c r="AW227" t="inlineStr">
        <is>
          <t>991003265009702656</t>
        </is>
      </c>
      <c r="AX227" t="inlineStr">
        <is>
          <t>991003265009702656</t>
        </is>
      </c>
      <c r="AY227" t="inlineStr">
        <is>
          <t>2264296630002656</t>
        </is>
      </c>
      <c r="AZ227" t="inlineStr">
        <is>
          <t>BOOK</t>
        </is>
      </c>
      <c r="BB227" t="inlineStr">
        <is>
          <t>9780070331174</t>
        </is>
      </c>
      <c r="BC227" t="inlineStr">
        <is>
          <t>32285003757225</t>
        </is>
      </c>
      <c r="BD227" t="inlineStr">
        <is>
          <t>893434820</t>
        </is>
      </c>
    </row>
    <row r="228">
      <c r="A228" t="inlineStr">
        <is>
          <t>No</t>
        </is>
      </c>
      <c r="B228" t="inlineStr">
        <is>
          <t>HT1521 .L284 2003</t>
        </is>
      </c>
      <c r="C228" t="inlineStr">
        <is>
          <t>0                      HT 1521000L  284         2003</t>
        </is>
      </c>
      <c r="D228" t="inlineStr">
        <is>
          <t>"Ausländer nehmen uns die Arbeitsplätze weg!" : rechtsradikale Propaganda und wie man sie widerlegt / Jonas Lanig, Marion Schweizer ; herausgegeben von Wilfried Stascheit ; mit Fotografien von Bernd Schäfer.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Lanig, Jonas.</t>
        </is>
      </c>
      <c r="L228" t="inlineStr">
        <is>
          <t>Mülheim an der Ruhr : Verlag an der Ruhr, 2003.</t>
        </is>
      </c>
      <c r="M228" t="inlineStr">
        <is>
          <t>2003</t>
        </is>
      </c>
      <c r="O228" t="inlineStr">
        <is>
          <t>ger</t>
        </is>
      </c>
      <c r="P228" t="inlineStr">
        <is>
          <t xml:space="preserve">gw </t>
        </is>
      </c>
      <c r="R228" t="inlineStr">
        <is>
          <t xml:space="preserve">HT </t>
        </is>
      </c>
      <c r="S228" t="n">
        <v>1</v>
      </c>
      <c r="T228" t="n">
        <v>1</v>
      </c>
      <c r="U228" t="inlineStr">
        <is>
          <t>2003-05-20</t>
        </is>
      </c>
      <c r="V228" t="inlineStr">
        <is>
          <t>2003-05-20</t>
        </is>
      </c>
      <c r="W228" t="inlineStr">
        <is>
          <t>2003-05-20</t>
        </is>
      </c>
      <c r="X228" t="inlineStr">
        <is>
          <t>2003-05-20</t>
        </is>
      </c>
      <c r="Y228" t="n">
        <v>50</v>
      </c>
      <c r="Z228" t="n">
        <v>12</v>
      </c>
      <c r="AA228" t="n">
        <v>13</v>
      </c>
      <c r="AB228" t="n">
        <v>1</v>
      </c>
      <c r="AC228" t="n">
        <v>1</v>
      </c>
      <c r="AD228" t="n">
        <v>1</v>
      </c>
      <c r="AE228" t="n">
        <v>1</v>
      </c>
      <c r="AF228" t="n">
        <v>0</v>
      </c>
      <c r="AG228" t="n">
        <v>0</v>
      </c>
      <c r="AH228" t="n">
        <v>1</v>
      </c>
      <c r="AI228" t="n">
        <v>1</v>
      </c>
      <c r="AJ228" t="n">
        <v>1</v>
      </c>
      <c r="AK228" t="n">
        <v>1</v>
      </c>
      <c r="AL228" t="n">
        <v>0</v>
      </c>
      <c r="AM228" t="n">
        <v>0</v>
      </c>
      <c r="AN228" t="n">
        <v>0</v>
      </c>
      <c r="AO228" t="n">
        <v>0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HYPERLINK("https://creighton-primo.hosted.exlibrisgroup.com/primo-explore/search?tab=default_tab&amp;search_scope=EVERYTHING&amp;vid=01CRU&amp;lang=en_US&amp;offset=0&amp;query=any,contains,991004032129702656","Catalog Record")</f>
        <v/>
      </c>
      <c r="AT228">
        <f>HYPERLINK("http://www.worldcat.org/oclc/51728270","WorldCat Record")</f>
        <v/>
      </c>
      <c r="AU228" t="inlineStr">
        <is>
          <t>890611038:ger</t>
        </is>
      </c>
      <c r="AV228" t="inlineStr">
        <is>
          <t>51728270</t>
        </is>
      </c>
      <c r="AW228" t="inlineStr">
        <is>
          <t>991004032129702656</t>
        </is>
      </c>
      <c r="AX228" t="inlineStr">
        <is>
          <t>991004032129702656</t>
        </is>
      </c>
      <c r="AY228" t="inlineStr">
        <is>
          <t>2270204600002656</t>
        </is>
      </c>
      <c r="AZ228" t="inlineStr">
        <is>
          <t>BOOK</t>
        </is>
      </c>
      <c r="BB228" t="inlineStr">
        <is>
          <t>9783860723944</t>
        </is>
      </c>
      <c r="BC228" t="inlineStr">
        <is>
          <t>32285004747373</t>
        </is>
      </c>
      <c r="BD228" t="inlineStr">
        <is>
          <t>893712071</t>
        </is>
      </c>
    </row>
    <row r="229">
      <c r="A229" t="inlineStr">
        <is>
          <t>No</t>
        </is>
      </c>
      <c r="B229" t="inlineStr">
        <is>
          <t>HT1521 .L595 1992</t>
        </is>
      </c>
      <c r="C229" t="inlineStr">
        <is>
          <t>0                      HT 1521000L  595         1992</t>
        </is>
      </c>
      <c r="D229" t="inlineStr">
        <is>
          <t>Race contacts and interracial relations : lectures on the theory and practice of race / Alain LeRoy Locke ; edited and with an introduction by Jeffrey C. Stewart ; foreword by Michael R. Winston ; preface by Thomas C. Battle.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Locke, Alain, 1885-1954.</t>
        </is>
      </c>
      <c r="L229" t="inlineStr">
        <is>
          <t>Washington, D.C. : Howard University Press, 1992.</t>
        </is>
      </c>
      <c r="M229" t="inlineStr">
        <is>
          <t>1992</t>
        </is>
      </c>
      <c r="O229" t="inlineStr">
        <is>
          <t>eng</t>
        </is>
      </c>
      <c r="P229" t="inlineStr">
        <is>
          <t>dcu</t>
        </is>
      </c>
      <c r="Q229" t="inlineStr">
        <is>
          <t>Moorland-Spingarn series</t>
        </is>
      </c>
      <c r="R229" t="inlineStr">
        <is>
          <t xml:space="preserve">HT </t>
        </is>
      </c>
      <c r="S229" t="n">
        <v>10</v>
      </c>
      <c r="T229" t="n">
        <v>10</v>
      </c>
      <c r="U229" t="inlineStr">
        <is>
          <t>1996-02-21</t>
        </is>
      </c>
      <c r="V229" t="inlineStr">
        <is>
          <t>1996-02-21</t>
        </is>
      </c>
      <c r="W229" t="inlineStr">
        <is>
          <t>1993-10-28</t>
        </is>
      </c>
      <c r="X229" t="inlineStr">
        <is>
          <t>1993-10-28</t>
        </is>
      </c>
      <c r="Y229" t="n">
        <v>404</v>
      </c>
      <c r="Z229" t="n">
        <v>374</v>
      </c>
      <c r="AA229" t="n">
        <v>434</v>
      </c>
      <c r="AB229" t="n">
        <v>3</v>
      </c>
      <c r="AC229" t="n">
        <v>3</v>
      </c>
      <c r="AD229" t="n">
        <v>19</v>
      </c>
      <c r="AE229" t="n">
        <v>20</v>
      </c>
      <c r="AF229" t="n">
        <v>4</v>
      </c>
      <c r="AG229" t="n">
        <v>5</v>
      </c>
      <c r="AH229" t="n">
        <v>5</v>
      </c>
      <c r="AI229" t="n">
        <v>6</v>
      </c>
      <c r="AJ229" t="n">
        <v>11</v>
      </c>
      <c r="AK229" t="n">
        <v>11</v>
      </c>
      <c r="AL229" t="n">
        <v>2</v>
      </c>
      <c r="AM229" t="n">
        <v>2</v>
      </c>
      <c r="AN229" t="n">
        <v>2</v>
      </c>
      <c r="AO229" t="n">
        <v>2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HYPERLINK("http://catalog.hathitrust.org/Record/002582715","HathiTrust Record")</f>
        <v/>
      </c>
      <c r="AS229">
        <f>HYPERLINK("https://creighton-primo.hosted.exlibrisgroup.com/primo-explore/search?tab=default_tab&amp;search_scope=EVERYTHING&amp;vid=01CRU&amp;lang=en_US&amp;offset=0&amp;query=any,contains,991001970859702656","Catalog Record")</f>
        <v/>
      </c>
      <c r="AT229">
        <f>HYPERLINK("http://www.worldcat.org/oclc/25008869","WorldCat Record")</f>
        <v/>
      </c>
      <c r="AU229" t="inlineStr">
        <is>
          <t>864912469:eng</t>
        </is>
      </c>
      <c r="AV229" t="inlineStr">
        <is>
          <t>25008869</t>
        </is>
      </c>
      <c r="AW229" t="inlineStr">
        <is>
          <t>991001970859702656</t>
        </is>
      </c>
      <c r="AX229" t="inlineStr">
        <is>
          <t>991001970859702656</t>
        </is>
      </c>
      <c r="AY229" t="inlineStr">
        <is>
          <t>2269020800002656</t>
        </is>
      </c>
      <c r="AZ229" t="inlineStr">
        <is>
          <t>BOOK</t>
        </is>
      </c>
      <c r="BB229" t="inlineStr">
        <is>
          <t>9780882581378</t>
        </is>
      </c>
      <c r="BC229" t="inlineStr">
        <is>
          <t>32285001788925</t>
        </is>
      </c>
      <c r="BD229" t="inlineStr">
        <is>
          <t>893791899</t>
        </is>
      </c>
    </row>
    <row r="230">
      <c r="A230" t="inlineStr">
        <is>
          <t>No</t>
        </is>
      </c>
      <c r="B230" t="inlineStr">
        <is>
          <t>HT1521 .M257 1996</t>
        </is>
      </c>
      <c r="C230" t="inlineStr">
        <is>
          <t>0                      HT 1521000M  257         1996</t>
        </is>
      </c>
      <c r="D230" t="inlineStr">
        <is>
          <t>The meaning of race : race, history and culture in Western society / Kenan Malik.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Malik, Kenan, 1960-</t>
        </is>
      </c>
      <c r="L230" t="inlineStr">
        <is>
          <t>Washington Square, N.Y. : New York University Press, 1996.</t>
        </is>
      </c>
      <c r="M230" t="inlineStr">
        <is>
          <t>1996</t>
        </is>
      </c>
      <c r="O230" t="inlineStr">
        <is>
          <t>eng</t>
        </is>
      </c>
      <c r="P230" t="inlineStr">
        <is>
          <t>nyu</t>
        </is>
      </c>
      <c r="R230" t="inlineStr">
        <is>
          <t xml:space="preserve">HT </t>
        </is>
      </c>
      <c r="S230" t="n">
        <v>6</v>
      </c>
      <c r="T230" t="n">
        <v>6</v>
      </c>
      <c r="U230" t="inlineStr">
        <is>
          <t>2002-03-19</t>
        </is>
      </c>
      <c r="V230" t="inlineStr">
        <is>
          <t>2002-03-19</t>
        </is>
      </c>
      <c r="W230" t="inlineStr">
        <is>
          <t>1996-11-08</t>
        </is>
      </c>
      <c r="X230" t="inlineStr">
        <is>
          <t>1996-11-08</t>
        </is>
      </c>
      <c r="Y230" t="n">
        <v>434</v>
      </c>
      <c r="Z230" t="n">
        <v>352</v>
      </c>
      <c r="AA230" t="n">
        <v>376</v>
      </c>
      <c r="AB230" t="n">
        <v>2</v>
      </c>
      <c r="AC230" t="n">
        <v>2</v>
      </c>
      <c r="AD230" t="n">
        <v>21</v>
      </c>
      <c r="AE230" t="n">
        <v>21</v>
      </c>
      <c r="AF230" t="n">
        <v>9</v>
      </c>
      <c r="AG230" t="n">
        <v>9</v>
      </c>
      <c r="AH230" t="n">
        <v>5</v>
      </c>
      <c r="AI230" t="n">
        <v>5</v>
      </c>
      <c r="AJ230" t="n">
        <v>15</v>
      </c>
      <c r="AK230" t="n">
        <v>15</v>
      </c>
      <c r="AL230" t="n">
        <v>1</v>
      </c>
      <c r="AM230" t="n">
        <v>1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HYPERLINK("https://creighton-primo.hosted.exlibrisgroup.com/primo-explore/search?tab=default_tab&amp;search_scope=EVERYTHING&amp;vid=01CRU&amp;lang=en_US&amp;offset=0&amp;query=any,contains,991005422859702656","Catalog Record")</f>
        <v/>
      </c>
      <c r="AT230">
        <f>HYPERLINK("http://www.worldcat.org/oclc/33898499","WorldCat Record")</f>
        <v/>
      </c>
      <c r="AU230" t="inlineStr">
        <is>
          <t>963232:eng</t>
        </is>
      </c>
      <c r="AV230" t="inlineStr">
        <is>
          <t>33898499</t>
        </is>
      </c>
      <c r="AW230" t="inlineStr">
        <is>
          <t>991005422859702656</t>
        </is>
      </c>
      <c r="AX230" t="inlineStr">
        <is>
          <t>991005422859702656</t>
        </is>
      </c>
      <c r="AY230" t="inlineStr">
        <is>
          <t>2271002940002656</t>
        </is>
      </c>
      <c r="AZ230" t="inlineStr">
        <is>
          <t>BOOK</t>
        </is>
      </c>
      <c r="BB230" t="inlineStr">
        <is>
          <t>9780814755525</t>
        </is>
      </c>
      <c r="BC230" t="inlineStr">
        <is>
          <t>32285001419794</t>
        </is>
      </c>
      <c r="BD230" t="inlineStr">
        <is>
          <t>893607374</t>
        </is>
      </c>
    </row>
    <row r="231">
      <c r="A231" t="inlineStr">
        <is>
          <t>No</t>
        </is>
      </c>
      <c r="B231" t="inlineStr">
        <is>
          <t>HT1521 .M275 2000</t>
        </is>
      </c>
      <c r="C231" t="inlineStr">
        <is>
          <t>0                      HT 1521000M  275         2000</t>
        </is>
      </c>
      <c r="D231" t="inlineStr">
        <is>
          <t>Race and ethnic relations : American and global perspectives / Martin N. Marger.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Marger, Martin N., 1939-</t>
        </is>
      </c>
      <c r="L231" t="inlineStr">
        <is>
          <t>Australia ; Belmont, Calif. : Wadsworth, c2000.</t>
        </is>
      </c>
      <c r="M231" t="inlineStr">
        <is>
          <t>2000</t>
        </is>
      </c>
      <c r="N231" t="inlineStr">
        <is>
          <t>5th ed.</t>
        </is>
      </c>
      <c r="O231" t="inlineStr">
        <is>
          <t>eng</t>
        </is>
      </c>
      <c r="P231" t="inlineStr">
        <is>
          <t xml:space="preserve">at </t>
        </is>
      </c>
      <c r="R231" t="inlineStr">
        <is>
          <t xml:space="preserve">HT </t>
        </is>
      </c>
      <c r="S231" t="n">
        <v>8</v>
      </c>
      <c r="T231" t="n">
        <v>8</v>
      </c>
      <c r="U231" t="inlineStr">
        <is>
          <t>2010-06-18</t>
        </is>
      </c>
      <c r="V231" t="inlineStr">
        <is>
          <t>2010-06-18</t>
        </is>
      </c>
      <c r="W231" t="inlineStr">
        <is>
          <t>2000-07-27</t>
        </is>
      </c>
      <c r="X231" t="inlineStr">
        <is>
          <t>2000-07-27</t>
        </is>
      </c>
      <c r="Y231" t="n">
        <v>144</v>
      </c>
      <c r="Z231" t="n">
        <v>113</v>
      </c>
      <c r="AA231" t="n">
        <v>652</v>
      </c>
      <c r="AB231" t="n">
        <v>2</v>
      </c>
      <c r="AC231" t="n">
        <v>4</v>
      </c>
      <c r="AD231" t="n">
        <v>5</v>
      </c>
      <c r="AE231" t="n">
        <v>23</v>
      </c>
      <c r="AF231" t="n">
        <v>2</v>
      </c>
      <c r="AG231" t="n">
        <v>11</v>
      </c>
      <c r="AH231" t="n">
        <v>1</v>
      </c>
      <c r="AI231" t="n">
        <v>5</v>
      </c>
      <c r="AJ231" t="n">
        <v>2</v>
      </c>
      <c r="AK231" t="n">
        <v>10</v>
      </c>
      <c r="AL231" t="n">
        <v>1</v>
      </c>
      <c r="AM231" t="n">
        <v>3</v>
      </c>
      <c r="AN231" t="n">
        <v>0</v>
      </c>
      <c r="AO231" t="n">
        <v>0</v>
      </c>
      <c r="AP231" t="inlineStr">
        <is>
          <t>No</t>
        </is>
      </c>
      <c r="AQ231" t="inlineStr">
        <is>
          <t>Yes</t>
        </is>
      </c>
      <c r="AR231">
        <f>HYPERLINK("http://catalog.hathitrust.org/Record/003707141","HathiTrust Record")</f>
        <v/>
      </c>
      <c r="AS231">
        <f>HYPERLINK("https://creighton-primo.hosted.exlibrisgroup.com/primo-explore/search?tab=default_tab&amp;search_scope=EVERYTHING&amp;vid=01CRU&amp;lang=en_US&amp;offset=0&amp;query=any,contains,991003209439702656","Catalog Record")</f>
        <v/>
      </c>
      <c r="AT231">
        <f>HYPERLINK("http://www.worldcat.org/oclc/42463258","WorldCat Record")</f>
        <v/>
      </c>
      <c r="AU231" t="inlineStr">
        <is>
          <t>3534375:eng</t>
        </is>
      </c>
      <c r="AV231" t="inlineStr">
        <is>
          <t>42463258</t>
        </is>
      </c>
      <c r="AW231" t="inlineStr">
        <is>
          <t>991003209439702656</t>
        </is>
      </c>
      <c r="AX231" t="inlineStr">
        <is>
          <t>991003209439702656</t>
        </is>
      </c>
      <c r="AY231" t="inlineStr">
        <is>
          <t>2263231190002656</t>
        </is>
      </c>
      <c r="AZ231" t="inlineStr">
        <is>
          <t>BOOK</t>
        </is>
      </c>
      <c r="BB231" t="inlineStr">
        <is>
          <t>9780534514334</t>
        </is>
      </c>
      <c r="BC231" t="inlineStr">
        <is>
          <t>32285003687638</t>
        </is>
      </c>
      <c r="BD231" t="inlineStr">
        <is>
          <t>893780718</t>
        </is>
      </c>
    </row>
    <row r="232">
      <c r="A232" t="inlineStr">
        <is>
          <t>No</t>
        </is>
      </c>
      <c r="B232" t="inlineStr">
        <is>
          <t>HT1521 .M285 1972</t>
        </is>
      </c>
      <c r="C232" t="inlineStr">
        <is>
          <t>0                      HT 1521000M  285         1972</t>
        </is>
      </c>
      <c r="D232" t="inlineStr">
        <is>
          <t>An essay on racial tension.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Mason, Philip, 1906-1999.</t>
        </is>
      </c>
      <c r="L232" t="inlineStr">
        <is>
          <t>Westport, Conn. : Greenwood Press, [1972]</t>
        </is>
      </c>
      <c r="M232" t="inlineStr">
        <is>
          <t>1972</t>
        </is>
      </c>
      <c r="O232" t="inlineStr">
        <is>
          <t>eng</t>
        </is>
      </c>
      <c r="P232" t="inlineStr">
        <is>
          <t>ctu</t>
        </is>
      </c>
      <c r="R232" t="inlineStr">
        <is>
          <t xml:space="preserve">HT </t>
        </is>
      </c>
      <c r="S232" t="n">
        <v>4</v>
      </c>
      <c r="T232" t="n">
        <v>4</v>
      </c>
      <c r="U232" t="inlineStr">
        <is>
          <t>1994-03-30</t>
        </is>
      </c>
      <c r="V232" t="inlineStr">
        <is>
          <t>1994-03-30</t>
        </is>
      </c>
      <c r="W232" t="inlineStr">
        <is>
          <t>1991-09-16</t>
        </is>
      </c>
      <c r="X232" t="inlineStr">
        <is>
          <t>1991-09-16</t>
        </is>
      </c>
      <c r="Y232" t="n">
        <v>137</v>
      </c>
      <c r="Z232" t="n">
        <v>118</v>
      </c>
      <c r="AA232" t="n">
        <v>299</v>
      </c>
      <c r="AB232" t="n">
        <v>1</v>
      </c>
      <c r="AC232" t="n">
        <v>3</v>
      </c>
      <c r="AD232" t="n">
        <v>3</v>
      </c>
      <c r="AE232" t="n">
        <v>9</v>
      </c>
      <c r="AF232" t="n">
        <v>1</v>
      </c>
      <c r="AG232" t="n">
        <v>2</v>
      </c>
      <c r="AH232" t="n">
        <v>1</v>
      </c>
      <c r="AI232" t="n">
        <v>3</v>
      </c>
      <c r="AJ232" t="n">
        <v>1</v>
      </c>
      <c r="AK232" t="n">
        <v>4</v>
      </c>
      <c r="AL232" t="n">
        <v>0</v>
      </c>
      <c r="AM232" t="n">
        <v>1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HYPERLINK("http://catalog.hathitrust.org/Record/006633748","HathiTrust Record")</f>
        <v/>
      </c>
      <c r="AS232">
        <f>HYPERLINK("https://creighton-primo.hosted.exlibrisgroup.com/primo-explore/search?tab=default_tab&amp;search_scope=EVERYTHING&amp;vid=01CRU&amp;lang=en_US&amp;offset=0&amp;query=any,contains,991002108809702656","Catalog Record")</f>
        <v/>
      </c>
      <c r="AT232">
        <f>HYPERLINK("http://www.worldcat.org/oclc/267022","WorldCat Record")</f>
        <v/>
      </c>
      <c r="AU232" t="inlineStr">
        <is>
          <t>1386819:eng</t>
        </is>
      </c>
      <c r="AV232" t="inlineStr">
        <is>
          <t>267022</t>
        </is>
      </c>
      <c r="AW232" t="inlineStr">
        <is>
          <t>991002108809702656</t>
        </is>
      </c>
      <c r="AX232" t="inlineStr">
        <is>
          <t>991002108809702656</t>
        </is>
      </c>
      <c r="AY232" t="inlineStr">
        <is>
          <t>2268955790002656</t>
        </is>
      </c>
      <c r="AZ232" t="inlineStr">
        <is>
          <t>BOOK</t>
        </is>
      </c>
      <c r="BB232" t="inlineStr">
        <is>
          <t>9780837153353</t>
        </is>
      </c>
      <c r="BC232" t="inlineStr">
        <is>
          <t>32285000737717</t>
        </is>
      </c>
      <c r="BD232" t="inlineStr">
        <is>
          <t>893516903</t>
        </is>
      </c>
    </row>
    <row r="233">
      <c r="A233" t="inlineStr">
        <is>
          <t>No</t>
        </is>
      </c>
      <c r="B233" t="inlineStr">
        <is>
          <t>HT1521 .M287 1975</t>
        </is>
      </c>
      <c r="C233" t="inlineStr">
        <is>
          <t>0                      HT 1521000M  287         1975</t>
        </is>
      </c>
      <c r="D233" t="inlineStr">
        <is>
          <t>Prospero's magic : some thoughts on class and race / Philip Mason.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Mason, Philip, 1906-1999.</t>
        </is>
      </c>
      <c r="L233" t="inlineStr">
        <is>
          <t>Westport, Conn. : Greenwood Press, 1975, c1962.</t>
        </is>
      </c>
      <c r="M233" t="inlineStr">
        <is>
          <t>1975</t>
        </is>
      </c>
      <c r="O233" t="inlineStr">
        <is>
          <t>eng</t>
        </is>
      </c>
      <c r="P233" t="inlineStr">
        <is>
          <t>ctu</t>
        </is>
      </c>
      <c r="R233" t="inlineStr">
        <is>
          <t xml:space="preserve">HT </t>
        </is>
      </c>
      <c r="S233" t="n">
        <v>1</v>
      </c>
      <c r="T233" t="n">
        <v>1</v>
      </c>
      <c r="U233" t="inlineStr">
        <is>
          <t>2001-04-23</t>
        </is>
      </c>
      <c r="V233" t="inlineStr">
        <is>
          <t>2001-04-23</t>
        </is>
      </c>
      <c r="W233" t="inlineStr">
        <is>
          <t>1997-08-19</t>
        </is>
      </c>
      <c r="X233" t="inlineStr">
        <is>
          <t>1997-08-19</t>
        </is>
      </c>
      <c r="Y233" t="n">
        <v>89</v>
      </c>
      <c r="Z233" t="n">
        <v>73</v>
      </c>
      <c r="AA233" t="n">
        <v>282</v>
      </c>
      <c r="AB233" t="n">
        <v>1</v>
      </c>
      <c r="AC233" t="n">
        <v>2</v>
      </c>
      <c r="AD233" t="n">
        <v>2</v>
      </c>
      <c r="AE233" t="n">
        <v>11</v>
      </c>
      <c r="AF233" t="n">
        <v>0</v>
      </c>
      <c r="AG233" t="n">
        <v>3</v>
      </c>
      <c r="AH233" t="n">
        <v>1</v>
      </c>
      <c r="AI233" t="n">
        <v>2</v>
      </c>
      <c r="AJ233" t="n">
        <v>2</v>
      </c>
      <c r="AK233" t="n">
        <v>8</v>
      </c>
      <c r="AL233" t="n">
        <v>0</v>
      </c>
      <c r="AM233" t="n">
        <v>1</v>
      </c>
      <c r="AN233" t="n">
        <v>0</v>
      </c>
      <c r="AO233" t="n">
        <v>0</v>
      </c>
      <c r="AP233" t="inlineStr">
        <is>
          <t>No</t>
        </is>
      </c>
      <c r="AQ233" t="inlineStr">
        <is>
          <t>No</t>
        </is>
      </c>
      <c r="AS233">
        <f>HYPERLINK("https://creighton-primo.hosted.exlibrisgroup.com/primo-explore/search?tab=default_tab&amp;search_scope=EVERYTHING&amp;vid=01CRU&amp;lang=en_US&amp;offset=0&amp;query=any,contains,991003915419702656","Catalog Record")</f>
        <v/>
      </c>
      <c r="AT233">
        <f>HYPERLINK("http://www.worldcat.org/oclc/1859626","WorldCat Record")</f>
        <v/>
      </c>
      <c r="AU233" t="inlineStr">
        <is>
          <t>2374703:eng</t>
        </is>
      </c>
      <c r="AV233" t="inlineStr">
        <is>
          <t>1859626</t>
        </is>
      </c>
      <c r="AW233" t="inlineStr">
        <is>
          <t>991003915419702656</t>
        </is>
      </c>
      <c r="AX233" t="inlineStr">
        <is>
          <t>991003915419702656</t>
        </is>
      </c>
      <c r="AY233" t="inlineStr">
        <is>
          <t>2268540060002656</t>
        </is>
      </c>
      <c r="AZ233" t="inlineStr">
        <is>
          <t>BOOK</t>
        </is>
      </c>
      <c r="BB233" t="inlineStr">
        <is>
          <t>9780837180540</t>
        </is>
      </c>
      <c r="BC233" t="inlineStr">
        <is>
          <t>32285003149316</t>
        </is>
      </c>
      <c r="BD233" t="inlineStr">
        <is>
          <t>893429430</t>
        </is>
      </c>
    </row>
    <row r="234">
      <c r="A234" t="inlineStr">
        <is>
          <t>No</t>
        </is>
      </c>
      <c r="B234" t="inlineStr">
        <is>
          <t>HT1521 .M4955 1993</t>
        </is>
      </c>
      <c r="C234" t="inlineStr">
        <is>
          <t>0                      HT 1521000M  4955        1993</t>
        </is>
      </c>
      <c r="D234" t="inlineStr">
        <is>
          <t>Racism after 'race relations' / Robert Miles.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Miles, Robert, 1950-</t>
        </is>
      </c>
      <c r="L234" t="inlineStr">
        <is>
          <t>London ; New York : Routledge, 1993.</t>
        </is>
      </c>
      <c r="M234" t="inlineStr">
        <is>
          <t>1993</t>
        </is>
      </c>
      <c r="O234" t="inlineStr">
        <is>
          <t>eng</t>
        </is>
      </c>
      <c r="P234" t="inlineStr">
        <is>
          <t>enk</t>
        </is>
      </c>
      <c r="R234" t="inlineStr">
        <is>
          <t xml:space="preserve">HT </t>
        </is>
      </c>
      <c r="S234" t="n">
        <v>4</v>
      </c>
      <c r="T234" t="n">
        <v>4</v>
      </c>
      <c r="U234" t="inlineStr">
        <is>
          <t>2000-02-13</t>
        </is>
      </c>
      <c r="V234" t="inlineStr">
        <is>
          <t>2000-02-13</t>
        </is>
      </c>
      <c r="W234" t="inlineStr">
        <is>
          <t>1995-02-01</t>
        </is>
      </c>
      <c r="X234" t="inlineStr">
        <is>
          <t>1995-02-01</t>
        </is>
      </c>
      <c r="Y234" t="n">
        <v>394</v>
      </c>
      <c r="Z234" t="n">
        <v>207</v>
      </c>
      <c r="AA234" t="n">
        <v>207</v>
      </c>
      <c r="AB234" t="n">
        <v>2</v>
      </c>
      <c r="AC234" t="n">
        <v>2</v>
      </c>
      <c r="AD234" t="n">
        <v>10</v>
      </c>
      <c r="AE234" t="n">
        <v>10</v>
      </c>
      <c r="AF234" t="n">
        <v>1</v>
      </c>
      <c r="AG234" t="n">
        <v>1</v>
      </c>
      <c r="AH234" t="n">
        <v>4</v>
      </c>
      <c r="AI234" t="n">
        <v>4</v>
      </c>
      <c r="AJ234" t="n">
        <v>6</v>
      </c>
      <c r="AK234" t="n">
        <v>6</v>
      </c>
      <c r="AL234" t="n">
        <v>1</v>
      </c>
      <c r="AM234" t="n">
        <v>1</v>
      </c>
      <c r="AN234" t="n">
        <v>0</v>
      </c>
      <c r="AO234" t="n">
        <v>0</v>
      </c>
      <c r="AP234" t="inlineStr">
        <is>
          <t>No</t>
        </is>
      </c>
      <c r="AQ234" t="inlineStr">
        <is>
          <t>No</t>
        </is>
      </c>
      <c r="AS234">
        <f>HYPERLINK("https://creighton-primo.hosted.exlibrisgroup.com/primo-explore/search?tab=default_tab&amp;search_scope=EVERYTHING&amp;vid=01CRU&amp;lang=en_US&amp;offset=0&amp;query=any,contains,991002127949702656","Catalog Record")</f>
        <v/>
      </c>
      <c r="AT234">
        <f>HYPERLINK("http://www.worldcat.org/oclc/27265217","WorldCat Record")</f>
        <v/>
      </c>
      <c r="AU234" t="inlineStr">
        <is>
          <t>337435:eng</t>
        </is>
      </c>
      <c r="AV234" t="inlineStr">
        <is>
          <t>27265217</t>
        </is>
      </c>
      <c r="AW234" t="inlineStr">
        <is>
          <t>991002127949702656</t>
        </is>
      </c>
      <c r="AX234" t="inlineStr">
        <is>
          <t>991002127949702656</t>
        </is>
      </c>
      <c r="AY234" t="inlineStr">
        <is>
          <t>2271888300002656</t>
        </is>
      </c>
      <c r="AZ234" t="inlineStr">
        <is>
          <t>BOOK</t>
        </is>
      </c>
      <c r="BB234" t="inlineStr">
        <is>
          <t>9780415074537</t>
        </is>
      </c>
      <c r="BC234" t="inlineStr">
        <is>
          <t>32285001996130</t>
        </is>
      </c>
      <c r="BD234" t="inlineStr">
        <is>
          <t>893716087</t>
        </is>
      </c>
    </row>
    <row r="235">
      <c r="A235" t="inlineStr">
        <is>
          <t>No</t>
        </is>
      </c>
      <c r="B235" t="inlineStr">
        <is>
          <t>HT1521 .M58 2006</t>
        </is>
      </c>
      <c r="C235" t="inlineStr">
        <is>
          <t>0                      HT 1521000M  58          2006</t>
        </is>
      </c>
      <c r="D235" t="inlineStr">
        <is>
          <t>Mixed messages : multiracial identities in the "color-blind" era / edited by David L. Brunsma.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L235" t="inlineStr">
        <is>
          <t>Boulder, Colo. : Lynne Rienner Publishers, 2006.</t>
        </is>
      </c>
      <c r="M235" t="inlineStr">
        <is>
          <t>2006</t>
        </is>
      </c>
      <c r="O235" t="inlineStr">
        <is>
          <t>eng</t>
        </is>
      </c>
      <c r="P235" t="inlineStr">
        <is>
          <t>cou</t>
        </is>
      </c>
      <c r="R235" t="inlineStr">
        <is>
          <t xml:space="preserve">HT </t>
        </is>
      </c>
      <c r="S235" t="n">
        <v>1</v>
      </c>
      <c r="T235" t="n">
        <v>1</v>
      </c>
      <c r="U235" t="inlineStr">
        <is>
          <t>2006-12-13</t>
        </is>
      </c>
      <c r="V235" t="inlineStr">
        <is>
          <t>2006-12-13</t>
        </is>
      </c>
      <c r="W235" t="inlineStr">
        <is>
          <t>2006-12-13</t>
        </is>
      </c>
      <c r="X235" t="inlineStr">
        <is>
          <t>2006-12-13</t>
        </is>
      </c>
      <c r="Y235" t="n">
        <v>492</v>
      </c>
      <c r="Z235" t="n">
        <v>432</v>
      </c>
      <c r="AA235" t="n">
        <v>439</v>
      </c>
      <c r="AB235" t="n">
        <v>5</v>
      </c>
      <c r="AC235" t="n">
        <v>5</v>
      </c>
      <c r="AD235" t="n">
        <v>22</v>
      </c>
      <c r="AE235" t="n">
        <v>22</v>
      </c>
      <c r="AF235" t="n">
        <v>8</v>
      </c>
      <c r="AG235" t="n">
        <v>8</v>
      </c>
      <c r="AH235" t="n">
        <v>5</v>
      </c>
      <c r="AI235" t="n">
        <v>5</v>
      </c>
      <c r="AJ235" t="n">
        <v>9</v>
      </c>
      <c r="AK235" t="n">
        <v>9</v>
      </c>
      <c r="AL235" t="n">
        <v>4</v>
      </c>
      <c r="AM235" t="n">
        <v>4</v>
      </c>
      <c r="AN235" t="n">
        <v>0</v>
      </c>
      <c r="AO235" t="n">
        <v>0</v>
      </c>
      <c r="AP235" t="inlineStr">
        <is>
          <t>No</t>
        </is>
      </c>
      <c r="AQ235" t="inlineStr">
        <is>
          <t>Yes</t>
        </is>
      </c>
      <c r="AR235">
        <f>HYPERLINK("http://catalog.hathitrust.org/Record/007146260","HathiTrust Record")</f>
        <v/>
      </c>
      <c r="AS235">
        <f>HYPERLINK("https://creighton-primo.hosted.exlibrisgroup.com/primo-explore/search?tab=default_tab&amp;search_scope=EVERYTHING&amp;vid=01CRU&amp;lang=en_US&amp;offset=0&amp;query=any,contains,991004992199702656","Catalog Record")</f>
        <v/>
      </c>
      <c r="AT235">
        <f>HYPERLINK("http://www.worldcat.org/oclc/61179501","WorldCat Record")</f>
        <v/>
      </c>
      <c r="AU235" t="inlineStr">
        <is>
          <t>908349047:eng</t>
        </is>
      </c>
      <c r="AV235" t="inlineStr">
        <is>
          <t>61179501</t>
        </is>
      </c>
      <c r="AW235" t="inlineStr">
        <is>
          <t>991004992199702656</t>
        </is>
      </c>
      <c r="AX235" t="inlineStr">
        <is>
          <t>991004992199702656</t>
        </is>
      </c>
      <c r="AY235" t="inlineStr">
        <is>
          <t>2265424840002656</t>
        </is>
      </c>
      <c r="AZ235" t="inlineStr">
        <is>
          <t>BOOK</t>
        </is>
      </c>
      <c r="BB235" t="inlineStr">
        <is>
          <t>9781588263728</t>
        </is>
      </c>
      <c r="BC235" t="inlineStr">
        <is>
          <t>32285005266639</t>
        </is>
      </c>
      <c r="BD235" t="inlineStr">
        <is>
          <t>893688447</t>
        </is>
      </c>
    </row>
    <row r="236">
      <c r="A236" t="inlineStr">
        <is>
          <t>No</t>
        </is>
      </c>
      <c r="B236" t="inlineStr">
        <is>
          <t>HT1521 .M785 2007</t>
        </is>
      </c>
      <c r="C236" t="inlineStr">
        <is>
          <t>0                      HT 1521000M  785         2007</t>
        </is>
      </c>
      <c r="D236" t="inlineStr">
        <is>
          <t>How real is race? : a sourcebook on race, culture, and biology / Carol C. Mukhopadhyay, Rosemary Henze, Yolanda T. Moses.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Mukhopadhyay, Carol Chapnick.</t>
        </is>
      </c>
      <c r="L236" t="inlineStr">
        <is>
          <t>Lanham, Md. : Rowman &amp; Littlefield Education, 2007.</t>
        </is>
      </c>
      <c r="M236" t="inlineStr">
        <is>
          <t>2007</t>
        </is>
      </c>
      <c r="O236" t="inlineStr">
        <is>
          <t>eng</t>
        </is>
      </c>
      <c r="P236" t="inlineStr">
        <is>
          <t>mdu</t>
        </is>
      </c>
      <c r="R236" t="inlineStr">
        <is>
          <t xml:space="preserve">HT </t>
        </is>
      </c>
      <c r="S236" t="n">
        <v>3</v>
      </c>
      <c r="T236" t="n">
        <v>3</v>
      </c>
      <c r="U236" t="inlineStr">
        <is>
          <t>2009-04-24</t>
        </is>
      </c>
      <c r="V236" t="inlineStr">
        <is>
          <t>2009-04-24</t>
        </is>
      </c>
      <c r="W236" t="inlineStr">
        <is>
          <t>2007-06-12</t>
        </is>
      </c>
      <c r="X236" t="inlineStr">
        <is>
          <t>2007-06-12</t>
        </is>
      </c>
      <c r="Y236" t="n">
        <v>304</v>
      </c>
      <c r="Z236" t="n">
        <v>263</v>
      </c>
      <c r="AA236" t="n">
        <v>958</v>
      </c>
      <c r="AB236" t="n">
        <v>4</v>
      </c>
      <c r="AC236" t="n">
        <v>10</v>
      </c>
      <c r="AD236" t="n">
        <v>13</v>
      </c>
      <c r="AE236" t="n">
        <v>37</v>
      </c>
      <c r="AF236" t="n">
        <v>4</v>
      </c>
      <c r="AG236" t="n">
        <v>12</v>
      </c>
      <c r="AH236" t="n">
        <v>4</v>
      </c>
      <c r="AI236" t="n">
        <v>9</v>
      </c>
      <c r="AJ236" t="n">
        <v>4</v>
      </c>
      <c r="AK236" t="n">
        <v>12</v>
      </c>
      <c r="AL236" t="n">
        <v>3</v>
      </c>
      <c r="AM236" t="n">
        <v>9</v>
      </c>
      <c r="AN236" t="n">
        <v>0</v>
      </c>
      <c r="AO236" t="n">
        <v>1</v>
      </c>
      <c r="AP236" t="inlineStr">
        <is>
          <t>No</t>
        </is>
      </c>
      <c r="AQ236" t="inlineStr">
        <is>
          <t>No</t>
        </is>
      </c>
      <c r="AS236">
        <f>HYPERLINK("https://creighton-primo.hosted.exlibrisgroup.com/primo-explore/search?tab=default_tab&amp;search_scope=EVERYTHING&amp;vid=01CRU&amp;lang=en_US&amp;offset=0&amp;query=any,contains,991005077119702656","Catalog Record")</f>
        <v/>
      </c>
      <c r="AT236">
        <f>HYPERLINK("http://www.worldcat.org/oclc/71126806","WorldCat Record")</f>
        <v/>
      </c>
      <c r="AU236" t="inlineStr">
        <is>
          <t>1081972942:eng</t>
        </is>
      </c>
      <c r="AV236" t="inlineStr">
        <is>
          <t>71126806</t>
        </is>
      </c>
      <c r="AW236" t="inlineStr">
        <is>
          <t>991005077119702656</t>
        </is>
      </c>
      <c r="AX236" t="inlineStr">
        <is>
          <t>991005077119702656</t>
        </is>
      </c>
      <c r="AY236" t="inlineStr">
        <is>
          <t>2272292230002656</t>
        </is>
      </c>
      <c r="AZ236" t="inlineStr">
        <is>
          <t>BOOK</t>
        </is>
      </c>
      <c r="BB236" t="inlineStr">
        <is>
          <t>9781578865604</t>
        </is>
      </c>
      <c r="BC236" t="inlineStr">
        <is>
          <t>32285005315972</t>
        </is>
      </c>
      <c r="BD236" t="inlineStr">
        <is>
          <t>893350663</t>
        </is>
      </c>
    </row>
    <row r="237">
      <c r="A237" t="inlineStr">
        <is>
          <t>No</t>
        </is>
      </c>
      <c r="B237" t="inlineStr">
        <is>
          <t>HT1521 .N56 2001</t>
        </is>
      </c>
      <c r="C237" t="inlineStr">
        <is>
          <t>0                      HT 1521000N  56          2001</t>
        </is>
      </c>
      <c r="D237" t="inlineStr">
        <is>
          <t>Who do we think we are? : race and nation in the modern world / Philip Yale Nicholson.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Nicholson, Philip Yale, 1940-</t>
        </is>
      </c>
      <c r="L237" t="inlineStr">
        <is>
          <t>Armonk, N.Y. : M.E. Sharpe, c2001.</t>
        </is>
      </c>
      <c r="M237" t="inlineStr">
        <is>
          <t>2001</t>
        </is>
      </c>
      <c r="O237" t="inlineStr">
        <is>
          <t>eng</t>
        </is>
      </c>
      <c r="P237" t="inlineStr">
        <is>
          <t>nyu</t>
        </is>
      </c>
      <c r="R237" t="inlineStr">
        <is>
          <t xml:space="preserve">HT </t>
        </is>
      </c>
      <c r="S237" t="n">
        <v>3</v>
      </c>
      <c r="T237" t="n">
        <v>3</v>
      </c>
      <c r="U237" t="inlineStr">
        <is>
          <t>2003-10-09</t>
        </is>
      </c>
      <c r="V237" t="inlineStr">
        <is>
          <t>2003-10-09</t>
        </is>
      </c>
      <c r="W237" t="inlineStr">
        <is>
          <t>2003-10-09</t>
        </is>
      </c>
      <c r="X237" t="inlineStr">
        <is>
          <t>2003-10-09</t>
        </is>
      </c>
      <c r="Y237" t="n">
        <v>52</v>
      </c>
      <c r="Z237" t="n">
        <v>38</v>
      </c>
      <c r="AA237" t="n">
        <v>1221</v>
      </c>
      <c r="AB237" t="n">
        <v>1</v>
      </c>
      <c r="AC237" t="n">
        <v>6</v>
      </c>
      <c r="AD237" t="n">
        <v>2</v>
      </c>
      <c r="AE237" t="n">
        <v>29</v>
      </c>
      <c r="AF237" t="n">
        <v>1</v>
      </c>
      <c r="AG237" t="n">
        <v>11</v>
      </c>
      <c r="AH237" t="n">
        <v>1</v>
      </c>
      <c r="AI237" t="n">
        <v>6</v>
      </c>
      <c r="AJ237" t="n">
        <v>0</v>
      </c>
      <c r="AK237" t="n">
        <v>13</v>
      </c>
      <c r="AL237" t="n">
        <v>0</v>
      </c>
      <c r="AM237" t="n">
        <v>5</v>
      </c>
      <c r="AN237" t="n">
        <v>0</v>
      </c>
      <c r="AO237" t="n">
        <v>1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HYPERLINK("https://creighton-primo.hosted.exlibrisgroup.com/primo-explore/search?tab=default_tab&amp;search_scope=EVERYTHING&amp;vid=01CRU&amp;lang=en_US&amp;offset=0&amp;query=any,contains,991004141059702656","Catalog Record")</f>
        <v/>
      </c>
      <c r="AT237">
        <f>HYPERLINK("http://www.worldcat.org/oclc/50718811","WorldCat Record")</f>
        <v/>
      </c>
      <c r="AU237" t="inlineStr">
        <is>
          <t>797141083:eng</t>
        </is>
      </c>
      <c r="AV237" t="inlineStr">
        <is>
          <t>50718811</t>
        </is>
      </c>
      <c r="AW237" t="inlineStr">
        <is>
          <t>991004141059702656</t>
        </is>
      </c>
      <c r="AX237" t="inlineStr">
        <is>
          <t>991004141059702656</t>
        </is>
      </c>
      <c r="AY237" t="inlineStr">
        <is>
          <t>2258532190002656</t>
        </is>
      </c>
      <c r="AZ237" t="inlineStr">
        <is>
          <t>BOOK</t>
        </is>
      </c>
      <c r="BB237" t="inlineStr">
        <is>
          <t>9780765603920</t>
        </is>
      </c>
      <c r="BC237" t="inlineStr">
        <is>
          <t>32285004787536</t>
        </is>
      </c>
      <c r="BD237" t="inlineStr">
        <is>
          <t>893442250</t>
        </is>
      </c>
    </row>
    <row r="238">
      <c r="A238" t="inlineStr">
        <is>
          <t>No</t>
        </is>
      </c>
      <c r="B238" t="inlineStr">
        <is>
          <t>HT1521 .O55 2009</t>
        </is>
      </c>
      <c r="C238" t="inlineStr">
        <is>
          <t>0                      HT 1521000O  55          2009</t>
        </is>
      </c>
      <c r="D238" t="inlineStr">
        <is>
          <t>Race and erudition / Maurice Olender ; translated by Jane Marie Todd.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Olender, Maurice.</t>
        </is>
      </c>
      <c r="L238" t="inlineStr">
        <is>
          <t>Cambridge, Mass. : Harvard University Press, 2009.</t>
        </is>
      </c>
      <c r="M238" t="inlineStr">
        <is>
          <t>2009</t>
        </is>
      </c>
      <c r="N238" t="inlineStr">
        <is>
          <t>[English-language ed.].</t>
        </is>
      </c>
      <c r="O238" t="inlineStr">
        <is>
          <t>eng</t>
        </is>
      </c>
      <c r="P238" t="inlineStr">
        <is>
          <t>mau</t>
        </is>
      </c>
      <c r="R238" t="inlineStr">
        <is>
          <t xml:space="preserve">HT </t>
        </is>
      </c>
      <c r="S238" t="n">
        <v>1</v>
      </c>
      <c r="T238" t="n">
        <v>1</v>
      </c>
      <c r="U238" t="inlineStr">
        <is>
          <t>2010-05-18</t>
        </is>
      </c>
      <c r="V238" t="inlineStr">
        <is>
          <t>2010-05-18</t>
        </is>
      </c>
      <c r="W238" t="inlineStr">
        <is>
          <t>2010-05-18</t>
        </is>
      </c>
      <c r="X238" t="inlineStr">
        <is>
          <t>2010-05-18</t>
        </is>
      </c>
      <c r="Y238" t="n">
        <v>234</v>
      </c>
      <c r="Z238" t="n">
        <v>190</v>
      </c>
      <c r="AA238" t="n">
        <v>191</v>
      </c>
      <c r="AB238" t="n">
        <v>1</v>
      </c>
      <c r="AC238" t="n">
        <v>1</v>
      </c>
      <c r="AD238" t="n">
        <v>8</v>
      </c>
      <c r="AE238" t="n">
        <v>8</v>
      </c>
      <c r="AF238" t="n">
        <v>3</v>
      </c>
      <c r="AG238" t="n">
        <v>3</v>
      </c>
      <c r="AH238" t="n">
        <v>2</v>
      </c>
      <c r="AI238" t="n">
        <v>2</v>
      </c>
      <c r="AJ238" t="n">
        <v>3</v>
      </c>
      <c r="AK238" t="n">
        <v>3</v>
      </c>
      <c r="AL238" t="n">
        <v>0</v>
      </c>
      <c r="AM238" t="n">
        <v>0</v>
      </c>
      <c r="AN238" t="n">
        <v>1</v>
      </c>
      <c r="AO238" t="n">
        <v>1</v>
      </c>
      <c r="AP238" t="inlineStr">
        <is>
          <t>No</t>
        </is>
      </c>
      <c r="AQ238" t="inlineStr">
        <is>
          <t>No</t>
        </is>
      </c>
      <c r="AS238">
        <f>HYPERLINK("https://creighton-primo.hosted.exlibrisgroup.com/primo-explore/search?tab=default_tab&amp;search_scope=EVERYTHING&amp;vid=01CRU&amp;lang=en_US&amp;offset=0&amp;query=any,contains,991005396979702656","Catalog Record")</f>
        <v/>
      </c>
      <c r="AT238">
        <f>HYPERLINK("http://www.worldcat.org/oclc/261174105","WorldCat Record")</f>
        <v/>
      </c>
      <c r="AU238" t="inlineStr">
        <is>
          <t>153270366:eng</t>
        </is>
      </c>
      <c r="AV238" t="inlineStr">
        <is>
          <t>261174105</t>
        </is>
      </c>
      <c r="AW238" t="inlineStr">
        <is>
          <t>991005396979702656</t>
        </is>
      </c>
      <c r="AX238" t="inlineStr">
        <is>
          <t>991005396979702656</t>
        </is>
      </c>
      <c r="AY238" t="inlineStr">
        <is>
          <t>2267011360002656</t>
        </is>
      </c>
      <c r="AZ238" t="inlineStr">
        <is>
          <t>BOOK</t>
        </is>
      </c>
      <c r="BB238" t="inlineStr">
        <is>
          <t>9780674034044</t>
        </is>
      </c>
      <c r="BC238" t="inlineStr">
        <is>
          <t>32285005584338</t>
        </is>
      </c>
      <c r="BD238" t="inlineStr">
        <is>
          <t>893514658</t>
        </is>
      </c>
    </row>
    <row r="239">
      <c r="A239" t="inlineStr">
        <is>
          <t>No</t>
        </is>
      </c>
      <c r="B239" t="inlineStr">
        <is>
          <t>HT1521 .O85</t>
        </is>
      </c>
      <c r="C239" t="inlineStr">
        <is>
          <t>0                      HT 1521000O  85</t>
        </is>
      </c>
      <c r="D239" t="inlineStr">
        <is>
          <t>The biological and social meaning of race / edited by Richard H. Osborne.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Osborne, Richard H. (Richard Hazelet) compiler.</t>
        </is>
      </c>
      <c r="L239" t="inlineStr">
        <is>
          <t>San Francisco : W. H. Freeman, [1971]</t>
        </is>
      </c>
      <c r="M239" t="inlineStr">
        <is>
          <t>1971</t>
        </is>
      </c>
      <c r="O239" t="inlineStr">
        <is>
          <t>eng</t>
        </is>
      </c>
      <c r="P239" t="inlineStr">
        <is>
          <t>cau</t>
        </is>
      </c>
      <c r="R239" t="inlineStr">
        <is>
          <t xml:space="preserve">HT </t>
        </is>
      </c>
      <c r="S239" t="n">
        <v>2</v>
      </c>
      <c r="T239" t="n">
        <v>2</v>
      </c>
      <c r="U239" t="inlineStr">
        <is>
          <t>2000-02-13</t>
        </is>
      </c>
      <c r="V239" t="inlineStr">
        <is>
          <t>2000-02-13</t>
        </is>
      </c>
      <c r="W239" t="inlineStr">
        <is>
          <t>1993-12-08</t>
        </is>
      </c>
      <c r="X239" t="inlineStr">
        <is>
          <t>1993-12-08</t>
        </is>
      </c>
      <c r="Y239" t="n">
        <v>862</v>
      </c>
      <c r="Z239" t="n">
        <v>699</v>
      </c>
      <c r="AA239" t="n">
        <v>704</v>
      </c>
      <c r="AB239" t="n">
        <v>6</v>
      </c>
      <c r="AC239" t="n">
        <v>6</v>
      </c>
      <c r="AD239" t="n">
        <v>26</v>
      </c>
      <c r="AE239" t="n">
        <v>26</v>
      </c>
      <c r="AF239" t="n">
        <v>9</v>
      </c>
      <c r="AG239" t="n">
        <v>9</v>
      </c>
      <c r="AH239" t="n">
        <v>6</v>
      </c>
      <c r="AI239" t="n">
        <v>6</v>
      </c>
      <c r="AJ239" t="n">
        <v>14</v>
      </c>
      <c r="AK239" t="n">
        <v>14</v>
      </c>
      <c r="AL239" t="n">
        <v>4</v>
      </c>
      <c r="AM239" t="n">
        <v>4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HYPERLINK("http://catalog.hathitrust.org/Record/001131030","HathiTrust Record")</f>
        <v/>
      </c>
      <c r="AS239">
        <f>HYPERLINK("https://creighton-primo.hosted.exlibrisgroup.com/primo-explore/search?tab=default_tab&amp;search_scope=EVERYTHING&amp;vid=01CRU&amp;lang=en_US&amp;offset=0&amp;query=any,contains,991001285659702656","Catalog Record")</f>
        <v/>
      </c>
      <c r="AT239">
        <f>HYPERLINK("http://www.worldcat.org/oclc/215783","WorldCat Record")</f>
        <v/>
      </c>
      <c r="AU239" t="inlineStr">
        <is>
          <t>347113988:eng</t>
        </is>
      </c>
      <c r="AV239" t="inlineStr">
        <is>
          <t>215783</t>
        </is>
      </c>
      <c r="AW239" t="inlineStr">
        <is>
          <t>991001285659702656</t>
        </is>
      </c>
      <c r="AX239" t="inlineStr">
        <is>
          <t>991001285659702656</t>
        </is>
      </c>
      <c r="AY239" t="inlineStr">
        <is>
          <t>2255733150002656</t>
        </is>
      </c>
      <c r="AZ239" t="inlineStr">
        <is>
          <t>BOOK</t>
        </is>
      </c>
      <c r="BB239" t="inlineStr">
        <is>
          <t>9780716709350</t>
        </is>
      </c>
      <c r="BC239" t="inlineStr">
        <is>
          <t>32285001806941</t>
        </is>
      </c>
      <c r="BD239" t="inlineStr">
        <is>
          <t>893791357</t>
        </is>
      </c>
    </row>
    <row r="240">
      <c r="A240" t="inlineStr">
        <is>
          <t>No</t>
        </is>
      </c>
      <c r="B240" t="inlineStr">
        <is>
          <t>HT1521 .R2357 1997</t>
        </is>
      </c>
      <c r="C240" t="inlineStr">
        <is>
          <t>0                      HT 1521000R  2357        1997</t>
        </is>
      </c>
      <c r="D240" t="inlineStr">
        <is>
          <t>Race/sex : their sameness, difference, and interplay / edited by Naomi Zack.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L240" t="inlineStr">
        <is>
          <t>New York : Routledge, 1997.</t>
        </is>
      </c>
      <c r="M240" t="inlineStr">
        <is>
          <t>1997</t>
        </is>
      </c>
      <c r="O240" t="inlineStr">
        <is>
          <t>eng</t>
        </is>
      </c>
      <c r="P240" t="inlineStr">
        <is>
          <t>nyu</t>
        </is>
      </c>
      <c r="R240" t="inlineStr">
        <is>
          <t xml:space="preserve">HT </t>
        </is>
      </c>
      <c r="S240" t="n">
        <v>4</v>
      </c>
      <c r="T240" t="n">
        <v>4</v>
      </c>
      <c r="U240" t="inlineStr">
        <is>
          <t>2002-04-15</t>
        </is>
      </c>
      <c r="V240" t="inlineStr">
        <is>
          <t>2002-04-15</t>
        </is>
      </c>
      <c r="W240" t="inlineStr">
        <is>
          <t>1999-11-08</t>
        </is>
      </c>
      <c r="X240" t="inlineStr">
        <is>
          <t>1999-11-08</t>
        </is>
      </c>
      <c r="Y240" t="n">
        <v>375</v>
      </c>
      <c r="Z240" t="n">
        <v>264</v>
      </c>
      <c r="AA240" t="n">
        <v>295</v>
      </c>
      <c r="AB240" t="n">
        <v>4</v>
      </c>
      <c r="AC240" t="n">
        <v>4</v>
      </c>
      <c r="AD240" t="n">
        <v>16</v>
      </c>
      <c r="AE240" t="n">
        <v>16</v>
      </c>
      <c r="AF240" t="n">
        <v>5</v>
      </c>
      <c r="AG240" t="n">
        <v>5</v>
      </c>
      <c r="AH240" t="n">
        <v>6</v>
      </c>
      <c r="AI240" t="n">
        <v>6</v>
      </c>
      <c r="AJ240" t="n">
        <v>8</v>
      </c>
      <c r="AK240" t="n">
        <v>8</v>
      </c>
      <c r="AL240" t="n">
        <v>3</v>
      </c>
      <c r="AM240" t="n">
        <v>3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HYPERLINK("https://creighton-primo.hosted.exlibrisgroup.com/primo-explore/search?tab=default_tab&amp;search_scope=EVERYTHING&amp;vid=01CRU&amp;lang=en_US&amp;offset=0&amp;query=any,contains,991002680099702656","Catalog Record")</f>
        <v/>
      </c>
      <c r="AT240">
        <f>HYPERLINK("http://www.worldcat.org/oclc/35029522","WorldCat Record")</f>
        <v/>
      </c>
      <c r="AU240" t="inlineStr">
        <is>
          <t>890116738:eng</t>
        </is>
      </c>
      <c r="AV240" t="inlineStr">
        <is>
          <t>35029522</t>
        </is>
      </c>
      <c r="AW240" t="inlineStr">
        <is>
          <t>991002680099702656</t>
        </is>
      </c>
      <c r="AX240" t="inlineStr">
        <is>
          <t>991002680099702656</t>
        </is>
      </c>
      <c r="AY240" t="inlineStr">
        <is>
          <t>2268021880002656</t>
        </is>
      </c>
      <c r="AZ240" t="inlineStr">
        <is>
          <t>BOOK</t>
        </is>
      </c>
      <c r="BB240" t="inlineStr">
        <is>
          <t>9780415915892</t>
        </is>
      </c>
      <c r="BC240" t="inlineStr">
        <is>
          <t>32285003619300</t>
        </is>
      </c>
      <c r="BD240" t="inlineStr">
        <is>
          <t>893773906</t>
        </is>
      </c>
    </row>
    <row r="241">
      <c r="A241" t="inlineStr">
        <is>
          <t>No</t>
        </is>
      </c>
      <c r="B241" t="inlineStr">
        <is>
          <t>HT1521 .R27</t>
        </is>
      </c>
      <c r="C241" t="inlineStr">
        <is>
          <t>0                      HT 1521000R  27</t>
        </is>
      </c>
      <c r="D241" t="inlineStr">
        <is>
          <t>Racial conflict, discrimination, &amp; power : historical and contemporary studies / edited by William Barclay, Krishna Kumar, Ruth P. Simms. ; with a foreword by James B. McKee.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L241" t="inlineStr">
        <is>
          <t>New York : AMS Press, c1976.</t>
        </is>
      </c>
      <c r="M241" t="inlineStr">
        <is>
          <t>1976</t>
        </is>
      </c>
      <c r="O241" t="inlineStr">
        <is>
          <t>eng</t>
        </is>
      </c>
      <c r="P241" t="inlineStr">
        <is>
          <t>nyu</t>
        </is>
      </c>
      <c r="R241" t="inlineStr">
        <is>
          <t xml:space="preserve">HT </t>
        </is>
      </c>
      <c r="S241" t="n">
        <v>4</v>
      </c>
      <c r="T241" t="n">
        <v>4</v>
      </c>
      <c r="U241" t="inlineStr">
        <is>
          <t>1994-03-30</t>
        </is>
      </c>
      <c r="V241" t="inlineStr">
        <is>
          <t>1994-03-30</t>
        </is>
      </c>
      <c r="W241" t="inlineStr">
        <is>
          <t>1991-11-04</t>
        </is>
      </c>
      <c r="X241" t="inlineStr">
        <is>
          <t>1991-11-04</t>
        </is>
      </c>
      <c r="Y241" t="n">
        <v>459</v>
      </c>
      <c r="Z241" t="n">
        <v>387</v>
      </c>
      <c r="AA241" t="n">
        <v>397</v>
      </c>
      <c r="AB241" t="n">
        <v>2</v>
      </c>
      <c r="AC241" t="n">
        <v>2</v>
      </c>
      <c r="AD241" t="n">
        <v>13</v>
      </c>
      <c r="AE241" t="n">
        <v>13</v>
      </c>
      <c r="AF241" t="n">
        <v>4</v>
      </c>
      <c r="AG241" t="n">
        <v>4</v>
      </c>
      <c r="AH241" t="n">
        <v>1</v>
      </c>
      <c r="AI241" t="n">
        <v>1</v>
      </c>
      <c r="AJ241" t="n">
        <v>5</v>
      </c>
      <c r="AK241" t="n">
        <v>5</v>
      </c>
      <c r="AL241" t="n">
        <v>1</v>
      </c>
      <c r="AM241" t="n">
        <v>1</v>
      </c>
      <c r="AN241" t="n">
        <v>3</v>
      </c>
      <c r="AO241" t="n">
        <v>3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HYPERLINK("http://catalog.hathitrust.org/Record/000036455","HathiTrust Record")</f>
        <v/>
      </c>
      <c r="AS241">
        <f>HYPERLINK("https://creighton-primo.hosted.exlibrisgroup.com/primo-explore/search?tab=default_tab&amp;search_scope=EVERYTHING&amp;vid=01CRU&amp;lang=en_US&amp;offset=0&amp;query=any,contains,991003693999702656","Catalog Record")</f>
        <v/>
      </c>
      <c r="AT241">
        <f>HYPERLINK("http://www.worldcat.org/oclc/1324485","WorldCat Record")</f>
        <v/>
      </c>
      <c r="AU241" t="inlineStr">
        <is>
          <t>866251463:eng</t>
        </is>
      </c>
      <c r="AV241" t="inlineStr">
        <is>
          <t>1324485</t>
        </is>
      </c>
      <c r="AW241" t="inlineStr">
        <is>
          <t>991003693999702656</t>
        </is>
      </c>
      <c r="AX241" t="inlineStr">
        <is>
          <t>991003693999702656</t>
        </is>
      </c>
      <c r="AY241" t="inlineStr">
        <is>
          <t>2259671880002656</t>
        </is>
      </c>
      <c r="AZ241" t="inlineStr">
        <is>
          <t>BOOK</t>
        </is>
      </c>
      <c r="BB241" t="inlineStr">
        <is>
          <t>9780404131449</t>
        </is>
      </c>
      <c r="BC241" t="inlineStr">
        <is>
          <t>32285000803873</t>
        </is>
      </c>
      <c r="BD241" t="inlineStr">
        <is>
          <t>893518767</t>
        </is>
      </c>
    </row>
    <row r="242">
      <c r="A242" t="inlineStr">
        <is>
          <t>No</t>
        </is>
      </c>
      <c r="B242" t="inlineStr">
        <is>
          <t>HT1521 .R325 1995</t>
        </is>
      </c>
      <c r="C242" t="inlineStr">
        <is>
          <t>0                      HT 1521000R  325         1995</t>
        </is>
      </c>
      <c r="D242" t="inlineStr">
        <is>
          <t>Racism and anti-racism in world perspective / editor, Benjamin P. Bowser.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L242" t="inlineStr">
        <is>
          <t>Thousand Oaks : Sage Publications, c1995.</t>
        </is>
      </c>
      <c r="M242" t="inlineStr">
        <is>
          <t>1995</t>
        </is>
      </c>
      <c r="O242" t="inlineStr">
        <is>
          <t>eng</t>
        </is>
      </c>
      <c r="P242" t="inlineStr">
        <is>
          <t>cau</t>
        </is>
      </c>
      <c r="Q242" t="inlineStr">
        <is>
          <t>Sage series on race and ethnic relations ; v. 13</t>
        </is>
      </c>
      <c r="R242" t="inlineStr">
        <is>
          <t xml:space="preserve">HT </t>
        </is>
      </c>
      <c r="S242" t="n">
        <v>6</v>
      </c>
      <c r="T242" t="n">
        <v>6</v>
      </c>
      <c r="U242" t="inlineStr">
        <is>
          <t>2005-10-24</t>
        </is>
      </c>
      <c r="V242" t="inlineStr">
        <is>
          <t>2005-10-24</t>
        </is>
      </c>
      <c r="W242" t="inlineStr">
        <is>
          <t>1996-11-18</t>
        </is>
      </c>
      <c r="X242" t="inlineStr">
        <is>
          <t>1996-11-18</t>
        </is>
      </c>
      <c r="Y242" t="n">
        <v>585</v>
      </c>
      <c r="Z242" t="n">
        <v>454</v>
      </c>
      <c r="AA242" t="n">
        <v>455</v>
      </c>
      <c r="AB242" t="n">
        <v>5</v>
      </c>
      <c r="AC242" t="n">
        <v>5</v>
      </c>
      <c r="AD242" t="n">
        <v>25</v>
      </c>
      <c r="AE242" t="n">
        <v>25</v>
      </c>
      <c r="AF242" t="n">
        <v>7</v>
      </c>
      <c r="AG242" t="n">
        <v>7</v>
      </c>
      <c r="AH242" t="n">
        <v>8</v>
      </c>
      <c r="AI242" t="n">
        <v>8</v>
      </c>
      <c r="AJ242" t="n">
        <v>13</v>
      </c>
      <c r="AK242" t="n">
        <v>13</v>
      </c>
      <c r="AL242" t="n">
        <v>4</v>
      </c>
      <c r="AM242" t="n">
        <v>4</v>
      </c>
      <c r="AN242" t="n">
        <v>0</v>
      </c>
      <c r="AO242" t="n">
        <v>0</v>
      </c>
      <c r="AP242" t="inlineStr">
        <is>
          <t>No</t>
        </is>
      </c>
      <c r="AQ242" t="inlineStr">
        <is>
          <t>No</t>
        </is>
      </c>
      <c r="AS242">
        <f>HYPERLINK("https://creighton-primo.hosted.exlibrisgroup.com/primo-explore/search?tab=default_tab&amp;search_scope=EVERYTHING&amp;vid=01CRU&amp;lang=en_US&amp;offset=0&amp;query=any,contains,991005421009702656","Catalog Record")</f>
        <v/>
      </c>
      <c r="AT242">
        <f>HYPERLINK("http://www.worldcat.org/oclc/32393053","WorldCat Record")</f>
        <v/>
      </c>
      <c r="AU242" t="inlineStr">
        <is>
          <t>36983776:eng</t>
        </is>
      </c>
      <c r="AV242" t="inlineStr">
        <is>
          <t>32393053</t>
        </is>
      </c>
      <c r="AW242" t="inlineStr">
        <is>
          <t>991005421009702656</t>
        </is>
      </c>
      <c r="AX242" t="inlineStr">
        <is>
          <t>991005421009702656</t>
        </is>
      </c>
      <c r="AY242" t="inlineStr">
        <is>
          <t>2258716000002656</t>
        </is>
      </c>
      <c r="AZ242" t="inlineStr">
        <is>
          <t>BOOK</t>
        </is>
      </c>
      <c r="BB242" t="inlineStr">
        <is>
          <t>9780803949539</t>
        </is>
      </c>
      <c r="BC242" t="inlineStr">
        <is>
          <t>32285002373958</t>
        </is>
      </c>
      <c r="BD242" t="inlineStr">
        <is>
          <t>893351252</t>
        </is>
      </c>
    </row>
    <row r="243">
      <c r="A243" t="inlineStr">
        <is>
          <t>No</t>
        </is>
      </c>
      <c r="B243" t="inlineStr">
        <is>
          <t>HT1521 .R33</t>
        </is>
      </c>
      <c r="C243" t="inlineStr">
        <is>
          <t>0                      HT 1521000R  33</t>
        </is>
      </c>
      <c r="D243" t="inlineStr">
        <is>
          <t>Racism and colonialism : essays on ideology and social structure / by D. van Arkel ... [et al.] ; edited by Robert Ross.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L243" t="inlineStr">
        <is>
          <t>The Hague : [Published by] M. Nijhoff Publishers for the Leiden University Press ; Hingham, MA : Distributors for the U.S. and Canada, Kluwer Boston, 1982.</t>
        </is>
      </c>
      <c r="M243" t="inlineStr">
        <is>
          <t>1982</t>
        </is>
      </c>
      <c r="O243" t="inlineStr">
        <is>
          <t>eng</t>
        </is>
      </c>
      <c r="P243" t="inlineStr">
        <is>
          <t xml:space="preserve">ne </t>
        </is>
      </c>
      <c r="Q243" t="inlineStr">
        <is>
          <t>Comparative studies in overseas history ; v. 4</t>
        </is>
      </c>
      <c r="R243" t="inlineStr">
        <is>
          <t xml:space="preserve">HT </t>
        </is>
      </c>
      <c r="S243" t="n">
        <v>7</v>
      </c>
      <c r="T243" t="n">
        <v>7</v>
      </c>
      <c r="U243" t="inlineStr">
        <is>
          <t>2004-05-25</t>
        </is>
      </c>
      <c r="V243" t="inlineStr">
        <is>
          <t>2004-05-25</t>
        </is>
      </c>
      <c r="W243" t="inlineStr">
        <is>
          <t>1993-05-11</t>
        </is>
      </c>
      <c r="X243" t="inlineStr">
        <is>
          <t>1993-05-11</t>
        </is>
      </c>
      <c r="Y243" t="n">
        <v>303</v>
      </c>
      <c r="Z243" t="n">
        <v>179</v>
      </c>
      <c r="AA243" t="n">
        <v>191</v>
      </c>
      <c r="AB243" t="n">
        <v>2</v>
      </c>
      <c r="AC243" t="n">
        <v>2</v>
      </c>
      <c r="AD243" t="n">
        <v>5</v>
      </c>
      <c r="AE243" t="n">
        <v>6</v>
      </c>
      <c r="AF243" t="n">
        <v>1</v>
      </c>
      <c r="AG243" t="n">
        <v>2</v>
      </c>
      <c r="AH243" t="n">
        <v>2</v>
      </c>
      <c r="AI243" t="n">
        <v>3</v>
      </c>
      <c r="AJ243" t="n">
        <v>3</v>
      </c>
      <c r="AK243" t="n">
        <v>3</v>
      </c>
      <c r="AL243" t="n">
        <v>1</v>
      </c>
      <c r="AM243" t="n">
        <v>1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HYPERLINK("https://creighton-primo.hosted.exlibrisgroup.com/primo-explore/search?tab=default_tab&amp;search_scope=EVERYTHING&amp;vid=01CRU&amp;lang=en_US&amp;offset=0&amp;query=any,contains,991005393489702656","Catalog Record")</f>
        <v/>
      </c>
      <c r="AT243">
        <f>HYPERLINK("http://www.worldcat.org/oclc/8169805","WorldCat Record")</f>
        <v/>
      </c>
      <c r="AU243" t="inlineStr">
        <is>
          <t>926604491:eng</t>
        </is>
      </c>
      <c r="AV243" t="inlineStr">
        <is>
          <t>8169805</t>
        </is>
      </c>
      <c r="AW243" t="inlineStr">
        <is>
          <t>991005393489702656</t>
        </is>
      </c>
      <c r="AX243" t="inlineStr">
        <is>
          <t>991005393489702656</t>
        </is>
      </c>
      <c r="AY243" t="inlineStr">
        <is>
          <t>2269788890002656</t>
        </is>
      </c>
      <c r="AZ243" t="inlineStr">
        <is>
          <t>BOOK</t>
        </is>
      </c>
      <c r="BB243" t="inlineStr">
        <is>
          <t>9789024726349</t>
        </is>
      </c>
      <c r="BC243" t="inlineStr">
        <is>
          <t>32285001680205</t>
        </is>
      </c>
      <c r="BD243" t="inlineStr">
        <is>
          <t>893722967</t>
        </is>
      </c>
    </row>
    <row r="244">
      <c r="A244" t="inlineStr">
        <is>
          <t>No</t>
        </is>
      </c>
      <c r="B244" t="inlineStr">
        <is>
          <t>HT1521 .R335 1992</t>
        </is>
      </c>
      <c r="C244" t="inlineStr">
        <is>
          <t>0                      HT 1521000R  335         1992</t>
        </is>
      </c>
      <c r="D244" t="inlineStr">
        <is>
          <t>Race, class, and gender in the United States : an integrated study / [edited by] Paula S. Rothenberg.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L244" t="inlineStr">
        <is>
          <t>New York : St. Martin's Press, c1992.</t>
        </is>
      </c>
      <c r="M244" t="inlineStr">
        <is>
          <t>1992</t>
        </is>
      </c>
      <c r="N244" t="inlineStr">
        <is>
          <t>2nd ed.</t>
        </is>
      </c>
      <c r="O244" t="inlineStr">
        <is>
          <t>eng</t>
        </is>
      </c>
      <c r="P244" t="inlineStr">
        <is>
          <t>nyu</t>
        </is>
      </c>
      <c r="R244" t="inlineStr">
        <is>
          <t xml:space="preserve">HT </t>
        </is>
      </c>
      <c r="S244" t="n">
        <v>20</v>
      </c>
      <c r="T244" t="n">
        <v>20</v>
      </c>
      <c r="U244" t="inlineStr">
        <is>
          <t>2004-08-25</t>
        </is>
      </c>
      <c r="V244" t="inlineStr">
        <is>
          <t>2004-08-25</t>
        </is>
      </c>
      <c r="W244" t="inlineStr">
        <is>
          <t>1992-08-04</t>
        </is>
      </c>
      <c r="X244" t="inlineStr">
        <is>
          <t>1992-08-04</t>
        </is>
      </c>
      <c r="Y244" t="n">
        <v>404</v>
      </c>
      <c r="Z244" t="n">
        <v>371</v>
      </c>
      <c r="AA244" t="n">
        <v>1403</v>
      </c>
      <c r="AB244" t="n">
        <v>2</v>
      </c>
      <c r="AC244" t="n">
        <v>6</v>
      </c>
      <c r="AD244" t="n">
        <v>17</v>
      </c>
      <c r="AE244" t="n">
        <v>51</v>
      </c>
      <c r="AF244" t="n">
        <v>6</v>
      </c>
      <c r="AG244" t="n">
        <v>23</v>
      </c>
      <c r="AH244" t="n">
        <v>7</v>
      </c>
      <c r="AI244" t="n">
        <v>10</v>
      </c>
      <c r="AJ244" t="n">
        <v>10</v>
      </c>
      <c r="AK244" t="n">
        <v>23</v>
      </c>
      <c r="AL244" t="n">
        <v>1</v>
      </c>
      <c r="AM244" t="n">
        <v>5</v>
      </c>
      <c r="AN244" t="n">
        <v>0</v>
      </c>
      <c r="AO244" t="n">
        <v>3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HYPERLINK("https://creighton-primo.hosted.exlibrisgroup.com/primo-explore/search?tab=default_tab&amp;search_scope=EVERYTHING&amp;vid=01CRU&amp;lang=en_US&amp;offset=0&amp;query=any,contains,991002008269702656","Catalog Record")</f>
        <v/>
      </c>
      <c r="AT244">
        <f>HYPERLINK("http://www.worldcat.org/oclc/27066213","WorldCat Record")</f>
        <v/>
      </c>
      <c r="AU244" t="inlineStr">
        <is>
          <t>794050903:eng</t>
        </is>
      </c>
      <c r="AV244" t="inlineStr">
        <is>
          <t>27066213</t>
        </is>
      </c>
      <c r="AW244" t="inlineStr">
        <is>
          <t>991002008269702656</t>
        </is>
      </c>
      <c r="AX244" t="inlineStr">
        <is>
          <t>991002008269702656</t>
        </is>
      </c>
      <c r="AY244" t="inlineStr">
        <is>
          <t>2259471800002656</t>
        </is>
      </c>
      <c r="AZ244" t="inlineStr">
        <is>
          <t>BOOK</t>
        </is>
      </c>
      <c r="BB244" t="inlineStr">
        <is>
          <t>9780312056674</t>
        </is>
      </c>
      <c r="BC244" t="inlineStr">
        <is>
          <t>32285001196574</t>
        </is>
      </c>
      <c r="BD244" t="inlineStr">
        <is>
          <t>893439665</t>
        </is>
      </c>
    </row>
    <row r="245">
      <c r="A245" t="inlineStr">
        <is>
          <t>No</t>
        </is>
      </c>
      <c r="B245" t="inlineStr">
        <is>
          <t>HT1521 .R342 1996</t>
        </is>
      </c>
      <c r="C245" t="inlineStr">
        <is>
          <t>0                      HT 1521000R  342         1996</t>
        </is>
      </c>
      <c r="D245" t="inlineStr">
        <is>
          <t>The racism problematic : contemporary sociological debates on race and ethnicity / edited by Rohit Barot.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L245" t="inlineStr">
        <is>
          <t>Lewiston, N.Y. : The Edwin Mellen Press, c1996.</t>
        </is>
      </c>
      <c r="M245" t="inlineStr">
        <is>
          <t>1996</t>
        </is>
      </c>
      <c r="O245" t="inlineStr">
        <is>
          <t>eng</t>
        </is>
      </c>
      <c r="P245" t="inlineStr">
        <is>
          <t>nyu</t>
        </is>
      </c>
      <c r="Q245" t="inlineStr">
        <is>
          <t>Mellen studies in sociology ; v. 11</t>
        </is>
      </c>
      <c r="R245" t="inlineStr">
        <is>
          <t xml:space="preserve">HT </t>
        </is>
      </c>
      <c r="S245" t="n">
        <v>9</v>
      </c>
      <c r="T245" t="n">
        <v>9</v>
      </c>
      <c r="U245" t="inlineStr">
        <is>
          <t>2001-04-04</t>
        </is>
      </c>
      <c r="V245" t="inlineStr">
        <is>
          <t>2001-04-04</t>
        </is>
      </c>
      <c r="W245" t="inlineStr">
        <is>
          <t>1997-11-18</t>
        </is>
      </c>
      <c r="X245" t="inlineStr">
        <is>
          <t>1997-11-18</t>
        </is>
      </c>
      <c r="Y245" t="n">
        <v>127</v>
      </c>
      <c r="Z245" t="n">
        <v>87</v>
      </c>
      <c r="AA245" t="n">
        <v>88</v>
      </c>
      <c r="AB245" t="n">
        <v>3</v>
      </c>
      <c r="AC245" t="n">
        <v>3</v>
      </c>
      <c r="AD245" t="n">
        <v>4</v>
      </c>
      <c r="AE245" t="n">
        <v>4</v>
      </c>
      <c r="AF245" t="n">
        <v>1</v>
      </c>
      <c r="AG245" t="n">
        <v>1</v>
      </c>
      <c r="AH245" t="n">
        <v>0</v>
      </c>
      <c r="AI245" t="n">
        <v>0</v>
      </c>
      <c r="AJ245" t="n">
        <v>2</v>
      </c>
      <c r="AK245" t="n">
        <v>2</v>
      </c>
      <c r="AL245" t="n">
        <v>2</v>
      </c>
      <c r="AM245" t="n">
        <v>2</v>
      </c>
      <c r="AN245" t="n">
        <v>0</v>
      </c>
      <c r="AO245" t="n">
        <v>0</v>
      </c>
      <c r="AP245" t="inlineStr">
        <is>
          <t>No</t>
        </is>
      </c>
      <c r="AQ245" t="inlineStr">
        <is>
          <t>Yes</t>
        </is>
      </c>
      <c r="AR245">
        <f>HYPERLINK("http://catalog.hathitrust.org/Record/003139765","HathiTrust Record")</f>
        <v/>
      </c>
      <c r="AS245">
        <f>HYPERLINK("https://creighton-primo.hosted.exlibrisgroup.com/primo-explore/search?tab=default_tab&amp;search_scope=EVERYTHING&amp;vid=01CRU&amp;lang=en_US&amp;offset=0&amp;query=any,contains,991002644179702656","Catalog Record")</f>
        <v/>
      </c>
      <c r="AT245">
        <f>HYPERLINK("http://www.worldcat.org/oclc/34604169","WorldCat Record")</f>
        <v/>
      </c>
      <c r="AU245" t="inlineStr">
        <is>
          <t>836951350:eng</t>
        </is>
      </c>
      <c r="AV245" t="inlineStr">
        <is>
          <t>34604169</t>
        </is>
      </c>
      <c r="AW245" t="inlineStr">
        <is>
          <t>991002644179702656</t>
        </is>
      </c>
      <c r="AX245" t="inlineStr">
        <is>
          <t>991002644179702656</t>
        </is>
      </c>
      <c r="AY245" t="inlineStr">
        <is>
          <t>2271302250002656</t>
        </is>
      </c>
      <c r="AZ245" t="inlineStr">
        <is>
          <t>BOOK</t>
        </is>
      </c>
      <c r="BB245" t="inlineStr">
        <is>
          <t>9780773488182</t>
        </is>
      </c>
      <c r="BC245" t="inlineStr">
        <is>
          <t>32285003271359</t>
        </is>
      </c>
      <c r="BD245" t="inlineStr">
        <is>
          <t>893867500</t>
        </is>
      </c>
    </row>
    <row r="246">
      <c r="A246" t="inlineStr">
        <is>
          <t>No</t>
        </is>
      </c>
      <c r="B246" t="inlineStr">
        <is>
          <t>HT1521 .S53 1972</t>
        </is>
      </c>
      <c r="C246" t="inlineStr">
        <is>
          <t>0                      HT 1521000S  53          1972</t>
        </is>
      </c>
      <c r="D246" t="inlineStr">
        <is>
          <t>Racial and cultural minorities : an analysis of prejudice and discrimination / [by] George Eaton Simpson [and] J. Milton Yinger.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Simpson, George Eaton, 1904-1998.</t>
        </is>
      </c>
      <c r="L246" t="inlineStr">
        <is>
          <t>New York : Harper &amp; Row, [1972]</t>
        </is>
      </c>
      <c r="M246" t="inlineStr">
        <is>
          <t>1972</t>
        </is>
      </c>
      <c r="N246" t="inlineStr">
        <is>
          <t>4th ed.</t>
        </is>
      </c>
      <c r="O246" t="inlineStr">
        <is>
          <t>eng</t>
        </is>
      </c>
      <c r="P246" t="inlineStr">
        <is>
          <t>nyu</t>
        </is>
      </c>
      <c r="R246" t="inlineStr">
        <is>
          <t xml:space="preserve">HT </t>
        </is>
      </c>
      <c r="S246" t="n">
        <v>1</v>
      </c>
      <c r="T246" t="n">
        <v>1</v>
      </c>
      <c r="U246" t="inlineStr">
        <is>
          <t>2004-10-08</t>
        </is>
      </c>
      <c r="V246" t="inlineStr">
        <is>
          <t>2004-10-08</t>
        </is>
      </c>
      <c r="W246" t="inlineStr">
        <is>
          <t>1994-12-01</t>
        </is>
      </c>
      <c r="X246" t="inlineStr">
        <is>
          <t>1994-12-01</t>
        </is>
      </c>
      <c r="Y246" t="n">
        <v>633</v>
      </c>
      <c r="Z246" t="n">
        <v>490</v>
      </c>
      <c r="AA246" t="n">
        <v>1359</v>
      </c>
      <c r="AB246" t="n">
        <v>1</v>
      </c>
      <c r="AC246" t="n">
        <v>9</v>
      </c>
      <c r="AD246" t="n">
        <v>17</v>
      </c>
      <c r="AE246" t="n">
        <v>51</v>
      </c>
      <c r="AF246" t="n">
        <v>9</v>
      </c>
      <c r="AG246" t="n">
        <v>20</v>
      </c>
      <c r="AH246" t="n">
        <v>4</v>
      </c>
      <c r="AI246" t="n">
        <v>9</v>
      </c>
      <c r="AJ246" t="n">
        <v>11</v>
      </c>
      <c r="AK246" t="n">
        <v>25</v>
      </c>
      <c r="AL246" t="n">
        <v>0</v>
      </c>
      <c r="AM246" t="n">
        <v>7</v>
      </c>
      <c r="AN246" t="n">
        <v>0</v>
      </c>
      <c r="AO246" t="n">
        <v>3</v>
      </c>
      <c r="AP246" t="inlineStr">
        <is>
          <t>No</t>
        </is>
      </c>
      <c r="AQ246" t="inlineStr">
        <is>
          <t>Yes</t>
        </is>
      </c>
      <c r="AR246">
        <f>HYPERLINK("http://catalog.hathitrust.org/Record/001131043","HathiTrust Record")</f>
        <v/>
      </c>
      <c r="AS246">
        <f>HYPERLINK("https://creighton-primo.hosted.exlibrisgroup.com/primo-explore/search?tab=default_tab&amp;search_scope=EVERYTHING&amp;vid=01CRU&amp;lang=en_US&amp;offset=0&amp;query=any,contains,991002909319702656","Catalog Record")</f>
        <v/>
      </c>
      <c r="AT246">
        <f>HYPERLINK("http://www.worldcat.org/oclc/520928","WorldCat Record")</f>
        <v/>
      </c>
      <c r="AU246" t="inlineStr">
        <is>
          <t>403653:eng</t>
        </is>
      </c>
      <c r="AV246" t="inlineStr">
        <is>
          <t>520928</t>
        </is>
      </c>
      <c r="AW246" t="inlineStr">
        <is>
          <t>991002909319702656</t>
        </is>
      </c>
      <c r="AX246" t="inlineStr">
        <is>
          <t>991002909319702656</t>
        </is>
      </c>
      <c r="AY246" t="inlineStr">
        <is>
          <t>2268142190002656</t>
        </is>
      </c>
      <c r="AZ246" t="inlineStr">
        <is>
          <t>BOOK</t>
        </is>
      </c>
      <c r="BB246" t="inlineStr">
        <is>
          <t>9780060462123</t>
        </is>
      </c>
      <c r="BC246" t="inlineStr">
        <is>
          <t>32285001969731</t>
        </is>
      </c>
      <c r="BD246" t="inlineStr">
        <is>
          <t>893342015</t>
        </is>
      </c>
    </row>
    <row r="247">
      <c r="A247" t="inlineStr">
        <is>
          <t>No</t>
        </is>
      </c>
      <c r="B247" t="inlineStr">
        <is>
          <t>HT1521 .S535 2000</t>
        </is>
      </c>
      <c r="C247" t="inlineStr">
        <is>
          <t>0                      HT 1521000S  535         2000</t>
        </is>
      </c>
      <c r="D247" t="inlineStr">
        <is>
          <t>Counting on the census? : race, group identity, and the evasion of politics / Peter Skerry.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Skerry, Peter.</t>
        </is>
      </c>
      <c r="L247" t="inlineStr">
        <is>
          <t>Washington, D.C. : Brookings Institution Press, c2000.</t>
        </is>
      </c>
      <c r="M247" t="inlineStr">
        <is>
          <t>2000</t>
        </is>
      </c>
      <c r="O247" t="inlineStr">
        <is>
          <t>eng</t>
        </is>
      </c>
      <c r="P247" t="inlineStr">
        <is>
          <t>dcu</t>
        </is>
      </c>
      <c r="R247" t="inlineStr">
        <is>
          <t xml:space="preserve">HT </t>
        </is>
      </c>
      <c r="S247" t="n">
        <v>4</v>
      </c>
      <c r="T247" t="n">
        <v>4</v>
      </c>
      <c r="U247" t="inlineStr">
        <is>
          <t>2006-02-27</t>
        </is>
      </c>
      <c r="V247" t="inlineStr">
        <is>
          <t>2006-02-27</t>
        </is>
      </c>
      <c r="W247" t="inlineStr">
        <is>
          <t>2000-06-29</t>
        </is>
      </c>
      <c r="X247" t="inlineStr">
        <is>
          <t>2000-06-29</t>
        </is>
      </c>
      <c r="Y247" t="n">
        <v>770</v>
      </c>
      <c r="Z247" t="n">
        <v>700</v>
      </c>
      <c r="AA247" t="n">
        <v>1703</v>
      </c>
      <c r="AB247" t="n">
        <v>5</v>
      </c>
      <c r="AC247" t="n">
        <v>44</v>
      </c>
      <c r="AD247" t="n">
        <v>34</v>
      </c>
      <c r="AE247" t="n">
        <v>53</v>
      </c>
      <c r="AF247" t="n">
        <v>11</v>
      </c>
      <c r="AG247" t="n">
        <v>19</v>
      </c>
      <c r="AH247" t="n">
        <v>8</v>
      </c>
      <c r="AI247" t="n">
        <v>10</v>
      </c>
      <c r="AJ247" t="n">
        <v>17</v>
      </c>
      <c r="AK247" t="n">
        <v>19</v>
      </c>
      <c r="AL247" t="n">
        <v>4</v>
      </c>
      <c r="AM247" t="n">
        <v>13</v>
      </c>
      <c r="AN247" t="n">
        <v>3</v>
      </c>
      <c r="AO247" t="n">
        <v>3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HYPERLINK("https://creighton-primo.hosted.exlibrisgroup.com/primo-explore/search?tab=default_tab&amp;search_scope=EVERYTHING&amp;vid=01CRU&amp;lang=en_US&amp;offset=0&amp;query=any,contains,991003197169702656","Catalog Record")</f>
        <v/>
      </c>
      <c r="AT247">
        <f>HYPERLINK("http://www.worldcat.org/oclc/43474635","WorldCat Record")</f>
        <v/>
      </c>
      <c r="AU247" t="inlineStr">
        <is>
          <t>1015124:eng</t>
        </is>
      </c>
      <c r="AV247" t="inlineStr">
        <is>
          <t>43474635</t>
        </is>
      </c>
      <c r="AW247" t="inlineStr">
        <is>
          <t>991003197169702656</t>
        </is>
      </c>
      <c r="AX247" t="inlineStr">
        <is>
          <t>991003197169702656</t>
        </is>
      </c>
      <c r="AY247" t="inlineStr">
        <is>
          <t>2260902040002656</t>
        </is>
      </c>
      <c r="AZ247" t="inlineStr">
        <is>
          <t>BOOK</t>
        </is>
      </c>
      <c r="BB247" t="inlineStr">
        <is>
          <t>9780815779643</t>
        </is>
      </c>
      <c r="BC247" t="inlineStr">
        <is>
          <t>32285003713376</t>
        </is>
      </c>
      <c r="BD247" t="inlineStr">
        <is>
          <t>893422272</t>
        </is>
      </c>
    </row>
    <row r="248">
      <c r="A248" t="inlineStr">
        <is>
          <t>No</t>
        </is>
      </c>
      <c r="B248" t="inlineStr">
        <is>
          <t>HT1521 .T313 2001</t>
        </is>
      </c>
      <c r="C248" t="inlineStr">
        <is>
          <t>0                      HT 1521000T  313         2001</t>
        </is>
      </c>
      <c r="D248" t="inlineStr">
        <is>
          <t>The force of prejudice : on racism and its doubles / Pierre-Andre Taguieff ; translated and edited by Hassan Melehy.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Taguieff, Pierre-Andrae.</t>
        </is>
      </c>
      <c r="L248" t="inlineStr">
        <is>
          <t>Minneapolis, Minn. : University of Minnesota Press, c2001.</t>
        </is>
      </c>
      <c r="M248" t="inlineStr">
        <is>
          <t>2001</t>
        </is>
      </c>
      <c r="O248" t="inlineStr">
        <is>
          <t>eng</t>
        </is>
      </c>
      <c r="P248" t="inlineStr">
        <is>
          <t>mnu</t>
        </is>
      </c>
      <c r="Q248" t="inlineStr">
        <is>
          <t>Contradictions ; v. 13</t>
        </is>
      </c>
      <c r="R248" t="inlineStr">
        <is>
          <t xml:space="preserve">HT </t>
        </is>
      </c>
      <c r="S248" t="n">
        <v>3</v>
      </c>
      <c r="T248" t="n">
        <v>3</v>
      </c>
      <c r="U248" t="inlineStr">
        <is>
          <t>2009-11-16</t>
        </is>
      </c>
      <c r="V248" t="inlineStr">
        <is>
          <t>2009-11-16</t>
        </is>
      </c>
      <c r="W248" t="inlineStr">
        <is>
          <t>2004-04-12</t>
        </is>
      </c>
      <c r="X248" t="inlineStr">
        <is>
          <t>2004-04-12</t>
        </is>
      </c>
      <c r="Y248" t="n">
        <v>268</v>
      </c>
      <c r="Z248" t="n">
        <v>216</v>
      </c>
      <c r="AA248" t="n">
        <v>286</v>
      </c>
      <c r="AB248" t="n">
        <v>3</v>
      </c>
      <c r="AC248" t="n">
        <v>4</v>
      </c>
      <c r="AD248" t="n">
        <v>14</v>
      </c>
      <c r="AE248" t="n">
        <v>16</v>
      </c>
      <c r="AF248" t="n">
        <v>3</v>
      </c>
      <c r="AG248" t="n">
        <v>4</v>
      </c>
      <c r="AH248" t="n">
        <v>6</v>
      </c>
      <c r="AI248" t="n">
        <v>6</v>
      </c>
      <c r="AJ248" t="n">
        <v>7</v>
      </c>
      <c r="AK248" t="n">
        <v>7</v>
      </c>
      <c r="AL248" t="n">
        <v>2</v>
      </c>
      <c r="AM248" t="n">
        <v>3</v>
      </c>
      <c r="AN248" t="n">
        <v>0</v>
      </c>
      <c r="AO248" t="n">
        <v>0</v>
      </c>
      <c r="AP248" t="inlineStr">
        <is>
          <t>No</t>
        </is>
      </c>
      <c r="AQ248" t="inlineStr">
        <is>
          <t>No</t>
        </is>
      </c>
      <c r="AS248">
        <f>HYPERLINK("https://creighton-primo.hosted.exlibrisgroup.com/primo-explore/search?tab=default_tab&amp;search_scope=EVERYTHING&amp;vid=01CRU&amp;lang=en_US&amp;offset=0&amp;query=any,contains,991004229149702656","Catalog Record")</f>
        <v/>
      </c>
      <c r="AT248">
        <f>HYPERLINK("http://www.worldcat.org/oclc/45835443","WorldCat Record")</f>
        <v/>
      </c>
      <c r="AU248" t="inlineStr">
        <is>
          <t>355590906:eng</t>
        </is>
      </c>
      <c r="AV248" t="inlineStr">
        <is>
          <t>45835443</t>
        </is>
      </c>
      <c r="AW248" t="inlineStr">
        <is>
          <t>991004229149702656</t>
        </is>
      </c>
      <c r="AX248" t="inlineStr">
        <is>
          <t>991004229149702656</t>
        </is>
      </c>
      <c r="AY248" t="inlineStr">
        <is>
          <t>2268241120002656</t>
        </is>
      </c>
      <c r="AZ248" t="inlineStr">
        <is>
          <t>BOOK</t>
        </is>
      </c>
      <c r="BB248" t="inlineStr">
        <is>
          <t>9780816623723</t>
        </is>
      </c>
      <c r="BC248" t="inlineStr">
        <is>
          <t>32285004898911</t>
        </is>
      </c>
      <c r="BD248" t="inlineStr">
        <is>
          <t>893693697</t>
        </is>
      </c>
    </row>
    <row r="249">
      <c r="A249" t="inlineStr">
        <is>
          <t>No</t>
        </is>
      </c>
      <c r="B249" t="inlineStr">
        <is>
          <t>HT1521 .T5</t>
        </is>
      </c>
      <c r="C249" t="inlineStr">
        <is>
          <t>0                      HT 1521000T  5</t>
        </is>
      </c>
      <c r="D249" t="inlineStr">
        <is>
          <t>Race: individual and collective behavior, edited by Edgar T. Thompson and Everett C. Hughes.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Thompson, Edgar T. (Edgar Tristram), 1900-1989, editor.</t>
        </is>
      </c>
      <c r="L249" t="inlineStr">
        <is>
          <t>Glencoe, Ill., Free Press [c1958]</t>
        </is>
      </c>
      <c r="M249" t="inlineStr">
        <is>
          <t>1958</t>
        </is>
      </c>
      <c r="O249" t="inlineStr">
        <is>
          <t>eng</t>
        </is>
      </c>
      <c r="P249" t="inlineStr">
        <is>
          <t>ilu</t>
        </is>
      </c>
      <c r="R249" t="inlineStr">
        <is>
          <t xml:space="preserve">HT </t>
        </is>
      </c>
      <c r="S249" t="n">
        <v>1</v>
      </c>
      <c r="T249" t="n">
        <v>1</v>
      </c>
      <c r="U249" t="inlineStr">
        <is>
          <t>2000-11-13</t>
        </is>
      </c>
      <c r="V249" t="inlineStr">
        <is>
          <t>2000-11-13</t>
        </is>
      </c>
      <c r="W249" t="inlineStr">
        <is>
          <t>1997-08-19</t>
        </is>
      </c>
      <c r="X249" t="inlineStr">
        <is>
          <t>1997-08-19</t>
        </is>
      </c>
      <c r="Y249" t="n">
        <v>748</v>
      </c>
      <c r="Z249" t="n">
        <v>631</v>
      </c>
      <c r="AA249" t="n">
        <v>657</v>
      </c>
      <c r="AB249" t="n">
        <v>7</v>
      </c>
      <c r="AC249" t="n">
        <v>7</v>
      </c>
      <c r="AD249" t="n">
        <v>34</v>
      </c>
      <c r="AE249" t="n">
        <v>34</v>
      </c>
      <c r="AF249" t="n">
        <v>12</v>
      </c>
      <c r="AG249" t="n">
        <v>12</v>
      </c>
      <c r="AH249" t="n">
        <v>5</v>
      </c>
      <c r="AI249" t="n">
        <v>5</v>
      </c>
      <c r="AJ249" t="n">
        <v>18</v>
      </c>
      <c r="AK249" t="n">
        <v>18</v>
      </c>
      <c r="AL249" t="n">
        <v>6</v>
      </c>
      <c r="AM249" t="n">
        <v>6</v>
      </c>
      <c r="AN249" t="n">
        <v>1</v>
      </c>
      <c r="AO249" t="n">
        <v>1</v>
      </c>
      <c r="AP249" t="inlineStr">
        <is>
          <t>No</t>
        </is>
      </c>
      <c r="AQ249" t="inlineStr">
        <is>
          <t>No</t>
        </is>
      </c>
      <c r="AS249">
        <f>HYPERLINK("https://creighton-primo.hosted.exlibrisgroup.com/primo-explore/search?tab=default_tab&amp;search_scope=EVERYTHING&amp;vid=01CRU&amp;lang=en_US&amp;offset=0&amp;query=any,contains,991002078269702656","Catalog Record")</f>
        <v/>
      </c>
      <c r="AT249">
        <f>HYPERLINK("http://www.worldcat.org/oclc/263993","WorldCat Record")</f>
        <v/>
      </c>
      <c r="AU249" t="inlineStr">
        <is>
          <t>907078424:eng</t>
        </is>
      </c>
      <c r="AV249" t="inlineStr">
        <is>
          <t>263993</t>
        </is>
      </c>
      <c r="AW249" t="inlineStr">
        <is>
          <t>991002078269702656</t>
        </is>
      </c>
      <c r="AX249" t="inlineStr">
        <is>
          <t>991002078269702656</t>
        </is>
      </c>
      <c r="AY249" t="inlineStr">
        <is>
          <t>2268671360002656</t>
        </is>
      </c>
      <c r="AZ249" t="inlineStr">
        <is>
          <t>BOOK</t>
        </is>
      </c>
      <c r="BC249" t="inlineStr">
        <is>
          <t>32285003149332</t>
        </is>
      </c>
      <c r="BD249" t="inlineStr">
        <is>
          <t>893238613</t>
        </is>
      </c>
    </row>
    <row r="250">
      <c r="A250" t="inlineStr">
        <is>
          <t>No</t>
        </is>
      </c>
      <c r="B250" t="inlineStr">
        <is>
          <t>HT1521 .T85</t>
        </is>
      </c>
      <c r="C250" t="inlineStr">
        <is>
          <t>0                      HT 1521000T  85</t>
        </is>
      </c>
      <c r="D250" t="inlineStr">
        <is>
          <t>Comparative perspectives on race relations / Edited and with introd. by Melvin M. Tumin.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Tumin, Melvin M. (Melvin Marvin), 1919-1994 compiler.</t>
        </is>
      </c>
      <c r="L250" t="inlineStr">
        <is>
          <t>Boston, Little, Brown [1969]</t>
        </is>
      </c>
      <c r="M250" t="inlineStr">
        <is>
          <t>1969</t>
        </is>
      </c>
      <c r="O250" t="inlineStr">
        <is>
          <t>eng</t>
        </is>
      </c>
      <c r="P250" t="inlineStr">
        <is>
          <t>mau</t>
        </is>
      </c>
      <c r="R250" t="inlineStr">
        <is>
          <t xml:space="preserve">HT </t>
        </is>
      </c>
      <c r="S250" t="n">
        <v>6</v>
      </c>
      <c r="T250" t="n">
        <v>6</v>
      </c>
      <c r="U250" t="inlineStr">
        <is>
          <t>2002-03-19</t>
        </is>
      </c>
      <c r="V250" t="inlineStr">
        <is>
          <t>2002-03-19</t>
        </is>
      </c>
      <c r="W250" t="inlineStr">
        <is>
          <t>1997-08-20</t>
        </is>
      </c>
      <c r="X250" t="inlineStr">
        <is>
          <t>1997-08-20</t>
        </is>
      </c>
      <c r="Y250" t="n">
        <v>489</v>
      </c>
      <c r="Z250" t="n">
        <v>391</v>
      </c>
      <c r="AA250" t="n">
        <v>397</v>
      </c>
      <c r="AB250" t="n">
        <v>2</v>
      </c>
      <c r="AC250" t="n">
        <v>2</v>
      </c>
      <c r="AD250" t="n">
        <v>17</v>
      </c>
      <c r="AE250" t="n">
        <v>17</v>
      </c>
      <c r="AF250" t="n">
        <v>5</v>
      </c>
      <c r="AG250" t="n">
        <v>5</v>
      </c>
      <c r="AH250" t="n">
        <v>4</v>
      </c>
      <c r="AI250" t="n">
        <v>4</v>
      </c>
      <c r="AJ250" t="n">
        <v>10</v>
      </c>
      <c r="AK250" t="n">
        <v>10</v>
      </c>
      <c r="AL250" t="n">
        <v>1</v>
      </c>
      <c r="AM250" t="n">
        <v>1</v>
      </c>
      <c r="AN250" t="n">
        <v>0</v>
      </c>
      <c r="AO250" t="n">
        <v>0</v>
      </c>
      <c r="AP250" t="inlineStr">
        <is>
          <t>No</t>
        </is>
      </c>
      <c r="AQ250" t="inlineStr">
        <is>
          <t>Yes</t>
        </is>
      </c>
      <c r="AR250">
        <f>HYPERLINK("http://catalog.hathitrust.org/Record/006750802","HathiTrust Record")</f>
        <v/>
      </c>
      <c r="AS250">
        <f>HYPERLINK("https://creighton-primo.hosted.exlibrisgroup.com/primo-explore/search?tab=default_tab&amp;search_scope=EVERYTHING&amp;vid=01CRU&amp;lang=en_US&amp;offset=0&amp;query=any,contains,991000061339702656","Catalog Record")</f>
        <v/>
      </c>
      <c r="AT250">
        <f>HYPERLINK("http://www.worldcat.org/oclc/24610","WorldCat Record")</f>
        <v/>
      </c>
      <c r="AU250" t="inlineStr">
        <is>
          <t>1146821:eng</t>
        </is>
      </c>
      <c r="AV250" t="inlineStr">
        <is>
          <t>24610</t>
        </is>
      </c>
      <c r="AW250" t="inlineStr">
        <is>
          <t>991000061339702656</t>
        </is>
      </c>
      <c r="AX250" t="inlineStr">
        <is>
          <t>991000061339702656</t>
        </is>
      </c>
      <c r="AY250" t="inlineStr">
        <is>
          <t>2266773580002656</t>
        </is>
      </c>
      <c r="AZ250" t="inlineStr">
        <is>
          <t>BOOK</t>
        </is>
      </c>
      <c r="BC250" t="inlineStr">
        <is>
          <t>32285003149340</t>
        </is>
      </c>
      <c r="BD250" t="inlineStr">
        <is>
          <t>893502190</t>
        </is>
      </c>
    </row>
    <row r="251">
      <c r="A251" t="inlineStr">
        <is>
          <t>No</t>
        </is>
      </c>
      <c r="B251" t="inlineStr">
        <is>
          <t>HT1521 .U54 1974</t>
        </is>
      </c>
      <c r="C251" t="inlineStr">
        <is>
          <t>0                      HT 1521000U  54          1974</t>
        </is>
      </c>
      <c r="D251" t="inlineStr">
        <is>
          <t>Race, science, and society / [by] L. C. Dunn [and others]. Edited and with an introd. by Leo Kuper.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Unesco.</t>
        </is>
      </c>
      <c r="L251" t="inlineStr">
        <is>
          <t>Paris : Unesco Press ; New York, Columbia University Press, [c1975]</t>
        </is>
      </c>
      <c r="M251" t="inlineStr">
        <is>
          <t>1975</t>
        </is>
      </c>
      <c r="O251" t="inlineStr">
        <is>
          <t>eng</t>
        </is>
      </c>
      <c r="P251" t="inlineStr">
        <is>
          <t xml:space="preserve">fr </t>
        </is>
      </c>
      <c r="R251" t="inlineStr">
        <is>
          <t xml:space="preserve">HT </t>
        </is>
      </c>
      <c r="S251" t="n">
        <v>40</v>
      </c>
      <c r="T251" t="n">
        <v>40</v>
      </c>
      <c r="U251" t="inlineStr">
        <is>
          <t>2001-01-22</t>
        </is>
      </c>
      <c r="V251" t="inlineStr">
        <is>
          <t>2001-01-22</t>
        </is>
      </c>
      <c r="W251" t="inlineStr">
        <is>
          <t>1990-07-20</t>
        </is>
      </c>
      <c r="X251" t="inlineStr">
        <is>
          <t>1990-07-20</t>
        </is>
      </c>
      <c r="Y251" t="n">
        <v>639</v>
      </c>
      <c r="Z251" t="n">
        <v>516</v>
      </c>
      <c r="AA251" t="n">
        <v>608</v>
      </c>
      <c r="AB251" t="n">
        <v>5</v>
      </c>
      <c r="AC251" t="n">
        <v>5</v>
      </c>
      <c r="AD251" t="n">
        <v>15</v>
      </c>
      <c r="AE251" t="n">
        <v>20</v>
      </c>
      <c r="AF251" t="n">
        <v>4</v>
      </c>
      <c r="AG251" t="n">
        <v>6</v>
      </c>
      <c r="AH251" t="n">
        <v>5</v>
      </c>
      <c r="AI251" t="n">
        <v>6</v>
      </c>
      <c r="AJ251" t="n">
        <v>6</v>
      </c>
      <c r="AK251" t="n">
        <v>8</v>
      </c>
      <c r="AL251" t="n">
        <v>4</v>
      </c>
      <c r="AM251" t="n">
        <v>4</v>
      </c>
      <c r="AN251" t="n">
        <v>0</v>
      </c>
      <c r="AO251" t="n">
        <v>1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HYPERLINK("https://creighton-primo.hosted.exlibrisgroup.com/primo-explore/search?tab=default_tab&amp;search_scope=EVERYTHING&amp;vid=01CRU&amp;lang=en_US&amp;offset=0&amp;query=any,contains,991003484789702656","Catalog Record")</f>
        <v/>
      </c>
      <c r="AT251">
        <f>HYPERLINK("http://www.worldcat.org/oclc/1032169","WorldCat Record")</f>
        <v/>
      </c>
      <c r="AU251" t="inlineStr">
        <is>
          <t>347024898:eng</t>
        </is>
      </c>
      <c r="AV251" t="inlineStr">
        <is>
          <t>1032169</t>
        </is>
      </c>
      <c r="AW251" t="inlineStr">
        <is>
          <t>991003484789702656</t>
        </is>
      </c>
      <c r="AX251" t="inlineStr">
        <is>
          <t>991003484789702656</t>
        </is>
      </c>
      <c r="AY251" t="inlineStr">
        <is>
          <t>2268122990002656</t>
        </is>
      </c>
      <c r="AZ251" t="inlineStr">
        <is>
          <t>BOOK</t>
        </is>
      </c>
      <c r="BB251" t="inlineStr">
        <is>
          <t>9780231039086</t>
        </is>
      </c>
      <c r="BC251" t="inlineStr">
        <is>
          <t>32285000246123</t>
        </is>
      </c>
      <c r="BD251" t="inlineStr">
        <is>
          <t>893505627</t>
        </is>
      </c>
    </row>
    <row r="252">
      <c r="A252" t="inlineStr">
        <is>
          <t>No</t>
        </is>
      </c>
      <c r="B252" t="inlineStr">
        <is>
          <t>HT1521 .V25 1987</t>
        </is>
      </c>
      <c r="C252" t="inlineStr">
        <is>
          <t>0                      HT 1521000V  25          1987</t>
        </is>
      </c>
      <c r="D252" t="inlineStr">
        <is>
          <t>The ethnic phenomenon / Pierre L. van den Berghe.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K252" t="inlineStr">
        <is>
          <t>Van den Berghe, Pierre L.</t>
        </is>
      </c>
      <c r="L252" t="inlineStr">
        <is>
          <t>New York : Praeger, 1987.</t>
        </is>
      </c>
      <c r="M252" t="inlineStr">
        <is>
          <t>1987</t>
        </is>
      </c>
      <c r="O252" t="inlineStr">
        <is>
          <t>eng</t>
        </is>
      </c>
      <c r="P252" t="inlineStr">
        <is>
          <t>nyu</t>
        </is>
      </c>
      <c r="R252" t="inlineStr">
        <is>
          <t xml:space="preserve">HT </t>
        </is>
      </c>
      <c r="S252" t="n">
        <v>4</v>
      </c>
      <c r="T252" t="n">
        <v>4</v>
      </c>
      <c r="U252" t="inlineStr">
        <is>
          <t>1995-09-23</t>
        </is>
      </c>
      <c r="V252" t="inlineStr">
        <is>
          <t>1995-09-23</t>
        </is>
      </c>
      <c r="W252" t="inlineStr">
        <is>
          <t>1993-03-16</t>
        </is>
      </c>
      <c r="X252" t="inlineStr">
        <is>
          <t>1993-03-16</t>
        </is>
      </c>
      <c r="Y252" t="n">
        <v>189</v>
      </c>
      <c r="Z252" t="n">
        <v>129</v>
      </c>
      <c r="AA252" t="n">
        <v>132</v>
      </c>
      <c r="AB252" t="n">
        <v>1</v>
      </c>
      <c r="AC252" t="n">
        <v>1</v>
      </c>
      <c r="AD252" t="n">
        <v>8</v>
      </c>
      <c r="AE252" t="n">
        <v>8</v>
      </c>
      <c r="AF252" t="n">
        <v>2</v>
      </c>
      <c r="AG252" t="n">
        <v>2</v>
      </c>
      <c r="AH252" t="n">
        <v>3</v>
      </c>
      <c r="AI252" t="n">
        <v>3</v>
      </c>
      <c r="AJ252" t="n">
        <v>5</v>
      </c>
      <c r="AK252" t="n">
        <v>5</v>
      </c>
      <c r="AL252" t="n">
        <v>0</v>
      </c>
      <c r="AM252" t="n">
        <v>0</v>
      </c>
      <c r="AN252" t="n">
        <v>0</v>
      </c>
      <c r="AO252" t="n">
        <v>0</v>
      </c>
      <c r="AP252" t="inlineStr">
        <is>
          <t>No</t>
        </is>
      </c>
      <c r="AQ252" t="inlineStr">
        <is>
          <t>No</t>
        </is>
      </c>
      <c r="AS252">
        <f>HYPERLINK("https://creighton-primo.hosted.exlibrisgroup.com/primo-explore/search?tab=default_tab&amp;search_scope=EVERYTHING&amp;vid=01CRU&amp;lang=en_US&amp;offset=0&amp;query=any,contains,991001038079702656","Catalog Record")</f>
        <v/>
      </c>
      <c r="AT252">
        <f>HYPERLINK("http://www.worldcat.org/oclc/15550587","WorldCat Record")</f>
        <v/>
      </c>
      <c r="AU252" t="inlineStr">
        <is>
          <t>9463332398:eng</t>
        </is>
      </c>
      <c r="AV252" t="inlineStr">
        <is>
          <t>15550587</t>
        </is>
      </c>
      <c r="AW252" t="inlineStr">
        <is>
          <t>991001038079702656</t>
        </is>
      </c>
      <c r="AX252" t="inlineStr">
        <is>
          <t>991001038079702656</t>
        </is>
      </c>
      <c r="AY252" t="inlineStr">
        <is>
          <t>2256327460002656</t>
        </is>
      </c>
      <c r="AZ252" t="inlineStr">
        <is>
          <t>BOOK</t>
        </is>
      </c>
      <c r="BB252" t="inlineStr">
        <is>
          <t>9780275927097</t>
        </is>
      </c>
      <c r="BC252" t="inlineStr">
        <is>
          <t>32285001497592</t>
        </is>
      </c>
      <c r="BD252" t="inlineStr">
        <is>
          <t>893696404</t>
        </is>
      </c>
    </row>
    <row r="253">
      <c r="A253" t="inlineStr">
        <is>
          <t>No</t>
        </is>
      </c>
      <c r="B253" t="inlineStr">
        <is>
          <t>HT1521 .V42 1984</t>
        </is>
      </c>
      <c r="C253" t="inlineStr">
        <is>
          <t>0                      HT 1521000V  42          1984</t>
        </is>
      </c>
      <c r="D253" t="inlineStr">
        <is>
          <t>Politics in bi-racial societies : the Third World experience / Raj K. Vasil.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Vasil, R. K.</t>
        </is>
      </c>
      <c r="L253" t="inlineStr">
        <is>
          <t>New Delhi : Vikas Pub. House PVT ; New York : dist. by Advent Books, c1984.</t>
        </is>
      </c>
      <c r="M253" t="inlineStr">
        <is>
          <t>1984</t>
        </is>
      </c>
      <c r="O253" t="inlineStr">
        <is>
          <t>eng</t>
        </is>
      </c>
      <c r="P253" t="inlineStr">
        <is>
          <t xml:space="preserve">ii </t>
        </is>
      </c>
      <c r="R253" t="inlineStr">
        <is>
          <t xml:space="preserve">HT </t>
        </is>
      </c>
      <c r="S253" t="n">
        <v>16</v>
      </c>
      <c r="T253" t="n">
        <v>16</v>
      </c>
      <c r="U253" t="inlineStr">
        <is>
          <t>2006-05-01</t>
        </is>
      </c>
      <c r="V253" t="inlineStr">
        <is>
          <t>2006-05-01</t>
        </is>
      </c>
      <c r="W253" t="inlineStr">
        <is>
          <t>1990-07-20</t>
        </is>
      </c>
      <c r="X253" t="inlineStr">
        <is>
          <t>1990-07-20</t>
        </is>
      </c>
      <c r="Y253" t="n">
        <v>163</v>
      </c>
      <c r="Z253" t="n">
        <v>128</v>
      </c>
      <c r="AA253" t="n">
        <v>130</v>
      </c>
      <c r="AB253" t="n">
        <v>1</v>
      </c>
      <c r="AC253" t="n">
        <v>1</v>
      </c>
      <c r="AD253" t="n">
        <v>7</v>
      </c>
      <c r="AE253" t="n">
        <v>7</v>
      </c>
      <c r="AF253" t="n">
        <v>2</v>
      </c>
      <c r="AG253" t="n">
        <v>2</v>
      </c>
      <c r="AH253" t="n">
        <v>2</v>
      </c>
      <c r="AI253" t="n">
        <v>2</v>
      </c>
      <c r="AJ253" t="n">
        <v>5</v>
      </c>
      <c r="AK253" t="n">
        <v>5</v>
      </c>
      <c r="AL253" t="n">
        <v>0</v>
      </c>
      <c r="AM253" t="n">
        <v>0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HYPERLINK("http://catalog.hathitrust.org/Record/000593852","HathiTrust Record")</f>
        <v/>
      </c>
      <c r="AS253">
        <f>HYPERLINK("https://creighton-primo.hosted.exlibrisgroup.com/primo-explore/search?tab=default_tab&amp;search_scope=EVERYTHING&amp;vid=01CRU&amp;lang=en_US&amp;offset=0&amp;query=any,contains,991000482919702656","Catalog Record")</f>
        <v/>
      </c>
      <c r="AT253">
        <f>HYPERLINK("http://www.worldcat.org/oclc/11064926","WorldCat Record")</f>
        <v/>
      </c>
      <c r="AU253" t="inlineStr">
        <is>
          <t>147391237:eng</t>
        </is>
      </c>
      <c r="AV253" t="inlineStr">
        <is>
          <t>11064926</t>
        </is>
      </c>
      <c r="AW253" t="inlineStr">
        <is>
          <t>991000482919702656</t>
        </is>
      </c>
      <c r="AX253" t="inlineStr">
        <is>
          <t>991000482919702656</t>
        </is>
      </c>
      <c r="AY253" t="inlineStr">
        <is>
          <t>2264007350002656</t>
        </is>
      </c>
      <c r="AZ253" t="inlineStr">
        <is>
          <t>BOOK</t>
        </is>
      </c>
      <c r="BB253" t="inlineStr">
        <is>
          <t>9780706924770</t>
        </is>
      </c>
      <c r="BC253" t="inlineStr">
        <is>
          <t>32285000246149</t>
        </is>
      </c>
      <c r="BD253" t="inlineStr">
        <is>
          <t>893784243</t>
        </is>
      </c>
    </row>
    <row r="254">
      <c r="A254" t="inlineStr">
        <is>
          <t>No</t>
        </is>
      </c>
      <c r="B254" t="inlineStr">
        <is>
          <t>HT1521 .W5313 1995</t>
        </is>
      </c>
      <c r="C254" t="inlineStr">
        <is>
          <t>0                      HT 1521000W  5313        1995</t>
        </is>
      </c>
      <c r="D254" t="inlineStr">
        <is>
          <t>The arena of racism / Michel Wieviorka ; translated by Chris Turner.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Wieviorka, Michel.</t>
        </is>
      </c>
      <c r="L254" t="inlineStr">
        <is>
          <t>London ; Thousand Oaks, Calif. : Sage Publications, 1995.</t>
        </is>
      </c>
      <c r="M254" t="inlineStr">
        <is>
          <t>1995</t>
        </is>
      </c>
      <c r="O254" t="inlineStr">
        <is>
          <t>eng</t>
        </is>
      </c>
      <c r="P254" t="inlineStr">
        <is>
          <t>enk</t>
        </is>
      </c>
      <c r="Q254" t="inlineStr">
        <is>
          <t>Theory, culture &amp; society</t>
        </is>
      </c>
      <c r="R254" t="inlineStr">
        <is>
          <t xml:space="preserve">HT </t>
        </is>
      </c>
      <c r="S254" t="n">
        <v>6</v>
      </c>
      <c r="T254" t="n">
        <v>6</v>
      </c>
      <c r="U254" t="inlineStr">
        <is>
          <t>1999-03-31</t>
        </is>
      </c>
      <c r="V254" t="inlineStr">
        <is>
          <t>1999-03-31</t>
        </is>
      </c>
      <c r="W254" t="inlineStr">
        <is>
          <t>1996-10-28</t>
        </is>
      </c>
      <c r="X254" t="inlineStr">
        <is>
          <t>1996-10-28</t>
        </is>
      </c>
      <c r="Y254" t="n">
        <v>330</v>
      </c>
      <c r="Z254" t="n">
        <v>192</v>
      </c>
      <c r="AA254" t="n">
        <v>519</v>
      </c>
      <c r="AB254" t="n">
        <v>3</v>
      </c>
      <c r="AC254" t="n">
        <v>5</v>
      </c>
      <c r="AD254" t="n">
        <v>11</v>
      </c>
      <c r="AE254" t="n">
        <v>17</v>
      </c>
      <c r="AF254" t="n">
        <v>4</v>
      </c>
      <c r="AG254" t="n">
        <v>6</v>
      </c>
      <c r="AH254" t="n">
        <v>2</v>
      </c>
      <c r="AI254" t="n">
        <v>4</v>
      </c>
      <c r="AJ254" t="n">
        <v>7</v>
      </c>
      <c r="AK254" t="n">
        <v>10</v>
      </c>
      <c r="AL254" t="n">
        <v>2</v>
      </c>
      <c r="AM254" t="n">
        <v>4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HYPERLINK("http://catalog.hathitrust.org/Record/003006451","HathiTrust Record")</f>
        <v/>
      </c>
      <c r="AS254">
        <f>HYPERLINK("https://creighton-primo.hosted.exlibrisgroup.com/primo-explore/search?tab=default_tab&amp;search_scope=EVERYTHING&amp;vid=01CRU&amp;lang=en_US&amp;offset=0&amp;query=any,contains,991002583789702656","Catalog Record")</f>
        <v/>
      </c>
      <c r="AT254">
        <f>HYPERLINK("http://www.worldcat.org/oclc/33863779","WorldCat Record")</f>
        <v/>
      </c>
      <c r="AU254" t="inlineStr">
        <is>
          <t>3901303155:eng</t>
        </is>
      </c>
      <c r="AV254" t="inlineStr">
        <is>
          <t>33863779</t>
        </is>
      </c>
      <c r="AW254" t="inlineStr">
        <is>
          <t>991002583789702656</t>
        </is>
      </c>
      <c r="AX254" t="inlineStr">
        <is>
          <t>991002583789702656</t>
        </is>
      </c>
      <c r="AY254" t="inlineStr">
        <is>
          <t>2262694710002656</t>
        </is>
      </c>
      <c r="AZ254" t="inlineStr">
        <is>
          <t>BOOK</t>
        </is>
      </c>
      <c r="BB254" t="inlineStr">
        <is>
          <t>9780803978805</t>
        </is>
      </c>
      <c r="BC254" t="inlineStr">
        <is>
          <t>32285002369352</t>
        </is>
      </c>
      <c r="BD254" t="inlineStr">
        <is>
          <t>893616301</t>
        </is>
      </c>
    </row>
    <row r="255">
      <c r="A255" t="inlineStr">
        <is>
          <t>No</t>
        </is>
      </c>
      <c r="B255" t="inlineStr">
        <is>
          <t>HT1521 .W57 1976</t>
        </is>
      </c>
      <c r="C255" t="inlineStr">
        <is>
          <t>0                      HT 1521000W  57          1976</t>
        </is>
      </c>
      <c r="D255" t="inlineStr">
        <is>
          <t>Power, racism, and privilege : race relations in theoretical and sociohistorical perspectives / William J. Wilson. --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Wilson, William J.</t>
        </is>
      </c>
      <c r="L255" t="inlineStr">
        <is>
          <t>New York : Free Press, 1976, c1973.</t>
        </is>
      </c>
      <c r="M255" t="inlineStr">
        <is>
          <t>1976</t>
        </is>
      </c>
      <c r="O255" t="inlineStr">
        <is>
          <t>eng</t>
        </is>
      </c>
      <c r="P255" t="inlineStr">
        <is>
          <t>nyu</t>
        </is>
      </c>
      <c r="R255" t="inlineStr">
        <is>
          <t xml:space="preserve">HT </t>
        </is>
      </c>
      <c r="S255" t="n">
        <v>10</v>
      </c>
      <c r="T255" t="n">
        <v>10</v>
      </c>
      <c r="U255" t="inlineStr">
        <is>
          <t>2000-08-28</t>
        </is>
      </c>
      <c r="V255" t="inlineStr">
        <is>
          <t>2000-08-28</t>
        </is>
      </c>
      <c r="W255" t="inlineStr">
        <is>
          <t>1991-12-09</t>
        </is>
      </c>
      <c r="X255" t="inlineStr">
        <is>
          <t>1991-12-09</t>
        </is>
      </c>
      <c r="Y255" t="n">
        <v>633</v>
      </c>
      <c r="Z255" t="n">
        <v>501</v>
      </c>
      <c r="AA255" t="n">
        <v>628</v>
      </c>
      <c r="AB255" t="n">
        <v>4</v>
      </c>
      <c r="AC255" t="n">
        <v>4</v>
      </c>
      <c r="AD255" t="n">
        <v>18</v>
      </c>
      <c r="AE255" t="n">
        <v>23</v>
      </c>
      <c r="AF255" t="n">
        <v>7</v>
      </c>
      <c r="AG255" t="n">
        <v>9</v>
      </c>
      <c r="AH255" t="n">
        <v>4</v>
      </c>
      <c r="AI255" t="n">
        <v>4</v>
      </c>
      <c r="AJ255" t="n">
        <v>10</v>
      </c>
      <c r="AK255" t="n">
        <v>13</v>
      </c>
      <c r="AL255" t="n">
        <v>2</v>
      </c>
      <c r="AM255" t="n">
        <v>2</v>
      </c>
      <c r="AN255" t="n">
        <v>1</v>
      </c>
      <c r="AO255" t="n">
        <v>2</v>
      </c>
      <c r="AP255" t="inlineStr">
        <is>
          <t>No</t>
        </is>
      </c>
      <c r="AQ255" t="inlineStr">
        <is>
          <t>Yes</t>
        </is>
      </c>
      <c r="AR255">
        <f>HYPERLINK("http://catalog.hathitrust.org/Record/000008029","HathiTrust Record")</f>
        <v/>
      </c>
      <c r="AS255">
        <f>HYPERLINK("https://creighton-primo.hosted.exlibrisgroup.com/primo-explore/search?tab=default_tab&amp;search_scope=EVERYTHING&amp;vid=01CRU&amp;lang=en_US&amp;offset=0&amp;query=any,contains,991005369789702656","Catalog Record")</f>
        <v/>
      </c>
      <c r="AT255">
        <f>HYPERLINK("http://www.worldcat.org/oclc/590885","WorldCat Record")</f>
        <v/>
      </c>
      <c r="AU255" t="inlineStr">
        <is>
          <t>400889:eng</t>
        </is>
      </c>
      <c r="AV255" t="inlineStr">
        <is>
          <t>590885</t>
        </is>
      </c>
      <c r="AW255" t="inlineStr">
        <is>
          <t>991005369789702656</t>
        </is>
      </c>
      <c r="AX255" t="inlineStr">
        <is>
          <t>991005369789702656</t>
        </is>
      </c>
      <c r="AY255" t="inlineStr">
        <is>
          <t>2271204670002656</t>
        </is>
      </c>
      <c r="AZ255" t="inlineStr">
        <is>
          <t>BOOK</t>
        </is>
      </c>
      <c r="BC255" t="inlineStr">
        <is>
          <t>32285000838804</t>
        </is>
      </c>
      <c r="BD255" t="inlineStr">
        <is>
          <t>893594938</t>
        </is>
      </c>
    </row>
    <row r="256">
      <c r="A256" t="inlineStr">
        <is>
          <t>No</t>
        </is>
      </c>
      <c r="B256" t="inlineStr">
        <is>
          <t>HT1523 .C37 1979</t>
        </is>
      </c>
      <c r="C256" t="inlineStr">
        <is>
          <t>0                      HT 1523000C  37          1979</t>
        </is>
      </c>
      <c r="D256" t="inlineStr">
        <is>
          <t>Brothers and sisters to us : U.S. bishops' pastoral letter on racism in our day.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Yes</t>
        </is>
      </c>
      <c r="J256" t="inlineStr">
        <is>
          <t>0</t>
        </is>
      </c>
      <c r="K256" t="inlineStr">
        <is>
          <t>Catholic Church. National Conference of Catholic Bishops.</t>
        </is>
      </c>
      <c r="L256" t="inlineStr">
        <is>
          <t>Washington, D.C. : United States Catholic Conference, c1979.</t>
        </is>
      </c>
      <c r="M256" t="inlineStr">
        <is>
          <t>1979</t>
        </is>
      </c>
      <c r="N256" t="inlineStr">
        <is>
          <t>ed. bilingue</t>
        </is>
      </c>
      <c r="O256" t="inlineStr">
        <is>
          <t>eng</t>
        </is>
      </c>
      <c r="P256" t="inlineStr">
        <is>
          <t>dcu</t>
        </is>
      </c>
      <c r="R256" t="inlineStr">
        <is>
          <t xml:space="preserve">HT </t>
        </is>
      </c>
      <c r="S256" t="n">
        <v>1</v>
      </c>
      <c r="T256" t="n">
        <v>1</v>
      </c>
      <c r="U256" t="inlineStr">
        <is>
          <t>2010-08-02</t>
        </is>
      </c>
      <c r="V256" t="inlineStr">
        <is>
          <t>2010-08-02</t>
        </is>
      </c>
      <c r="W256" t="inlineStr">
        <is>
          <t>2010-08-02</t>
        </is>
      </c>
      <c r="X256" t="inlineStr">
        <is>
          <t>2010-08-02</t>
        </is>
      </c>
      <c r="Y256" t="n">
        <v>29</v>
      </c>
      <c r="Z256" t="n">
        <v>29</v>
      </c>
      <c r="AA256" t="n">
        <v>78</v>
      </c>
      <c r="AB256" t="n">
        <v>1</v>
      </c>
      <c r="AC256" t="n">
        <v>1</v>
      </c>
      <c r="AD256" t="n">
        <v>5</v>
      </c>
      <c r="AE256" t="n">
        <v>12</v>
      </c>
      <c r="AF256" t="n">
        <v>0</v>
      </c>
      <c r="AG256" t="n">
        <v>3</v>
      </c>
      <c r="AH256" t="n">
        <v>1</v>
      </c>
      <c r="AI256" t="n">
        <v>3</v>
      </c>
      <c r="AJ256" t="n">
        <v>5</v>
      </c>
      <c r="AK256" t="n">
        <v>10</v>
      </c>
      <c r="AL256" t="n">
        <v>0</v>
      </c>
      <c r="AM256" t="n">
        <v>0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HYPERLINK("https://creighton-primo.hosted.exlibrisgroup.com/primo-explore/search?tab=default_tab&amp;search_scope=EVERYTHING&amp;vid=01CRU&amp;lang=en_US&amp;offset=0&amp;query=any,contains,991000040449702656","Catalog Record")</f>
        <v/>
      </c>
      <c r="AT256">
        <f>HYPERLINK("http://www.worldcat.org/oclc/27957578","WorldCat Record")</f>
        <v/>
      </c>
      <c r="AU256" t="inlineStr">
        <is>
          <t>23049252:eng</t>
        </is>
      </c>
      <c r="AV256" t="inlineStr">
        <is>
          <t>27957578</t>
        </is>
      </c>
      <c r="AW256" t="inlineStr">
        <is>
          <t>991000040449702656</t>
        </is>
      </c>
      <c r="AX256" t="inlineStr">
        <is>
          <t>991000040449702656</t>
        </is>
      </c>
      <c r="AY256" t="inlineStr">
        <is>
          <t>2272565190002656</t>
        </is>
      </c>
      <c r="AZ256" t="inlineStr">
        <is>
          <t>BOOK</t>
        </is>
      </c>
      <c r="BB256" t="inlineStr">
        <is>
          <t>9781555866532</t>
        </is>
      </c>
      <c r="BC256" t="inlineStr">
        <is>
          <t>32285005586671</t>
        </is>
      </c>
      <c r="BD256" t="inlineStr">
        <is>
          <t>893607564</t>
        </is>
      </c>
    </row>
    <row r="257">
      <c r="A257" t="inlineStr">
        <is>
          <t>No</t>
        </is>
      </c>
      <c r="B257" t="inlineStr">
        <is>
          <t>HT1523 .C48 2000</t>
        </is>
      </c>
      <c r="C257" t="inlineStr">
        <is>
          <t>0                      HT 1523000C  48          2000</t>
        </is>
      </c>
      <c r="D257" t="inlineStr">
        <is>
          <t>Multiracial identity : an international perspective / Mark Christian ; foreword by Diedre L. Badejo.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Christian, Mark.</t>
        </is>
      </c>
      <c r="L257" t="inlineStr">
        <is>
          <t>Houndmills, Basingstoke, Hampshire : Macmillan Press ; New York : St. Martin's Press , 2000.</t>
        </is>
      </c>
      <c r="M257" t="inlineStr">
        <is>
          <t>2000</t>
        </is>
      </c>
      <c r="O257" t="inlineStr">
        <is>
          <t>eng</t>
        </is>
      </c>
      <c r="P257" t="inlineStr">
        <is>
          <t>enk</t>
        </is>
      </c>
      <c r="R257" t="inlineStr">
        <is>
          <t xml:space="preserve">HT </t>
        </is>
      </c>
      <c r="S257" t="n">
        <v>5</v>
      </c>
      <c r="T257" t="n">
        <v>5</v>
      </c>
      <c r="U257" t="inlineStr">
        <is>
          <t>2005-04-16</t>
        </is>
      </c>
      <c r="V257" t="inlineStr">
        <is>
          <t>2005-04-16</t>
        </is>
      </c>
      <c r="W257" t="inlineStr">
        <is>
          <t>2001-08-07</t>
        </is>
      </c>
      <c r="X257" t="inlineStr">
        <is>
          <t>2001-08-07</t>
        </is>
      </c>
      <c r="Y257" t="n">
        <v>312</v>
      </c>
      <c r="Z257" t="n">
        <v>251</v>
      </c>
      <c r="AA257" t="n">
        <v>284</v>
      </c>
      <c r="AB257" t="n">
        <v>2</v>
      </c>
      <c r="AC257" t="n">
        <v>2</v>
      </c>
      <c r="AD257" t="n">
        <v>13</v>
      </c>
      <c r="AE257" t="n">
        <v>14</v>
      </c>
      <c r="AF257" t="n">
        <v>3</v>
      </c>
      <c r="AG257" t="n">
        <v>3</v>
      </c>
      <c r="AH257" t="n">
        <v>3</v>
      </c>
      <c r="AI257" t="n">
        <v>4</v>
      </c>
      <c r="AJ257" t="n">
        <v>10</v>
      </c>
      <c r="AK257" t="n">
        <v>11</v>
      </c>
      <c r="AL257" t="n">
        <v>1</v>
      </c>
      <c r="AM257" t="n">
        <v>1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HYPERLINK("https://creighton-primo.hosted.exlibrisgroup.com/primo-explore/search?tab=default_tab&amp;search_scope=EVERYTHING&amp;vid=01CRU&amp;lang=en_US&amp;offset=0&amp;query=any,contains,991003594039702656","Catalog Record")</f>
        <v/>
      </c>
      <c r="AT257">
        <f>HYPERLINK("http://www.worldcat.org/oclc/43286637","WorldCat Record")</f>
        <v/>
      </c>
      <c r="AU257" t="inlineStr">
        <is>
          <t>797219343:eng</t>
        </is>
      </c>
      <c r="AV257" t="inlineStr">
        <is>
          <t>43286637</t>
        </is>
      </c>
      <c r="AW257" t="inlineStr">
        <is>
          <t>991003594039702656</t>
        </is>
      </c>
      <c r="AX257" t="inlineStr">
        <is>
          <t>991003594039702656</t>
        </is>
      </c>
      <c r="AY257" t="inlineStr">
        <is>
          <t>2258461300002656</t>
        </is>
      </c>
      <c r="AZ257" t="inlineStr">
        <is>
          <t>BOOK</t>
        </is>
      </c>
      <c r="BB257" t="inlineStr">
        <is>
          <t>9780312232191</t>
        </is>
      </c>
      <c r="BC257" t="inlineStr">
        <is>
          <t>32285004376207</t>
        </is>
      </c>
      <c r="BD257" t="inlineStr">
        <is>
          <t>893717845</t>
        </is>
      </c>
    </row>
    <row r="258">
      <c r="A258" t="inlineStr">
        <is>
          <t>No</t>
        </is>
      </c>
      <c r="B258" t="inlineStr">
        <is>
          <t>HT1523 .D33 2007</t>
        </is>
      </c>
      <c r="C258" t="inlineStr">
        <is>
          <t>0                      HT 1523000D  33          2007</t>
        </is>
      </c>
      <c r="D258" t="inlineStr">
        <is>
          <t>Making multiracials : state, family, and market in the redrawing of the color line / Kimberly McClain DaCosta.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DaCosta, Kimberly McClain.</t>
        </is>
      </c>
      <c r="L258" t="inlineStr">
        <is>
          <t>Stanford, Calif. : Stanford University Press, 2007.</t>
        </is>
      </c>
      <c r="M258" t="inlineStr">
        <is>
          <t>2007</t>
        </is>
      </c>
      <c r="O258" t="inlineStr">
        <is>
          <t>eng</t>
        </is>
      </c>
      <c r="P258" t="inlineStr">
        <is>
          <t>cau</t>
        </is>
      </c>
      <c r="R258" t="inlineStr">
        <is>
          <t xml:space="preserve">HT </t>
        </is>
      </c>
      <c r="S258" t="n">
        <v>1</v>
      </c>
      <c r="T258" t="n">
        <v>1</v>
      </c>
      <c r="U258" t="inlineStr">
        <is>
          <t>2007-10-09</t>
        </is>
      </c>
      <c r="V258" t="inlineStr">
        <is>
          <t>2007-10-09</t>
        </is>
      </c>
      <c r="W258" t="inlineStr">
        <is>
          <t>2007-10-09</t>
        </is>
      </c>
      <c r="X258" t="inlineStr">
        <is>
          <t>2007-10-09</t>
        </is>
      </c>
      <c r="Y258" t="n">
        <v>617</v>
      </c>
      <c r="Z258" t="n">
        <v>557</v>
      </c>
      <c r="AA258" t="n">
        <v>558</v>
      </c>
      <c r="AB258" t="n">
        <v>3</v>
      </c>
      <c r="AC258" t="n">
        <v>3</v>
      </c>
      <c r="AD258" t="n">
        <v>26</v>
      </c>
      <c r="AE258" t="n">
        <v>26</v>
      </c>
      <c r="AF258" t="n">
        <v>13</v>
      </c>
      <c r="AG258" t="n">
        <v>13</v>
      </c>
      <c r="AH258" t="n">
        <v>5</v>
      </c>
      <c r="AI258" t="n">
        <v>5</v>
      </c>
      <c r="AJ258" t="n">
        <v>13</v>
      </c>
      <c r="AK258" t="n">
        <v>13</v>
      </c>
      <c r="AL258" t="n">
        <v>2</v>
      </c>
      <c r="AM258" t="n">
        <v>2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HYPERLINK("https://creighton-primo.hosted.exlibrisgroup.com/primo-explore/search?tab=default_tab&amp;search_scope=EVERYTHING&amp;vid=01CRU&amp;lang=en_US&amp;offset=0&amp;query=any,contains,991005122229702656","Catalog Record")</f>
        <v/>
      </c>
      <c r="AT258">
        <f>HYPERLINK("http://www.worldcat.org/oclc/70718211","WorldCat Record")</f>
        <v/>
      </c>
      <c r="AU258" t="inlineStr">
        <is>
          <t>260219021:eng</t>
        </is>
      </c>
      <c r="AV258" t="inlineStr">
        <is>
          <t>70718211</t>
        </is>
      </c>
      <c r="AW258" t="inlineStr">
        <is>
          <t>991005122229702656</t>
        </is>
      </c>
      <c r="AX258" t="inlineStr">
        <is>
          <t>991005122229702656</t>
        </is>
      </c>
      <c r="AY258" t="inlineStr">
        <is>
          <t>2256149170002656</t>
        </is>
      </c>
      <c r="AZ258" t="inlineStr">
        <is>
          <t>BOOK</t>
        </is>
      </c>
      <c r="BB258" t="inlineStr">
        <is>
          <t>9780804755450</t>
        </is>
      </c>
      <c r="BC258" t="inlineStr">
        <is>
          <t>32285005328256</t>
        </is>
      </c>
      <c r="BD258" t="inlineStr">
        <is>
          <t>893514076</t>
        </is>
      </c>
    </row>
    <row r="259">
      <c r="A259" t="inlineStr">
        <is>
          <t>No</t>
        </is>
      </c>
      <c r="B259" t="inlineStr">
        <is>
          <t>HT1523 .J46 2002</t>
        </is>
      </c>
      <c r="C259" t="inlineStr">
        <is>
          <t>0                      HT 1523000J  46          2002</t>
        </is>
      </c>
      <c r="D259" t="inlineStr">
        <is>
          <t>The culture of make believe / Derrick Jensen.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Jensen, Derrick, 1960-</t>
        </is>
      </c>
      <c r="L259" t="inlineStr">
        <is>
          <t>New York : Context Books, 2002.</t>
        </is>
      </c>
      <c r="M259" t="inlineStr">
        <is>
          <t>2002</t>
        </is>
      </c>
      <c r="O259" t="inlineStr">
        <is>
          <t>eng</t>
        </is>
      </c>
      <c r="P259" t="inlineStr">
        <is>
          <t>nyu</t>
        </is>
      </c>
      <c r="R259" t="inlineStr">
        <is>
          <t xml:space="preserve">HT </t>
        </is>
      </c>
      <c r="S259" t="n">
        <v>8</v>
      </c>
      <c r="T259" t="n">
        <v>8</v>
      </c>
      <c r="U259" t="inlineStr">
        <is>
          <t>2010-01-23</t>
        </is>
      </c>
      <c r="V259" t="inlineStr">
        <is>
          <t>2010-01-23</t>
        </is>
      </c>
      <c r="W259" t="inlineStr">
        <is>
          <t>2002-07-10</t>
        </is>
      </c>
      <c r="X259" t="inlineStr">
        <is>
          <t>2002-07-10</t>
        </is>
      </c>
      <c r="Y259" t="n">
        <v>590</v>
      </c>
      <c r="Z259" t="n">
        <v>561</v>
      </c>
      <c r="AA259" t="n">
        <v>735</v>
      </c>
      <c r="AB259" t="n">
        <v>6</v>
      </c>
      <c r="AC259" t="n">
        <v>6</v>
      </c>
      <c r="AD259" t="n">
        <v>20</v>
      </c>
      <c r="AE259" t="n">
        <v>23</v>
      </c>
      <c r="AF259" t="n">
        <v>6</v>
      </c>
      <c r="AG259" t="n">
        <v>8</v>
      </c>
      <c r="AH259" t="n">
        <v>4</v>
      </c>
      <c r="AI259" t="n">
        <v>5</v>
      </c>
      <c r="AJ259" t="n">
        <v>10</v>
      </c>
      <c r="AK259" t="n">
        <v>11</v>
      </c>
      <c r="AL259" t="n">
        <v>4</v>
      </c>
      <c r="AM259" t="n">
        <v>4</v>
      </c>
      <c r="AN259" t="n">
        <v>0</v>
      </c>
      <c r="AO259" t="n">
        <v>0</v>
      </c>
      <c r="AP259" t="inlineStr">
        <is>
          <t>No</t>
        </is>
      </c>
      <c r="AQ259" t="inlineStr">
        <is>
          <t>No</t>
        </is>
      </c>
      <c r="AS259">
        <f>HYPERLINK("https://creighton-primo.hosted.exlibrisgroup.com/primo-explore/search?tab=default_tab&amp;search_scope=EVERYTHING&amp;vid=01CRU&amp;lang=en_US&amp;offset=0&amp;query=any,contains,991003825009702656","Catalog Record")</f>
        <v/>
      </c>
      <c r="AT259">
        <f>HYPERLINK("http://www.worldcat.org/oclc/48761707","WorldCat Record")</f>
        <v/>
      </c>
      <c r="AU259" t="inlineStr">
        <is>
          <t>1069258:eng</t>
        </is>
      </c>
      <c r="AV259" t="inlineStr">
        <is>
          <t>48761707</t>
        </is>
      </c>
      <c r="AW259" t="inlineStr">
        <is>
          <t>991003825009702656</t>
        </is>
      </c>
      <c r="AX259" t="inlineStr">
        <is>
          <t>991003825009702656</t>
        </is>
      </c>
      <c r="AY259" t="inlineStr">
        <is>
          <t>2257612990002656</t>
        </is>
      </c>
      <c r="AZ259" t="inlineStr">
        <is>
          <t>BOOK</t>
        </is>
      </c>
      <c r="BB259" t="inlineStr">
        <is>
          <t>9781893956285</t>
        </is>
      </c>
      <c r="BC259" t="inlineStr">
        <is>
          <t>32285004497573</t>
        </is>
      </c>
      <c r="BD259" t="inlineStr">
        <is>
          <t>893887970</t>
        </is>
      </c>
    </row>
    <row r="260">
      <c r="A260" t="inlineStr">
        <is>
          <t>No</t>
        </is>
      </c>
      <c r="B260" t="inlineStr">
        <is>
          <t>HT1523 .N63 2000</t>
        </is>
      </c>
      <c r="C260" t="inlineStr">
        <is>
          <t>0                      HT 1523000N  63          2000</t>
        </is>
      </c>
      <c r="D260" t="inlineStr">
        <is>
          <t>Shades of citizenship : race and the census in modern politics / Melissa Nobles.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Nobles, Melissa.</t>
        </is>
      </c>
      <c r="L260" t="inlineStr">
        <is>
          <t>Stanford, CA : Stanford University Press, 2000.</t>
        </is>
      </c>
      <c r="M260" t="inlineStr">
        <is>
          <t>2000</t>
        </is>
      </c>
      <c r="O260" t="inlineStr">
        <is>
          <t>eng</t>
        </is>
      </c>
      <c r="P260" t="inlineStr">
        <is>
          <t>cau</t>
        </is>
      </c>
      <c r="R260" t="inlineStr">
        <is>
          <t xml:space="preserve">HT </t>
        </is>
      </c>
      <c r="S260" t="n">
        <v>1</v>
      </c>
      <c r="T260" t="n">
        <v>1</v>
      </c>
      <c r="U260" t="inlineStr">
        <is>
          <t>2001-01-23</t>
        </is>
      </c>
      <c r="V260" t="inlineStr">
        <is>
          <t>2001-01-23</t>
        </is>
      </c>
      <c r="W260" t="inlineStr">
        <is>
          <t>2001-01-23</t>
        </is>
      </c>
      <c r="X260" t="inlineStr">
        <is>
          <t>2001-01-23</t>
        </is>
      </c>
      <c r="Y260" t="n">
        <v>511</v>
      </c>
      <c r="Z260" t="n">
        <v>442</v>
      </c>
      <c r="AA260" t="n">
        <v>464</v>
      </c>
      <c r="AB260" t="n">
        <v>3</v>
      </c>
      <c r="AC260" t="n">
        <v>4</v>
      </c>
      <c r="AD260" t="n">
        <v>27</v>
      </c>
      <c r="AE260" t="n">
        <v>29</v>
      </c>
      <c r="AF260" t="n">
        <v>9</v>
      </c>
      <c r="AG260" t="n">
        <v>10</v>
      </c>
      <c r="AH260" t="n">
        <v>5</v>
      </c>
      <c r="AI260" t="n">
        <v>6</v>
      </c>
      <c r="AJ260" t="n">
        <v>16</v>
      </c>
      <c r="AK260" t="n">
        <v>16</v>
      </c>
      <c r="AL260" t="n">
        <v>2</v>
      </c>
      <c r="AM260" t="n">
        <v>3</v>
      </c>
      <c r="AN260" t="n">
        <v>1</v>
      </c>
      <c r="AO260" t="n">
        <v>1</v>
      </c>
      <c r="AP260" t="inlineStr">
        <is>
          <t>No</t>
        </is>
      </c>
      <c r="AQ260" t="inlineStr">
        <is>
          <t>No</t>
        </is>
      </c>
      <c r="AS260">
        <f>HYPERLINK("https://creighton-primo.hosted.exlibrisgroup.com/primo-explore/search?tab=default_tab&amp;search_scope=EVERYTHING&amp;vid=01CRU&amp;lang=en_US&amp;offset=0&amp;query=any,contains,991003331369702656","Catalog Record")</f>
        <v/>
      </c>
      <c r="AT260">
        <f>HYPERLINK("http://www.worldcat.org/oclc/43569465","WorldCat Record")</f>
        <v/>
      </c>
      <c r="AU260" t="inlineStr">
        <is>
          <t>793904145:eng</t>
        </is>
      </c>
      <c r="AV260" t="inlineStr">
        <is>
          <t>43569465</t>
        </is>
      </c>
      <c r="AW260" t="inlineStr">
        <is>
          <t>991003331369702656</t>
        </is>
      </c>
      <c r="AX260" t="inlineStr">
        <is>
          <t>991003331369702656</t>
        </is>
      </c>
      <c r="AY260" t="inlineStr">
        <is>
          <t>2263218240002656</t>
        </is>
      </c>
      <c r="AZ260" t="inlineStr">
        <is>
          <t>BOOK</t>
        </is>
      </c>
      <c r="BB260" t="inlineStr">
        <is>
          <t>9780804740135</t>
        </is>
      </c>
      <c r="BC260" t="inlineStr">
        <is>
          <t>32285004290721</t>
        </is>
      </c>
      <c r="BD260" t="inlineStr">
        <is>
          <t>893899870</t>
        </is>
      </c>
    </row>
    <row r="261">
      <c r="A261" t="inlineStr">
        <is>
          <t>No</t>
        </is>
      </c>
      <c r="B261" t="inlineStr">
        <is>
          <t>HT1523 .R255 1999</t>
        </is>
      </c>
      <c r="C261" t="inlineStr">
        <is>
          <t>0                      HT 1523000R  255         1999</t>
        </is>
      </c>
      <c r="D261" t="inlineStr">
        <is>
          <t>Racism and philosophy / edited by Susan E. Babbitt and Sue Campbell.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L261" t="inlineStr">
        <is>
          <t>Ithaca, N.Y. : Cornell University Press, 1999.</t>
        </is>
      </c>
      <c r="M261" t="inlineStr">
        <is>
          <t>1999</t>
        </is>
      </c>
      <c r="O261" t="inlineStr">
        <is>
          <t>eng</t>
        </is>
      </c>
      <c r="P261" t="inlineStr">
        <is>
          <t>nyu</t>
        </is>
      </c>
      <c r="R261" t="inlineStr">
        <is>
          <t xml:space="preserve">HT </t>
        </is>
      </c>
      <c r="S261" t="n">
        <v>2</v>
      </c>
      <c r="T261" t="n">
        <v>2</v>
      </c>
      <c r="U261" t="inlineStr">
        <is>
          <t>2000-12-06</t>
        </is>
      </c>
      <c r="V261" t="inlineStr">
        <is>
          <t>2000-12-06</t>
        </is>
      </c>
      <c r="W261" t="inlineStr">
        <is>
          <t>2000-12-06</t>
        </is>
      </c>
      <c r="X261" t="inlineStr">
        <is>
          <t>2000-12-06</t>
        </is>
      </c>
      <c r="Y261" t="n">
        <v>379</v>
      </c>
      <c r="Z261" t="n">
        <v>313</v>
      </c>
      <c r="AA261" t="n">
        <v>322</v>
      </c>
      <c r="AB261" t="n">
        <v>3</v>
      </c>
      <c r="AC261" t="n">
        <v>3</v>
      </c>
      <c r="AD261" t="n">
        <v>20</v>
      </c>
      <c r="AE261" t="n">
        <v>20</v>
      </c>
      <c r="AF261" t="n">
        <v>4</v>
      </c>
      <c r="AG261" t="n">
        <v>4</v>
      </c>
      <c r="AH261" t="n">
        <v>7</v>
      </c>
      <c r="AI261" t="n">
        <v>7</v>
      </c>
      <c r="AJ261" t="n">
        <v>9</v>
      </c>
      <c r="AK261" t="n">
        <v>9</v>
      </c>
      <c r="AL261" t="n">
        <v>2</v>
      </c>
      <c r="AM261" t="n">
        <v>2</v>
      </c>
      <c r="AN261" t="n">
        <v>3</v>
      </c>
      <c r="AO261" t="n">
        <v>3</v>
      </c>
      <c r="AP261" t="inlineStr">
        <is>
          <t>No</t>
        </is>
      </c>
      <c r="AQ261" t="inlineStr">
        <is>
          <t>Yes</t>
        </is>
      </c>
      <c r="AR261">
        <f>HYPERLINK("http://catalog.hathitrust.org/Record/004042141","HathiTrust Record")</f>
        <v/>
      </c>
      <c r="AS261">
        <f>HYPERLINK("https://creighton-primo.hosted.exlibrisgroup.com/primo-explore/search?tab=default_tab&amp;search_scope=EVERYTHING&amp;vid=01CRU&amp;lang=en_US&amp;offset=0&amp;query=any,contains,991003313139702656","Catalog Record")</f>
        <v/>
      </c>
      <c r="AT261">
        <f>HYPERLINK("http://www.worldcat.org/oclc/40752578","WorldCat Record")</f>
        <v/>
      </c>
      <c r="AU261" t="inlineStr">
        <is>
          <t>350274243:eng</t>
        </is>
      </c>
      <c r="AV261" t="inlineStr">
        <is>
          <t>40752578</t>
        </is>
      </c>
      <c r="AW261" t="inlineStr">
        <is>
          <t>991003313139702656</t>
        </is>
      </c>
      <c r="AX261" t="inlineStr">
        <is>
          <t>991003313139702656</t>
        </is>
      </c>
      <c r="AY261" t="inlineStr">
        <is>
          <t>2259364690002656</t>
        </is>
      </c>
      <c r="AZ261" t="inlineStr">
        <is>
          <t>BOOK</t>
        </is>
      </c>
      <c r="BB261" t="inlineStr">
        <is>
          <t>9780801435027</t>
        </is>
      </c>
      <c r="BC261" t="inlineStr">
        <is>
          <t>32285004275508</t>
        </is>
      </c>
      <c r="BD261" t="inlineStr">
        <is>
          <t>893592407</t>
        </is>
      </c>
    </row>
    <row r="262">
      <c r="A262" t="inlineStr">
        <is>
          <t>No</t>
        </is>
      </c>
      <c r="B262" t="inlineStr">
        <is>
          <t>HT1523 .S57 1990</t>
        </is>
      </c>
      <c r="C262" t="inlineStr">
        <is>
          <t>0                      HT 1523000S  57          1990</t>
        </is>
      </c>
      <c r="D262" t="inlineStr">
        <is>
          <t>Preferential policies : an international perspective / Thomas Sowell.</t>
        </is>
      </c>
      <c r="F262" t="inlineStr">
        <is>
          <t>No</t>
        </is>
      </c>
      <c r="G262" t="inlineStr">
        <is>
          <t>1</t>
        </is>
      </c>
      <c r="H262" t="inlineStr">
        <is>
          <t>Yes</t>
        </is>
      </c>
      <c r="I262" t="inlineStr">
        <is>
          <t>No</t>
        </is>
      </c>
      <c r="J262" t="inlineStr">
        <is>
          <t>0</t>
        </is>
      </c>
      <c r="K262" t="inlineStr">
        <is>
          <t>Sowell, Thomas, 1930-</t>
        </is>
      </c>
      <c r="L262" t="inlineStr">
        <is>
          <t>New York : W. Morrow, c1990.</t>
        </is>
      </c>
      <c r="M262" t="inlineStr">
        <is>
          <t>1990</t>
        </is>
      </c>
      <c r="N262" t="inlineStr">
        <is>
          <t>1st ed.</t>
        </is>
      </c>
      <c r="O262" t="inlineStr">
        <is>
          <t>eng</t>
        </is>
      </c>
      <c r="P262" t="inlineStr">
        <is>
          <t>nyu</t>
        </is>
      </c>
      <c r="R262" t="inlineStr">
        <is>
          <t xml:space="preserve">HT </t>
        </is>
      </c>
      <c r="S262" t="n">
        <v>21</v>
      </c>
      <c r="T262" t="n">
        <v>21</v>
      </c>
      <c r="U262" t="inlineStr">
        <is>
          <t>2002-04-16</t>
        </is>
      </c>
      <c r="V262" t="inlineStr">
        <is>
          <t>2002-04-16</t>
        </is>
      </c>
      <c r="W262" t="inlineStr">
        <is>
          <t>1991-05-31</t>
        </is>
      </c>
      <c r="X262" t="inlineStr">
        <is>
          <t>1991-08-15</t>
        </is>
      </c>
      <c r="Y262" t="n">
        <v>1068</v>
      </c>
      <c r="Z262" t="n">
        <v>955</v>
      </c>
      <c r="AA262" t="n">
        <v>969</v>
      </c>
      <c r="AB262" t="n">
        <v>7</v>
      </c>
      <c r="AC262" t="n">
        <v>7</v>
      </c>
      <c r="AD262" t="n">
        <v>42</v>
      </c>
      <c r="AE262" t="n">
        <v>42</v>
      </c>
      <c r="AF262" t="n">
        <v>14</v>
      </c>
      <c r="AG262" t="n">
        <v>14</v>
      </c>
      <c r="AH262" t="n">
        <v>6</v>
      </c>
      <c r="AI262" t="n">
        <v>6</v>
      </c>
      <c r="AJ262" t="n">
        <v>17</v>
      </c>
      <c r="AK262" t="n">
        <v>17</v>
      </c>
      <c r="AL262" t="n">
        <v>4</v>
      </c>
      <c r="AM262" t="n">
        <v>4</v>
      </c>
      <c r="AN262" t="n">
        <v>9</v>
      </c>
      <c r="AO262" t="n">
        <v>9</v>
      </c>
      <c r="AP262" t="inlineStr">
        <is>
          <t>No</t>
        </is>
      </c>
      <c r="AQ262" t="inlineStr">
        <is>
          <t>No</t>
        </is>
      </c>
      <c r="AS262">
        <f>HYPERLINK("https://creighton-primo.hosted.exlibrisgroup.com/primo-explore/search?tab=default_tab&amp;search_scope=EVERYTHING&amp;vid=01CRU&amp;lang=en_US&amp;offset=0&amp;query=any,contains,991001643449702656","Catalog Record")</f>
        <v/>
      </c>
      <c r="AT262">
        <f>HYPERLINK("http://www.worldcat.org/oclc/20798050","WorldCat Record")</f>
        <v/>
      </c>
      <c r="AU262" t="inlineStr">
        <is>
          <t>22808817:eng</t>
        </is>
      </c>
      <c r="AV262" t="inlineStr">
        <is>
          <t>20798050</t>
        </is>
      </c>
      <c r="AW262" t="inlineStr">
        <is>
          <t>991001643449702656</t>
        </is>
      </c>
      <c r="AX262" t="inlineStr">
        <is>
          <t>991001643449702656</t>
        </is>
      </c>
      <c r="AY262" t="inlineStr">
        <is>
          <t>2260193920002656</t>
        </is>
      </c>
      <c r="AZ262" t="inlineStr">
        <is>
          <t>BOOK</t>
        </is>
      </c>
      <c r="BB262" t="inlineStr">
        <is>
          <t>9780688085995</t>
        </is>
      </c>
      <c r="BC262" t="inlineStr">
        <is>
          <t>32285000591205</t>
        </is>
      </c>
      <c r="BD262" t="inlineStr">
        <is>
          <t>893414358</t>
        </is>
      </c>
    </row>
    <row r="263">
      <c r="A263" t="inlineStr">
        <is>
          <t>No</t>
        </is>
      </c>
      <c r="B263" t="inlineStr">
        <is>
          <t>HT153 .B66</t>
        </is>
      </c>
      <c r="C263" t="inlineStr">
        <is>
          <t>0                      HT 0153000B  66</t>
        </is>
      </c>
      <c r="D263" t="inlineStr">
        <is>
          <t>Urban crowding and its consequences / Alan Booth.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Booth, Alan, 1935-2015.</t>
        </is>
      </c>
      <c r="L263" t="inlineStr">
        <is>
          <t>New York : Praeger, 1976.</t>
        </is>
      </c>
      <c r="M263" t="inlineStr">
        <is>
          <t>1976</t>
        </is>
      </c>
      <c r="O263" t="inlineStr">
        <is>
          <t>eng</t>
        </is>
      </c>
      <c r="P263" t="inlineStr">
        <is>
          <t>nyu</t>
        </is>
      </c>
      <c r="Q263" t="inlineStr">
        <is>
          <t>Praeger special studies in U.S. economic, social, and political issues</t>
        </is>
      </c>
      <c r="R263" t="inlineStr">
        <is>
          <t xml:space="preserve">HT </t>
        </is>
      </c>
      <c r="S263" t="n">
        <v>5</v>
      </c>
      <c r="T263" t="n">
        <v>5</v>
      </c>
      <c r="U263" t="inlineStr">
        <is>
          <t>1999-04-25</t>
        </is>
      </c>
      <c r="V263" t="inlineStr">
        <is>
          <t>1999-04-25</t>
        </is>
      </c>
      <c r="W263" t="inlineStr">
        <is>
          <t>1992-12-15</t>
        </is>
      </c>
      <c r="X263" t="inlineStr">
        <is>
          <t>1992-12-15</t>
        </is>
      </c>
      <c r="Y263" t="n">
        <v>338</v>
      </c>
      <c r="Z263" t="n">
        <v>257</v>
      </c>
      <c r="AA263" t="n">
        <v>264</v>
      </c>
      <c r="AB263" t="n">
        <v>3</v>
      </c>
      <c r="AC263" t="n">
        <v>3</v>
      </c>
      <c r="AD263" t="n">
        <v>12</v>
      </c>
      <c r="AE263" t="n">
        <v>12</v>
      </c>
      <c r="AF263" t="n">
        <v>3</v>
      </c>
      <c r="AG263" t="n">
        <v>3</v>
      </c>
      <c r="AH263" t="n">
        <v>4</v>
      </c>
      <c r="AI263" t="n">
        <v>4</v>
      </c>
      <c r="AJ263" t="n">
        <v>7</v>
      </c>
      <c r="AK263" t="n">
        <v>7</v>
      </c>
      <c r="AL263" t="n">
        <v>2</v>
      </c>
      <c r="AM263" t="n">
        <v>2</v>
      </c>
      <c r="AN263" t="n">
        <v>0</v>
      </c>
      <c r="AO263" t="n">
        <v>0</v>
      </c>
      <c r="AP263" t="inlineStr">
        <is>
          <t>No</t>
        </is>
      </c>
      <c r="AQ263" t="inlineStr">
        <is>
          <t>Yes</t>
        </is>
      </c>
      <c r="AR263">
        <f>HYPERLINK("http://catalog.hathitrust.org/Record/000722846","HathiTrust Record")</f>
        <v/>
      </c>
      <c r="AS263">
        <f>HYPERLINK("https://creighton-primo.hosted.exlibrisgroup.com/primo-explore/search?tab=default_tab&amp;search_scope=EVERYTHING&amp;vid=01CRU&amp;lang=en_US&amp;offset=0&amp;query=any,contains,991004119959702656","Catalog Record")</f>
        <v/>
      </c>
      <c r="AT263">
        <f>HYPERLINK("http://www.worldcat.org/oclc/2424558","WorldCat Record")</f>
        <v/>
      </c>
      <c r="AU263" t="inlineStr">
        <is>
          <t>5066997:eng</t>
        </is>
      </c>
      <c r="AV263" t="inlineStr">
        <is>
          <t>2424558</t>
        </is>
      </c>
      <c r="AW263" t="inlineStr">
        <is>
          <t>991004119959702656</t>
        </is>
      </c>
      <c r="AX263" t="inlineStr">
        <is>
          <t>991004119959702656</t>
        </is>
      </c>
      <c r="AY263" t="inlineStr">
        <is>
          <t>2265096000002656</t>
        </is>
      </c>
      <c r="AZ263" t="inlineStr">
        <is>
          <t>BOOK</t>
        </is>
      </c>
      <c r="BB263" t="inlineStr">
        <is>
          <t>9780275236502</t>
        </is>
      </c>
      <c r="BC263" t="inlineStr">
        <is>
          <t>32285001442283</t>
        </is>
      </c>
      <c r="BD263" t="inlineStr">
        <is>
          <t>893900824</t>
        </is>
      </c>
    </row>
    <row r="264">
      <c r="A264" t="inlineStr">
        <is>
          <t>No</t>
        </is>
      </c>
      <c r="B264" t="inlineStr">
        <is>
          <t>HT153 .L28 1973</t>
        </is>
      </c>
      <c r="C264" t="inlineStr">
        <is>
          <t>0                      HT 0153000L  28          1973</t>
        </is>
      </c>
      <c r="D264" t="inlineStr">
        <is>
          <t>Applying the systems approach to urban development / [by] Jack W. LaPatra.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LaPatra, Jack W., 1927-</t>
        </is>
      </c>
      <c r="L264" t="inlineStr">
        <is>
          <t>[Stroudsburg, Pa.] : Dowden, Hutchinson &amp; Ross, [1973]</t>
        </is>
      </c>
      <c r="M264" t="inlineStr">
        <is>
          <t>1973</t>
        </is>
      </c>
      <c r="O264" t="inlineStr">
        <is>
          <t>eng</t>
        </is>
      </c>
      <c r="P264" t="inlineStr">
        <is>
          <t>pau</t>
        </is>
      </c>
      <c r="Q264" t="inlineStr">
        <is>
          <t>Community development series, v. 5</t>
        </is>
      </c>
      <c r="R264" t="inlineStr">
        <is>
          <t xml:space="preserve">HT </t>
        </is>
      </c>
      <c r="S264" t="n">
        <v>2</v>
      </c>
      <c r="T264" t="n">
        <v>2</v>
      </c>
      <c r="U264" t="inlineStr">
        <is>
          <t>1998-10-13</t>
        </is>
      </c>
      <c r="V264" t="inlineStr">
        <is>
          <t>1998-10-13</t>
        </is>
      </c>
      <c r="W264" t="inlineStr">
        <is>
          <t>1993-05-06</t>
        </is>
      </c>
      <c r="X264" t="inlineStr">
        <is>
          <t>1993-05-06</t>
        </is>
      </c>
      <c r="Y264" t="n">
        <v>478</v>
      </c>
      <c r="Z264" t="n">
        <v>366</v>
      </c>
      <c r="AA264" t="n">
        <v>375</v>
      </c>
      <c r="AB264" t="n">
        <v>2</v>
      </c>
      <c r="AC264" t="n">
        <v>2</v>
      </c>
      <c r="AD264" t="n">
        <v>12</v>
      </c>
      <c r="AE264" t="n">
        <v>12</v>
      </c>
      <c r="AF264" t="n">
        <v>3</v>
      </c>
      <c r="AG264" t="n">
        <v>3</v>
      </c>
      <c r="AH264" t="n">
        <v>3</v>
      </c>
      <c r="AI264" t="n">
        <v>3</v>
      </c>
      <c r="AJ264" t="n">
        <v>7</v>
      </c>
      <c r="AK264" t="n">
        <v>7</v>
      </c>
      <c r="AL264" t="n">
        <v>1</v>
      </c>
      <c r="AM264" t="n">
        <v>1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HYPERLINK("http://catalog.hathitrust.org/Record/001129896","HathiTrust Record")</f>
        <v/>
      </c>
      <c r="AS264">
        <f>HYPERLINK("https://creighton-primo.hosted.exlibrisgroup.com/primo-explore/search?tab=default_tab&amp;search_scope=EVERYTHING&amp;vid=01CRU&amp;lang=en_US&amp;offset=0&amp;query=any,contains,991003161709702656","Catalog Record")</f>
        <v/>
      </c>
      <c r="AT264">
        <f>HYPERLINK("http://www.worldcat.org/oclc/700680","WorldCat Record")</f>
        <v/>
      </c>
      <c r="AU264" t="inlineStr">
        <is>
          <t>1596817:eng</t>
        </is>
      </c>
      <c r="AV264" t="inlineStr">
        <is>
          <t>700680</t>
        </is>
      </c>
      <c r="AW264" t="inlineStr">
        <is>
          <t>991003161709702656</t>
        </is>
      </c>
      <c r="AX264" t="inlineStr">
        <is>
          <t>991003161709702656</t>
        </is>
      </c>
      <c r="AY264" t="inlineStr">
        <is>
          <t>2256570330002656</t>
        </is>
      </c>
      <c r="AZ264" t="inlineStr">
        <is>
          <t>BOOK</t>
        </is>
      </c>
      <c r="BB264" t="inlineStr">
        <is>
          <t>9780879330422</t>
        </is>
      </c>
      <c r="BC264" t="inlineStr">
        <is>
          <t>32285001673440</t>
        </is>
      </c>
      <c r="BD264" t="inlineStr">
        <is>
          <t>893604503</t>
        </is>
      </c>
    </row>
    <row r="265">
      <c r="A265" t="inlineStr">
        <is>
          <t>No</t>
        </is>
      </c>
      <c r="B265" t="inlineStr">
        <is>
          <t>HT153 .N44 1982</t>
        </is>
      </c>
      <c r="C265" t="inlineStr">
        <is>
          <t>0                      HT 0153000N  44          1982</t>
        </is>
      </c>
      <c r="D265" t="inlineStr">
        <is>
          <t>Neighborhoods in urban America / edited by Ronald H. Bayor.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L265" t="inlineStr">
        <is>
          <t>Port Washington, N.Y. : Kennikat Press, 1982.</t>
        </is>
      </c>
      <c r="M265" t="inlineStr">
        <is>
          <t>1982</t>
        </is>
      </c>
      <c r="O265" t="inlineStr">
        <is>
          <t>eng</t>
        </is>
      </c>
      <c r="P265" t="inlineStr">
        <is>
          <t>nyu</t>
        </is>
      </c>
      <c r="Q265" t="inlineStr">
        <is>
          <t>Interdisciplinary urban series</t>
        </is>
      </c>
      <c r="R265" t="inlineStr">
        <is>
          <t xml:space="preserve">HT </t>
        </is>
      </c>
      <c r="S265" t="n">
        <v>5</v>
      </c>
      <c r="T265" t="n">
        <v>5</v>
      </c>
      <c r="U265" t="inlineStr">
        <is>
          <t>1996-11-04</t>
        </is>
      </c>
      <c r="V265" t="inlineStr">
        <is>
          <t>1996-11-04</t>
        </is>
      </c>
      <c r="W265" t="inlineStr">
        <is>
          <t>1993-05-06</t>
        </is>
      </c>
      <c r="X265" t="inlineStr">
        <is>
          <t>1993-05-06</t>
        </is>
      </c>
      <c r="Y265" t="n">
        <v>381</v>
      </c>
      <c r="Z265" t="n">
        <v>331</v>
      </c>
      <c r="AA265" t="n">
        <v>340</v>
      </c>
      <c r="AB265" t="n">
        <v>3</v>
      </c>
      <c r="AC265" t="n">
        <v>3</v>
      </c>
      <c r="AD265" t="n">
        <v>19</v>
      </c>
      <c r="AE265" t="n">
        <v>19</v>
      </c>
      <c r="AF265" t="n">
        <v>6</v>
      </c>
      <c r="AG265" t="n">
        <v>6</v>
      </c>
      <c r="AH265" t="n">
        <v>6</v>
      </c>
      <c r="AI265" t="n">
        <v>6</v>
      </c>
      <c r="AJ265" t="n">
        <v>12</v>
      </c>
      <c r="AK265" t="n">
        <v>12</v>
      </c>
      <c r="AL265" t="n">
        <v>2</v>
      </c>
      <c r="AM265" t="n">
        <v>2</v>
      </c>
      <c r="AN265" t="n">
        <v>0</v>
      </c>
      <c r="AO265" t="n">
        <v>0</v>
      </c>
      <c r="AP265" t="inlineStr">
        <is>
          <t>No</t>
        </is>
      </c>
      <c r="AQ265" t="inlineStr">
        <is>
          <t>Yes</t>
        </is>
      </c>
      <c r="AR265">
        <f>HYPERLINK("http://catalog.hathitrust.org/Record/000764292","HathiTrust Record")</f>
        <v/>
      </c>
      <c r="AS265">
        <f>HYPERLINK("https://creighton-primo.hosted.exlibrisgroup.com/primo-explore/search?tab=default_tab&amp;search_scope=EVERYTHING&amp;vid=01CRU&amp;lang=en_US&amp;offset=0&amp;query=any,contains,991005115119702656","Catalog Record")</f>
        <v/>
      </c>
      <c r="AT265">
        <f>HYPERLINK("http://www.worldcat.org/oclc/7461773","WorldCat Record")</f>
        <v/>
      </c>
      <c r="AU265" t="inlineStr">
        <is>
          <t>3859620401:eng</t>
        </is>
      </c>
      <c r="AV265" t="inlineStr">
        <is>
          <t>7461773</t>
        </is>
      </c>
      <c r="AW265" t="inlineStr">
        <is>
          <t>991005115119702656</t>
        </is>
      </c>
      <c r="AX265" t="inlineStr">
        <is>
          <t>991005115119702656</t>
        </is>
      </c>
      <c r="AY265" t="inlineStr">
        <is>
          <t>2265956890002656</t>
        </is>
      </c>
      <c r="AZ265" t="inlineStr">
        <is>
          <t>BOOK</t>
        </is>
      </c>
      <c r="BB265" t="inlineStr">
        <is>
          <t>9780804692847</t>
        </is>
      </c>
      <c r="BC265" t="inlineStr">
        <is>
          <t>32285001673457</t>
        </is>
      </c>
      <c r="BD265" t="inlineStr">
        <is>
          <t>893594494</t>
        </is>
      </c>
    </row>
    <row r="266">
      <c r="A266" t="inlineStr">
        <is>
          <t>No</t>
        </is>
      </c>
      <c r="B266" t="inlineStr">
        <is>
          <t>HT1531 .S68 1983</t>
        </is>
      </c>
      <c r="C266" t="inlineStr">
        <is>
          <t>0                      HT 1531000S  68          1983</t>
        </is>
      </c>
      <c r="D266" t="inlineStr">
        <is>
          <t>The economics and politics of race : an international perspective / Thomas Sowell.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Sowell, Thomas, 1930-</t>
        </is>
      </c>
      <c r="L266" t="inlineStr">
        <is>
          <t>New York : W. Morrow, 1983.</t>
        </is>
      </c>
      <c r="M266" t="inlineStr">
        <is>
          <t>1983</t>
        </is>
      </c>
      <c r="N266" t="inlineStr">
        <is>
          <t>1st ed.</t>
        </is>
      </c>
      <c r="O266" t="inlineStr">
        <is>
          <t>eng</t>
        </is>
      </c>
      <c r="P266" t="inlineStr">
        <is>
          <t>nyu</t>
        </is>
      </c>
      <c r="R266" t="inlineStr">
        <is>
          <t xml:space="preserve">HT </t>
        </is>
      </c>
      <c r="S266" t="n">
        <v>1</v>
      </c>
      <c r="T266" t="n">
        <v>1</v>
      </c>
      <c r="U266" t="inlineStr">
        <is>
          <t>2001-11-01</t>
        </is>
      </c>
      <c r="V266" t="inlineStr">
        <is>
          <t>2001-11-01</t>
        </is>
      </c>
      <c r="W266" t="inlineStr">
        <is>
          <t>1990-02-02</t>
        </is>
      </c>
      <c r="X266" t="inlineStr">
        <is>
          <t>1990-02-02</t>
        </is>
      </c>
      <c r="Y266" t="n">
        <v>1240</v>
      </c>
      <c r="Z266" t="n">
        <v>1110</v>
      </c>
      <c r="AA266" t="n">
        <v>1303</v>
      </c>
      <c r="AB266" t="n">
        <v>4</v>
      </c>
      <c r="AC266" t="n">
        <v>6</v>
      </c>
      <c r="AD266" t="n">
        <v>42</v>
      </c>
      <c r="AE266" t="n">
        <v>48</v>
      </c>
      <c r="AF266" t="n">
        <v>17</v>
      </c>
      <c r="AG266" t="n">
        <v>21</v>
      </c>
      <c r="AH266" t="n">
        <v>7</v>
      </c>
      <c r="AI266" t="n">
        <v>8</v>
      </c>
      <c r="AJ266" t="n">
        <v>23</v>
      </c>
      <c r="AK266" t="n">
        <v>24</v>
      </c>
      <c r="AL266" t="n">
        <v>3</v>
      </c>
      <c r="AM266" t="n">
        <v>4</v>
      </c>
      <c r="AN266" t="n">
        <v>4</v>
      </c>
      <c r="AO266" t="n">
        <v>4</v>
      </c>
      <c r="AP266" t="inlineStr">
        <is>
          <t>No</t>
        </is>
      </c>
      <c r="AQ266" t="inlineStr">
        <is>
          <t>Yes</t>
        </is>
      </c>
      <c r="AR266">
        <f>HYPERLINK("http://catalog.hathitrust.org/Record/000778609","HathiTrust Record")</f>
        <v/>
      </c>
      <c r="AS266">
        <f>HYPERLINK("https://creighton-primo.hosted.exlibrisgroup.com/primo-explore/search?tab=default_tab&amp;search_scope=EVERYTHING&amp;vid=01CRU&amp;lang=en_US&amp;offset=0&amp;query=any,contains,991000157979702656","Catalog Record")</f>
        <v/>
      </c>
      <c r="AT266">
        <f>HYPERLINK("http://www.worldcat.org/oclc/9254508","WorldCat Record")</f>
        <v/>
      </c>
      <c r="AU266" t="inlineStr">
        <is>
          <t>4438262:eng</t>
        </is>
      </c>
      <c r="AV266" t="inlineStr">
        <is>
          <t>9254508</t>
        </is>
      </c>
      <c r="AW266" t="inlineStr">
        <is>
          <t>991000157979702656</t>
        </is>
      </c>
      <c r="AX266" t="inlineStr">
        <is>
          <t>991000157979702656</t>
        </is>
      </c>
      <c r="AY266" t="inlineStr">
        <is>
          <t>2259116030002656</t>
        </is>
      </c>
      <c r="AZ266" t="inlineStr">
        <is>
          <t>BOOK</t>
        </is>
      </c>
      <c r="BB266" t="inlineStr">
        <is>
          <t>9780688018917</t>
        </is>
      </c>
      <c r="BC266" t="inlineStr">
        <is>
          <t>32285000032259</t>
        </is>
      </c>
      <c r="BD266" t="inlineStr">
        <is>
          <t>893714372</t>
        </is>
      </c>
    </row>
    <row r="267">
      <c r="A267" t="inlineStr">
        <is>
          <t>No</t>
        </is>
      </c>
      <c r="B267" t="inlineStr">
        <is>
          <t>HT1581 .C371 1986</t>
        </is>
      </c>
      <c r="C267" t="inlineStr">
        <is>
          <t>0                      HT 1581000C  371         1986</t>
        </is>
      </c>
      <c r="D267" t="inlineStr">
        <is>
          <t>Culturas africanas : rebeldes con causa / Aída Cartagena Portalatin.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Cartagena Portalatín, Aída.</t>
        </is>
      </c>
      <c r="L267" t="inlineStr">
        <is>
          <t>Santo Domingo, República Dominicana : Taller, 1986.</t>
        </is>
      </c>
      <c r="M267" t="inlineStr">
        <is>
          <t>1986</t>
        </is>
      </c>
      <c r="N267" t="inlineStr">
        <is>
          <t>1a ed.</t>
        </is>
      </c>
      <c r="O267" t="inlineStr">
        <is>
          <t>spa</t>
        </is>
      </c>
      <c r="P267" t="inlineStr">
        <is>
          <t xml:space="preserve">dr </t>
        </is>
      </c>
      <c r="Q267" t="inlineStr">
        <is>
          <t>Colección Montesinos</t>
        </is>
      </c>
      <c r="R267" t="inlineStr">
        <is>
          <t xml:space="preserve">HT </t>
        </is>
      </c>
      <c r="S267" t="n">
        <v>0</v>
      </c>
      <c r="T267" t="n">
        <v>0</v>
      </c>
      <c r="U267" t="inlineStr">
        <is>
          <t>2010-12-13</t>
        </is>
      </c>
      <c r="V267" t="inlineStr">
        <is>
          <t>2010-12-13</t>
        </is>
      </c>
      <c r="W267" t="inlineStr">
        <is>
          <t>1998-06-18</t>
        </is>
      </c>
      <c r="X267" t="inlineStr">
        <is>
          <t>1998-06-18</t>
        </is>
      </c>
      <c r="Y267" t="n">
        <v>43</v>
      </c>
      <c r="Z267" t="n">
        <v>38</v>
      </c>
      <c r="AA267" t="n">
        <v>42</v>
      </c>
      <c r="AB267" t="n">
        <v>1</v>
      </c>
      <c r="AC267" t="n">
        <v>1</v>
      </c>
      <c r="AD267" t="n">
        <v>0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0</v>
      </c>
      <c r="AM267" t="n">
        <v>0</v>
      </c>
      <c r="AN267" t="n">
        <v>0</v>
      </c>
      <c r="AO267" t="n">
        <v>0</v>
      </c>
      <c r="AP267" t="inlineStr">
        <is>
          <t>No</t>
        </is>
      </c>
      <c r="AQ267" t="inlineStr">
        <is>
          <t>Yes</t>
        </is>
      </c>
      <c r="AR267">
        <f>HYPERLINK("http://catalog.hathitrust.org/Record/101087551","HathiTrust Record")</f>
        <v/>
      </c>
      <c r="AS267">
        <f>HYPERLINK("https://creighton-primo.hosted.exlibrisgroup.com/primo-explore/search?tab=default_tab&amp;search_scope=EVERYTHING&amp;vid=01CRU&amp;lang=en_US&amp;offset=0&amp;query=any,contains,991001077089702656","Catalog Record")</f>
        <v/>
      </c>
      <c r="AT267">
        <f>HYPERLINK("http://www.worldcat.org/oclc/16072135","WorldCat Record")</f>
        <v/>
      </c>
      <c r="AU267" t="inlineStr">
        <is>
          <t>372980036:spa</t>
        </is>
      </c>
      <c r="AV267" t="inlineStr">
        <is>
          <t>16072135</t>
        </is>
      </c>
      <c r="AW267" t="inlineStr">
        <is>
          <t>991001077089702656</t>
        </is>
      </c>
      <c r="AX267" t="inlineStr">
        <is>
          <t>991001077089702656</t>
        </is>
      </c>
      <c r="AY267" t="inlineStr">
        <is>
          <t>2254716670002656</t>
        </is>
      </c>
      <c r="AZ267" t="inlineStr">
        <is>
          <t>BOOK</t>
        </is>
      </c>
      <c r="BC267" t="inlineStr">
        <is>
          <t>32285003422176</t>
        </is>
      </c>
      <c r="BD267" t="inlineStr">
        <is>
          <t>893878597</t>
        </is>
      </c>
    </row>
    <row r="268">
      <c r="A268" t="inlineStr">
        <is>
          <t>No</t>
        </is>
      </c>
      <c r="B268" t="inlineStr">
        <is>
          <t>HT1581 .D8 2002</t>
        </is>
      </c>
      <c r="C268" t="inlineStr">
        <is>
          <t>0                      HT 1581000D  8           2002</t>
        </is>
      </c>
      <c r="D268" t="inlineStr">
        <is>
          <t>The Negro / W.E.B. Du Bois.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Yes</t>
        </is>
      </c>
      <c r="J268" t="inlineStr">
        <is>
          <t>0</t>
        </is>
      </c>
      <c r="K268" t="inlineStr">
        <is>
          <t>Du Bois, W. E. B. (William Edward Burghardt), 1868-1963.</t>
        </is>
      </c>
      <c r="L268" t="inlineStr">
        <is>
          <t>Amherst, N.Y. : Humanity Books, c2002.</t>
        </is>
      </c>
      <c r="M268" t="inlineStr">
        <is>
          <t>2002</t>
        </is>
      </c>
      <c r="O268" t="inlineStr">
        <is>
          <t>eng</t>
        </is>
      </c>
      <c r="P268" t="inlineStr">
        <is>
          <t>nyu</t>
        </is>
      </c>
      <c r="Q268" t="inlineStr">
        <is>
          <t>Classics in Black studies</t>
        </is>
      </c>
      <c r="R268" t="inlineStr">
        <is>
          <t xml:space="preserve">HT </t>
        </is>
      </c>
      <c r="S268" t="n">
        <v>2</v>
      </c>
      <c r="T268" t="n">
        <v>2</v>
      </c>
      <c r="U268" t="inlineStr">
        <is>
          <t>2005-06-22</t>
        </is>
      </c>
      <c r="V268" t="inlineStr">
        <is>
          <t>2005-06-22</t>
        </is>
      </c>
      <c r="W268" t="inlineStr">
        <is>
          <t>2004-11-22</t>
        </is>
      </c>
      <c r="X268" t="inlineStr">
        <is>
          <t>2004-11-22</t>
        </is>
      </c>
      <c r="Y268" t="n">
        <v>160</v>
      </c>
      <c r="Z268" t="n">
        <v>152</v>
      </c>
      <c r="AA268" t="n">
        <v>1638</v>
      </c>
      <c r="AB268" t="n">
        <v>1</v>
      </c>
      <c r="AC268" t="n">
        <v>8</v>
      </c>
      <c r="AD268" t="n">
        <v>5</v>
      </c>
      <c r="AE268" t="n">
        <v>55</v>
      </c>
      <c r="AF268" t="n">
        <v>3</v>
      </c>
      <c r="AG268" t="n">
        <v>26</v>
      </c>
      <c r="AH268" t="n">
        <v>2</v>
      </c>
      <c r="AI268" t="n">
        <v>11</v>
      </c>
      <c r="AJ268" t="n">
        <v>2</v>
      </c>
      <c r="AK268" t="n">
        <v>25</v>
      </c>
      <c r="AL268" t="n">
        <v>0</v>
      </c>
      <c r="AM268" t="n">
        <v>6</v>
      </c>
      <c r="AN268" t="n">
        <v>0</v>
      </c>
      <c r="AO268" t="n">
        <v>0</v>
      </c>
      <c r="AP268" t="inlineStr">
        <is>
          <t>No</t>
        </is>
      </c>
      <c r="AQ268" t="inlineStr">
        <is>
          <t>Yes</t>
        </is>
      </c>
      <c r="AR268">
        <f>HYPERLINK("http://catalog.hathitrust.org/Record/004312978","HathiTrust Record")</f>
        <v/>
      </c>
      <c r="AS268">
        <f>HYPERLINK("https://creighton-primo.hosted.exlibrisgroup.com/primo-explore/search?tab=default_tab&amp;search_scope=EVERYTHING&amp;vid=01CRU&amp;lang=en_US&amp;offset=0&amp;query=any,contains,991004410419702656","Catalog Record")</f>
        <v/>
      </c>
      <c r="AT268">
        <f>HYPERLINK("http://www.worldcat.org/oclc/47797674","WorldCat Record")</f>
        <v/>
      </c>
      <c r="AU268" t="inlineStr">
        <is>
          <t>414725:eng</t>
        </is>
      </c>
      <c r="AV268" t="inlineStr">
        <is>
          <t>47797674</t>
        </is>
      </c>
      <c r="AW268" t="inlineStr">
        <is>
          <t>991004410419702656</t>
        </is>
      </c>
      <c r="AX268" t="inlineStr">
        <is>
          <t>991004410419702656</t>
        </is>
      </c>
      <c r="AY268" t="inlineStr">
        <is>
          <t>2264300160002656</t>
        </is>
      </c>
      <c r="AZ268" t="inlineStr">
        <is>
          <t>BOOK</t>
        </is>
      </c>
      <c r="BB268" t="inlineStr">
        <is>
          <t>9781573929608</t>
        </is>
      </c>
      <c r="BC268" t="inlineStr">
        <is>
          <t>32285005012504</t>
        </is>
      </c>
      <c r="BD268" t="inlineStr">
        <is>
          <t>893411504</t>
        </is>
      </c>
    </row>
    <row r="269">
      <c r="A269" t="inlineStr">
        <is>
          <t>No</t>
        </is>
      </c>
      <c r="B269" t="inlineStr">
        <is>
          <t>HT1581 .H4 1958</t>
        </is>
      </c>
      <c r="C269" t="inlineStr">
        <is>
          <t>0                      HT 1581000H  4           1958</t>
        </is>
      </c>
      <c r="D269" t="inlineStr">
        <is>
          <t>The myth of the Negro past / Melville J. Herskovits.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Herskovits, Melville J. (Melville Jean), 1895-1963.</t>
        </is>
      </c>
      <c r="L269" t="inlineStr">
        <is>
          <t>Boston : Beacon Press [1958]</t>
        </is>
      </c>
      <c r="M269" t="inlineStr">
        <is>
          <t>1958</t>
        </is>
      </c>
      <c r="O269" t="inlineStr">
        <is>
          <t>eng</t>
        </is>
      </c>
      <c r="P269" t="inlineStr">
        <is>
          <t>___</t>
        </is>
      </c>
      <c r="Q269" t="inlineStr">
        <is>
          <t>Beacon paperback no.69</t>
        </is>
      </c>
      <c r="R269" t="inlineStr">
        <is>
          <t xml:space="preserve">HT </t>
        </is>
      </c>
      <c r="S269" t="n">
        <v>9</v>
      </c>
      <c r="T269" t="n">
        <v>9</v>
      </c>
      <c r="U269" t="inlineStr">
        <is>
          <t>1996-09-22</t>
        </is>
      </c>
      <c r="V269" t="inlineStr">
        <is>
          <t>1996-09-22</t>
        </is>
      </c>
      <c r="W269" t="inlineStr">
        <is>
          <t>1990-07-20</t>
        </is>
      </c>
      <c r="X269" t="inlineStr">
        <is>
          <t>1990-07-20</t>
        </is>
      </c>
      <c r="Y269" t="n">
        <v>1047</v>
      </c>
      <c r="Z269" t="n">
        <v>954</v>
      </c>
      <c r="AA269" t="n">
        <v>1508</v>
      </c>
      <c r="AB269" t="n">
        <v>5</v>
      </c>
      <c r="AC269" t="n">
        <v>9</v>
      </c>
      <c r="AD269" t="n">
        <v>35</v>
      </c>
      <c r="AE269" t="n">
        <v>55</v>
      </c>
      <c r="AF269" t="n">
        <v>15</v>
      </c>
      <c r="AG269" t="n">
        <v>26</v>
      </c>
      <c r="AH269" t="n">
        <v>7</v>
      </c>
      <c r="AI269" t="n">
        <v>11</v>
      </c>
      <c r="AJ269" t="n">
        <v>16</v>
      </c>
      <c r="AK269" t="n">
        <v>23</v>
      </c>
      <c r="AL269" t="n">
        <v>4</v>
      </c>
      <c r="AM269" t="n">
        <v>8</v>
      </c>
      <c r="AN269" t="n">
        <v>1</v>
      </c>
      <c r="AO269" t="n">
        <v>1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HYPERLINK("http://catalog.hathitrust.org/Record/001131085","HathiTrust Record")</f>
        <v/>
      </c>
      <c r="AS269">
        <f>HYPERLINK("https://creighton-primo.hosted.exlibrisgroup.com/primo-explore/search?tab=default_tab&amp;search_scope=EVERYTHING&amp;vid=01CRU&amp;lang=en_US&amp;offset=0&amp;query=any,contains,991002062809702656","Catalog Record")</f>
        <v/>
      </c>
      <c r="AT269">
        <f>HYPERLINK("http://www.worldcat.org/oclc/263192","WorldCat Record")</f>
        <v/>
      </c>
      <c r="AU269" t="inlineStr">
        <is>
          <t>463434:eng</t>
        </is>
      </c>
      <c r="AV269" t="inlineStr">
        <is>
          <t>263192</t>
        </is>
      </c>
      <c r="AW269" t="inlineStr">
        <is>
          <t>991002062809702656</t>
        </is>
      </c>
      <c r="AX269" t="inlineStr">
        <is>
          <t>991002062809702656</t>
        </is>
      </c>
      <c r="AY269" t="inlineStr">
        <is>
          <t>2268776930002656</t>
        </is>
      </c>
      <c r="AZ269" t="inlineStr">
        <is>
          <t>BOOK</t>
        </is>
      </c>
      <c r="BC269" t="inlineStr">
        <is>
          <t>32285000246172</t>
        </is>
      </c>
      <c r="BD269" t="inlineStr">
        <is>
          <t>893347060</t>
        </is>
      </c>
    </row>
    <row r="270">
      <c r="A270" t="inlineStr">
        <is>
          <t>No</t>
        </is>
      </c>
      <c r="B270" t="inlineStr">
        <is>
          <t>HT1581 .M35 1993</t>
        </is>
      </c>
      <c r="C270" t="inlineStr">
        <is>
          <t>0                      HT 1581000M  35          1993</t>
        </is>
      </c>
      <c r="D270" t="inlineStr">
        <is>
          <t>Sociology and the race problem : the failure of a perspective / James B. McKee.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McKee, James B., 1919-</t>
        </is>
      </c>
      <c r="L270" t="inlineStr">
        <is>
          <t>Urbana, Ill. : University of Illinois Press, c1993.</t>
        </is>
      </c>
      <c r="M270" t="inlineStr">
        <is>
          <t>1993</t>
        </is>
      </c>
      <c r="O270" t="inlineStr">
        <is>
          <t>eng</t>
        </is>
      </c>
      <c r="P270" t="inlineStr">
        <is>
          <t>ilu</t>
        </is>
      </c>
      <c r="R270" t="inlineStr">
        <is>
          <t xml:space="preserve">HT </t>
        </is>
      </c>
      <c r="S270" t="n">
        <v>3</v>
      </c>
      <c r="T270" t="n">
        <v>3</v>
      </c>
      <c r="U270" t="inlineStr">
        <is>
          <t>2004-10-08</t>
        </is>
      </c>
      <c r="V270" t="inlineStr">
        <is>
          <t>2004-10-08</t>
        </is>
      </c>
      <c r="W270" t="inlineStr">
        <is>
          <t>1994-05-09</t>
        </is>
      </c>
      <c r="X270" t="inlineStr">
        <is>
          <t>1994-05-09</t>
        </is>
      </c>
      <c r="Y270" t="n">
        <v>524</v>
      </c>
      <c r="Z270" t="n">
        <v>464</v>
      </c>
      <c r="AA270" t="n">
        <v>467</v>
      </c>
      <c r="AB270" t="n">
        <v>3</v>
      </c>
      <c r="AC270" t="n">
        <v>3</v>
      </c>
      <c r="AD270" t="n">
        <v>23</v>
      </c>
      <c r="AE270" t="n">
        <v>23</v>
      </c>
      <c r="AF270" t="n">
        <v>8</v>
      </c>
      <c r="AG270" t="n">
        <v>8</v>
      </c>
      <c r="AH270" t="n">
        <v>4</v>
      </c>
      <c r="AI270" t="n">
        <v>4</v>
      </c>
      <c r="AJ270" t="n">
        <v>15</v>
      </c>
      <c r="AK270" t="n">
        <v>15</v>
      </c>
      <c r="AL270" t="n">
        <v>2</v>
      </c>
      <c r="AM270" t="n">
        <v>2</v>
      </c>
      <c r="AN270" t="n">
        <v>0</v>
      </c>
      <c r="AO270" t="n">
        <v>0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HYPERLINK("http://catalog.hathitrust.org/Record/002718029","HathiTrust Record")</f>
        <v/>
      </c>
      <c r="AS270">
        <f>HYPERLINK("https://creighton-primo.hosted.exlibrisgroup.com/primo-explore/search?tab=default_tab&amp;search_scope=EVERYTHING&amp;vid=01CRU&amp;lang=en_US&amp;offset=0&amp;query=any,contains,991002117359702656","Catalog Record")</f>
        <v/>
      </c>
      <c r="AT270">
        <f>HYPERLINK("http://www.worldcat.org/oclc/27144524","WorldCat Record")</f>
        <v/>
      </c>
      <c r="AU270" t="inlineStr">
        <is>
          <t>329076:eng</t>
        </is>
      </c>
      <c r="AV270" t="inlineStr">
        <is>
          <t>27144524</t>
        </is>
      </c>
      <c r="AW270" t="inlineStr">
        <is>
          <t>991002117359702656</t>
        </is>
      </c>
      <c r="AX270" t="inlineStr">
        <is>
          <t>991002117359702656</t>
        </is>
      </c>
      <c r="AY270" t="inlineStr">
        <is>
          <t>2254780230002656</t>
        </is>
      </c>
      <c r="AZ270" t="inlineStr">
        <is>
          <t>BOOK</t>
        </is>
      </c>
      <c r="BB270" t="inlineStr">
        <is>
          <t>9780252020223</t>
        </is>
      </c>
      <c r="BC270" t="inlineStr">
        <is>
          <t>32285001879658</t>
        </is>
      </c>
      <c r="BD270" t="inlineStr">
        <is>
          <t>893316403</t>
        </is>
      </c>
    </row>
    <row r="271">
      <c r="A271" t="inlineStr">
        <is>
          <t>No</t>
        </is>
      </c>
      <c r="B271" t="inlineStr">
        <is>
          <t>HT1581 .Q47 2002</t>
        </is>
      </c>
      <c r="C271" t="inlineStr">
        <is>
          <t>0                      HT 1581000Q  47          2002</t>
        </is>
      </c>
      <c r="D271" t="inlineStr">
        <is>
          <t>The quest for community and identity : critical essays in Africana social philosophy / edited by Robert E. Birt.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L271" t="inlineStr">
        <is>
          <t>Lanham, Md. : Rowman &amp; Littlefield Publishers, c2002.</t>
        </is>
      </c>
      <c r="M271" t="inlineStr">
        <is>
          <t>2002</t>
        </is>
      </c>
      <c r="O271" t="inlineStr">
        <is>
          <t>eng</t>
        </is>
      </c>
      <c r="P271" t="inlineStr">
        <is>
          <t>mdu</t>
        </is>
      </c>
      <c r="Q271" t="inlineStr">
        <is>
          <t>New critical theory</t>
        </is>
      </c>
      <c r="R271" t="inlineStr">
        <is>
          <t xml:space="preserve">HT </t>
        </is>
      </c>
      <c r="S271" t="n">
        <v>4</v>
      </c>
      <c r="T271" t="n">
        <v>4</v>
      </c>
      <c r="U271" t="inlineStr">
        <is>
          <t>2005-04-16</t>
        </is>
      </c>
      <c r="V271" t="inlineStr">
        <is>
          <t>2005-04-16</t>
        </is>
      </c>
      <c r="W271" t="inlineStr">
        <is>
          <t>2002-02-14</t>
        </is>
      </c>
      <c r="X271" t="inlineStr">
        <is>
          <t>2002-02-14</t>
        </is>
      </c>
      <c r="Y271" t="n">
        <v>306</v>
      </c>
      <c r="Z271" t="n">
        <v>262</v>
      </c>
      <c r="AA271" t="n">
        <v>269</v>
      </c>
      <c r="AB271" t="n">
        <v>2</v>
      </c>
      <c r="AC271" t="n">
        <v>2</v>
      </c>
      <c r="AD271" t="n">
        <v>18</v>
      </c>
      <c r="AE271" t="n">
        <v>19</v>
      </c>
      <c r="AF271" t="n">
        <v>6</v>
      </c>
      <c r="AG271" t="n">
        <v>6</v>
      </c>
      <c r="AH271" t="n">
        <v>8</v>
      </c>
      <c r="AI271" t="n">
        <v>9</v>
      </c>
      <c r="AJ271" t="n">
        <v>10</v>
      </c>
      <c r="AK271" t="n">
        <v>10</v>
      </c>
      <c r="AL271" t="n">
        <v>1</v>
      </c>
      <c r="AM271" t="n">
        <v>1</v>
      </c>
      <c r="AN271" t="n">
        <v>0</v>
      </c>
      <c r="AO271" t="n">
        <v>0</v>
      </c>
      <c r="AP271" t="inlineStr">
        <is>
          <t>No</t>
        </is>
      </c>
      <c r="AQ271" t="inlineStr">
        <is>
          <t>No</t>
        </is>
      </c>
      <c r="AS271">
        <f>HYPERLINK("https://creighton-primo.hosted.exlibrisgroup.com/primo-explore/search?tab=default_tab&amp;search_scope=EVERYTHING&amp;vid=01CRU&amp;lang=en_US&amp;offset=0&amp;query=any,contains,991003717799702656","Catalog Record")</f>
        <v/>
      </c>
      <c r="AT271">
        <f>HYPERLINK("http://www.worldcat.org/oclc/47136727","WorldCat Record")</f>
        <v/>
      </c>
      <c r="AU271" t="inlineStr">
        <is>
          <t>837008573:eng</t>
        </is>
      </c>
      <c r="AV271" t="inlineStr">
        <is>
          <t>47136727</t>
        </is>
      </c>
      <c r="AW271" t="inlineStr">
        <is>
          <t>991003717799702656</t>
        </is>
      </c>
      <c r="AX271" t="inlineStr">
        <is>
          <t>991003717799702656</t>
        </is>
      </c>
      <c r="AY271" t="inlineStr">
        <is>
          <t>2267511030002656</t>
        </is>
      </c>
      <c r="AZ271" t="inlineStr">
        <is>
          <t>BOOK</t>
        </is>
      </c>
      <c r="BB271" t="inlineStr">
        <is>
          <t>9780742512917</t>
        </is>
      </c>
      <c r="BC271" t="inlineStr">
        <is>
          <t>32285004454541</t>
        </is>
      </c>
      <c r="BD271" t="inlineStr">
        <is>
          <t>893499616</t>
        </is>
      </c>
    </row>
    <row r="272">
      <c r="A272" t="inlineStr">
        <is>
          <t>No</t>
        </is>
      </c>
      <c r="B272" t="inlineStr">
        <is>
          <t>HT1581 .T73 2008</t>
        </is>
      </c>
      <c r="C272" t="inlineStr">
        <is>
          <t>0                      HT 1581000T  73          2008</t>
        </is>
      </c>
      <c r="D272" t="inlineStr">
        <is>
          <t>Transnational blackness : navigating the global color line / edited by Manning Marable and Vanessa Agard-Jones.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L272" t="inlineStr">
        <is>
          <t>New York, NY : Palgrave Macmillan, 2008.</t>
        </is>
      </c>
      <c r="M272" t="inlineStr">
        <is>
          <t>2008</t>
        </is>
      </c>
      <c r="N272" t="inlineStr">
        <is>
          <t>1st ed.</t>
        </is>
      </c>
      <c r="O272" t="inlineStr">
        <is>
          <t>eng</t>
        </is>
      </c>
      <c r="P272" t="inlineStr">
        <is>
          <t>nyu</t>
        </is>
      </c>
      <c r="Q272" t="inlineStr">
        <is>
          <t>The critical Black studies series</t>
        </is>
      </c>
      <c r="R272" t="inlineStr">
        <is>
          <t xml:space="preserve">HT </t>
        </is>
      </c>
      <c r="S272" t="n">
        <v>1</v>
      </c>
      <c r="T272" t="n">
        <v>1</v>
      </c>
      <c r="U272" t="inlineStr">
        <is>
          <t>2009-02-04</t>
        </is>
      </c>
      <c r="V272" t="inlineStr">
        <is>
          <t>2009-02-04</t>
        </is>
      </c>
      <c r="W272" t="inlineStr">
        <is>
          <t>2009-02-04</t>
        </is>
      </c>
      <c r="X272" t="inlineStr">
        <is>
          <t>2009-02-04</t>
        </is>
      </c>
      <c r="Y272" t="n">
        <v>269</v>
      </c>
      <c r="Z272" t="n">
        <v>211</v>
      </c>
      <c r="AA272" t="n">
        <v>244</v>
      </c>
      <c r="AB272" t="n">
        <v>1</v>
      </c>
      <c r="AC272" t="n">
        <v>2</v>
      </c>
      <c r="AD272" t="n">
        <v>11</v>
      </c>
      <c r="AE272" t="n">
        <v>13</v>
      </c>
      <c r="AF272" t="n">
        <v>2</v>
      </c>
      <c r="AG272" t="n">
        <v>3</v>
      </c>
      <c r="AH272" t="n">
        <v>5</v>
      </c>
      <c r="AI272" t="n">
        <v>5</v>
      </c>
      <c r="AJ272" t="n">
        <v>7</v>
      </c>
      <c r="AK272" t="n">
        <v>8</v>
      </c>
      <c r="AL272" t="n">
        <v>0</v>
      </c>
      <c r="AM272" t="n">
        <v>1</v>
      </c>
      <c r="AN272" t="n">
        <v>0</v>
      </c>
      <c r="AO272" t="n">
        <v>0</v>
      </c>
      <c r="AP272" t="inlineStr">
        <is>
          <t>No</t>
        </is>
      </c>
      <c r="AQ272" t="inlineStr">
        <is>
          <t>No</t>
        </is>
      </c>
      <c r="AS272">
        <f>HYPERLINK("https://creighton-primo.hosted.exlibrisgroup.com/primo-explore/search?tab=default_tab&amp;search_scope=EVERYTHING&amp;vid=01CRU&amp;lang=en_US&amp;offset=0&amp;query=any,contains,991005291079702656","Catalog Record")</f>
        <v/>
      </c>
      <c r="AT272">
        <f>HYPERLINK("http://www.worldcat.org/oclc/181601062","WorldCat Record")</f>
        <v/>
      </c>
      <c r="AU272" t="inlineStr">
        <is>
          <t>864895179:eng</t>
        </is>
      </c>
      <c r="AV272" t="inlineStr">
        <is>
          <t>181601062</t>
        </is>
      </c>
      <c r="AW272" t="inlineStr">
        <is>
          <t>991005291079702656</t>
        </is>
      </c>
      <c r="AX272" t="inlineStr">
        <is>
          <t>991005291079702656</t>
        </is>
      </c>
      <c r="AY272" t="inlineStr">
        <is>
          <t>2259991630002656</t>
        </is>
      </c>
      <c r="AZ272" t="inlineStr">
        <is>
          <t>BOOK</t>
        </is>
      </c>
      <c r="BB272" t="inlineStr">
        <is>
          <t>9780230602670</t>
        </is>
      </c>
      <c r="BC272" t="inlineStr">
        <is>
          <t>32285005502496</t>
        </is>
      </c>
      <c r="BD272" t="inlineStr">
        <is>
          <t>893527244</t>
        </is>
      </c>
    </row>
    <row r="273">
      <c r="A273" t="inlineStr">
        <is>
          <t>No</t>
        </is>
      </c>
      <c r="B273" t="inlineStr">
        <is>
          <t>HT161 .F57</t>
        </is>
      </c>
      <c r="C273" t="inlineStr">
        <is>
          <t>0                      HT 0161000F  57</t>
        </is>
      </c>
      <c r="D273" t="inlineStr">
        <is>
          <t>Urban utopias in the twentieth century : Ebenezer Howard, Frank Lloyd Wright, and Le Corbusier / Robert Fishman.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Fishman, Robert, 1946-</t>
        </is>
      </c>
      <c r="L273" t="inlineStr">
        <is>
          <t>New York : Basic Books, c1977.</t>
        </is>
      </c>
      <c r="M273" t="inlineStr">
        <is>
          <t>1977</t>
        </is>
      </c>
      <c r="O273" t="inlineStr">
        <is>
          <t>eng</t>
        </is>
      </c>
      <c r="P273" t="inlineStr">
        <is>
          <t>nyu</t>
        </is>
      </c>
      <c r="R273" t="inlineStr">
        <is>
          <t xml:space="preserve">HT </t>
        </is>
      </c>
      <c r="S273" t="n">
        <v>1</v>
      </c>
      <c r="T273" t="n">
        <v>1</v>
      </c>
      <c r="U273" t="inlineStr">
        <is>
          <t>2000-11-27</t>
        </is>
      </c>
      <c r="V273" t="inlineStr">
        <is>
          <t>2000-11-27</t>
        </is>
      </c>
      <c r="W273" t="inlineStr">
        <is>
          <t>1997-08-18</t>
        </is>
      </c>
      <c r="X273" t="inlineStr">
        <is>
          <t>1997-08-18</t>
        </is>
      </c>
      <c r="Y273" t="n">
        <v>1059</v>
      </c>
      <c r="Z273" t="n">
        <v>841</v>
      </c>
      <c r="AA273" t="n">
        <v>934</v>
      </c>
      <c r="AB273" t="n">
        <v>2</v>
      </c>
      <c r="AC273" t="n">
        <v>3</v>
      </c>
      <c r="AD273" t="n">
        <v>24</v>
      </c>
      <c r="AE273" t="n">
        <v>30</v>
      </c>
      <c r="AF273" t="n">
        <v>8</v>
      </c>
      <c r="AG273" t="n">
        <v>12</v>
      </c>
      <c r="AH273" t="n">
        <v>5</v>
      </c>
      <c r="AI273" t="n">
        <v>6</v>
      </c>
      <c r="AJ273" t="n">
        <v>16</v>
      </c>
      <c r="AK273" t="n">
        <v>17</v>
      </c>
      <c r="AL273" t="n">
        <v>1</v>
      </c>
      <c r="AM273" t="n">
        <v>2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S273">
        <f>HYPERLINK("https://creighton-primo.hosted.exlibrisgroup.com/primo-explore/search?tab=default_tab&amp;search_scope=EVERYTHING&amp;vid=01CRU&amp;lang=en_US&amp;offset=0&amp;query=any,contains,991004328429702656","Catalog Record")</f>
        <v/>
      </c>
      <c r="AT273">
        <f>HYPERLINK("http://www.worldcat.org/oclc/3051581","WorldCat Record")</f>
        <v/>
      </c>
      <c r="AU273" t="inlineStr">
        <is>
          <t>364207812:eng</t>
        </is>
      </c>
      <c r="AV273" t="inlineStr">
        <is>
          <t>3051581</t>
        </is>
      </c>
      <c r="AW273" t="inlineStr">
        <is>
          <t>991004328429702656</t>
        </is>
      </c>
      <c r="AX273" t="inlineStr">
        <is>
          <t>991004328429702656</t>
        </is>
      </c>
      <c r="AY273" t="inlineStr">
        <is>
          <t>2265071020002656</t>
        </is>
      </c>
      <c r="AZ273" t="inlineStr">
        <is>
          <t>BOOK</t>
        </is>
      </c>
      <c r="BB273" t="inlineStr">
        <is>
          <t>9780465089338</t>
        </is>
      </c>
      <c r="BC273" t="inlineStr">
        <is>
          <t>32285003146783</t>
        </is>
      </c>
      <c r="BD273" t="inlineStr">
        <is>
          <t>893525957</t>
        </is>
      </c>
    </row>
    <row r="274">
      <c r="A274" t="inlineStr">
        <is>
          <t>No</t>
        </is>
      </c>
      <c r="B274" t="inlineStr">
        <is>
          <t>HT164.U6 W55 1989</t>
        </is>
      </c>
      <c r="C274" t="inlineStr">
        <is>
          <t>0                      HT 0164000U  6                  W  55          1989</t>
        </is>
      </c>
      <c r="D274" t="inlineStr">
        <is>
          <t>The City Beautiful movement / William H. Wilson.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Wilson, William H. (William Henry), 1935-</t>
        </is>
      </c>
      <c r="L274" t="inlineStr">
        <is>
          <t>Baltimore : Johns Hopkins University Press, c1989.</t>
        </is>
      </c>
      <c r="M274" t="inlineStr">
        <is>
          <t>1989</t>
        </is>
      </c>
      <c r="O274" t="inlineStr">
        <is>
          <t>eng</t>
        </is>
      </c>
      <c r="P274" t="inlineStr">
        <is>
          <t>mdu</t>
        </is>
      </c>
      <c r="Q274" t="inlineStr">
        <is>
          <t>Creating the North American landscape</t>
        </is>
      </c>
      <c r="R274" t="inlineStr">
        <is>
          <t xml:space="preserve">HT </t>
        </is>
      </c>
      <c r="S274" t="n">
        <v>5</v>
      </c>
      <c r="T274" t="n">
        <v>5</v>
      </c>
      <c r="U274" t="inlineStr">
        <is>
          <t>2000-01-30</t>
        </is>
      </c>
      <c r="V274" t="inlineStr">
        <is>
          <t>2000-01-30</t>
        </is>
      </c>
      <c r="W274" t="inlineStr">
        <is>
          <t>1991-08-06</t>
        </is>
      </c>
      <c r="X274" t="inlineStr">
        <is>
          <t>1991-08-06</t>
        </is>
      </c>
      <c r="Y274" t="n">
        <v>670</v>
      </c>
      <c r="Z274" t="n">
        <v>549</v>
      </c>
      <c r="AA274" t="n">
        <v>606</v>
      </c>
      <c r="AB274" t="n">
        <v>3</v>
      </c>
      <c r="AC274" t="n">
        <v>3</v>
      </c>
      <c r="AD274" t="n">
        <v>26</v>
      </c>
      <c r="AE274" t="n">
        <v>27</v>
      </c>
      <c r="AF274" t="n">
        <v>9</v>
      </c>
      <c r="AG274" t="n">
        <v>9</v>
      </c>
      <c r="AH274" t="n">
        <v>8</v>
      </c>
      <c r="AI274" t="n">
        <v>8</v>
      </c>
      <c r="AJ274" t="n">
        <v>16</v>
      </c>
      <c r="AK274" t="n">
        <v>17</v>
      </c>
      <c r="AL274" t="n">
        <v>2</v>
      </c>
      <c r="AM274" t="n">
        <v>2</v>
      </c>
      <c r="AN274" t="n">
        <v>0</v>
      </c>
      <c r="AO274" t="n">
        <v>0</v>
      </c>
      <c r="AP274" t="inlineStr">
        <is>
          <t>No</t>
        </is>
      </c>
      <c r="AQ274" t="inlineStr">
        <is>
          <t>Yes</t>
        </is>
      </c>
      <c r="AR274">
        <f>HYPERLINK("http://catalog.hathitrust.org/Record/001818310","HathiTrust Record")</f>
        <v/>
      </c>
      <c r="AS274">
        <f>HYPERLINK("https://creighton-primo.hosted.exlibrisgroup.com/primo-explore/search?tab=default_tab&amp;search_scope=EVERYTHING&amp;vid=01CRU&amp;lang=en_US&amp;offset=0&amp;query=any,contains,991001356799702656","Catalog Record")</f>
        <v/>
      </c>
      <c r="AT274">
        <f>HYPERLINK("http://www.worldcat.org/oclc/18496470","WorldCat Record")</f>
        <v/>
      </c>
      <c r="AU274" t="inlineStr">
        <is>
          <t>18124801:eng</t>
        </is>
      </c>
      <c r="AV274" t="inlineStr">
        <is>
          <t>18496470</t>
        </is>
      </c>
      <c r="AW274" t="inlineStr">
        <is>
          <t>991001356799702656</t>
        </is>
      </c>
      <c r="AX274" t="inlineStr">
        <is>
          <t>991001356799702656</t>
        </is>
      </c>
      <c r="AY274" t="inlineStr">
        <is>
          <t>2271091720002656</t>
        </is>
      </c>
      <c r="AZ274" t="inlineStr">
        <is>
          <t>BOOK</t>
        </is>
      </c>
      <c r="BB274" t="inlineStr">
        <is>
          <t>9780801837586</t>
        </is>
      </c>
      <c r="BC274" t="inlineStr">
        <is>
          <t>32285000664739</t>
        </is>
      </c>
      <c r="BD274" t="inlineStr">
        <is>
          <t>893690552</t>
        </is>
      </c>
    </row>
    <row r="275">
      <c r="A275" t="inlineStr">
        <is>
          <t>No</t>
        </is>
      </c>
      <c r="B275" t="inlineStr">
        <is>
          <t>HT165.5 .U75 2000</t>
        </is>
      </c>
      <c r="C275" t="inlineStr">
        <is>
          <t>0                      HT 0165500U  75          2000</t>
        </is>
      </c>
      <c r="D275" t="inlineStr">
        <is>
          <t>Urban planning in a multicultural society / edited by Michael A. Burayidi.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L275" t="inlineStr">
        <is>
          <t>Westport, Conn. : Praeger, 2000.</t>
        </is>
      </c>
      <c r="M275" t="inlineStr">
        <is>
          <t>2000</t>
        </is>
      </c>
      <c r="O275" t="inlineStr">
        <is>
          <t>eng</t>
        </is>
      </c>
      <c r="P275" t="inlineStr">
        <is>
          <t>ctu</t>
        </is>
      </c>
      <c r="R275" t="inlineStr">
        <is>
          <t xml:space="preserve">HT </t>
        </is>
      </c>
      <c r="S275" t="n">
        <v>3</v>
      </c>
      <c r="T275" t="n">
        <v>3</v>
      </c>
      <c r="U275" t="inlineStr">
        <is>
          <t>2001-11-26</t>
        </is>
      </c>
      <c r="V275" t="inlineStr">
        <is>
          <t>2001-11-26</t>
        </is>
      </c>
      <c r="W275" t="inlineStr">
        <is>
          <t>2000-10-23</t>
        </is>
      </c>
      <c r="X275" t="inlineStr">
        <is>
          <t>2000-10-23</t>
        </is>
      </c>
      <c r="Y275" t="n">
        <v>362</v>
      </c>
      <c r="Z275" t="n">
        <v>290</v>
      </c>
      <c r="AA275" t="n">
        <v>308</v>
      </c>
      <c r="AB275" t="n">
        <v>3</v>
      </c>
      <c r="AC275" t="n">
        <v>3</v>
      </c>
      <c r="AD275" t="n">
        <v>16</v>
      </c>
      <c r="AE275" t="n">
        <v>16</v>
      </c>
      <c r="AF275" t="n">
        <v>3</v>
      </c>
      <c r="AG275" t="n">
        <v>3</v>
      </c>
      <c r="AH275" t="n">
        <v>6</v>
      </c>
      <c r="AI275" t="n">
        <v>6</v>
      </c>
      <c r="AJ275" t="n">
        <v>10</v>
      </c>
      <c r="AK275" t="n">
        <v>10</v>
      </c>
      <c r="AL275" t="n">
        <v>2</v>
      </c>
      <c r="AM275" t="n">
        <v>2</v>
      </c>
      <c r="AN275" t="n">
        <v>0</v>
      </c>
      <c r="AO275" t="n">
        <v>0</v>
      </c>
      <c r="AP275" t="inlineStr">
        <is>
          <t>No</t>
        </is>
      </c>
      <c r="AQ275" t="inlineStr">
        <is>
          <t>No</t>
        </is>
      </c>
      <c r="AS275">
        <f>HYPERLINK("https://creighton-primo.hosted.exlibrisgroup.com/primo-explore/search?tab=default_tab&amp;search_scope=EVERYTHING&amp;vid=01CRU&amp;lang=en_US&amp;offset=0&amp;query=any,contains,991003283089702656","Catalog Record")</f>
        <v/>
      </c>
      <c r="AT275">
        <f>HYPERLINK("http://www.worldcat.org/oclc/40681662","WorldCat Record")</f>
        <v/>
      </c>
      <c r="AU275" t="inlineStr">
        <is>
          <t>56363201:eng</t>
        </is>
      </c>
      <c r="AV275" t="inlineStr">
        <is>
          <t>40681662</t>
        </is>
      </c>
      <c r="AW275" t="inlineStr">
        <is>
          <t>991003283089702656</t>
        </is>
      </c>
      <c r="AX275" t="inlineStr">
        <is>
          <t>991003283089702656</t>
        </is>
      </c>
      <c r="AY275" t="inlineStr">
        <is>
          <t>2264628880002656</t>
        </is>
      </c>
      <c r="AZ275" t="inlineStr">
        <is>
          <t>BOOK</t>
        </is>
      </c>
      <c r="BB275" t="inlineStr">
        <is>
          <t>9780275961251</t>
        </is>
      </c>
      <c r="BC275" t="inlineStr">
        <is>
          <t>32285003769543</t>
        </is>
      </c>
      <c r="BD275" t="inlineStr">
        <is>
          <t>893604620</t>
        </is>
      </c>
    </row>
    <row r="276">
      <c r="A276" t="inlineStr">
        <is>
          <t>No</t>
        </is>
      </c>
      <c r="B276" t="inlineStr">
        <is>
          <t>HT165.52 .H62 1994</t>
        </is>
      </c>
      <c r="C276" t="inlineStr">
        <is>
          <t>0                      HT 0165520H  62          1994</t>
        </is>
      </c>
      <c r="D276" t="inlineStr">
        <is>
          <t>What planners do : power, politics, and persuasion / Charles Hoch.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Hoch, Charles, 1948-</t>
        </is>
      </c>
      <c r="L276" t="inlineStr">
        <is>
          <t>Chicago, Ill. : Planners Press : American Planning Association, c1994.</t>
        </is>
      </c>
      <c r="M276" t="inlineStr">
        <is>
          <t>1994</t>
        </is>
      </c>
      <c r="O276" t="inlineStr">
        <is>
          <t>eng</t>
        </is>
      </c>
      <c r="P276" t="inlineStr">
        <is>
          <t>ilu</t>
        </is>
      </c>
      <c r="R276" t="inlineStr">
        <is>
          <t xml:space="preserve">HT </t>
        </is>
      </c>
      <c r="S276" t="n">
        <v>3</v>
      </c>
      <c r="T276" t="n">
        <v>3</v>
      </c>
      <c r="U276" t="inlineStr">
        <is>
          <t>2001-11-26</t>
        </is>
      </c>
      <c r="V276" t="inlineStr">
        <is>
          <t>2001-11-26</t>
        </is>
      </c>
      <c r="W276" t="inlineStr">
        <is>
          <t>1996-12-06</t>
        </is>
      </c>
      <c r="X276" t="inlineStr">
        <is>
          <t>1996-12-06</t>
        </is>
      </c>
      <c r="Y276" t="n">
        <v>363</v>
      </c>
      <c r="Z276" t="n">
        <v>288</v>
      </c>
      <c r="AA276" t="n">
        <v>300</v>
      </c>
      <c r="AB276" t="n">
        <v>4</v>
      </c>
      <c r="AC276" t="n">
        <v>4</v>
      </c>
      <c r="AD276" t="n">
        <v>16</v>
      </c>
      <c r="AE276" t="n">
        <v>16</v>
      </c>
      <c r="AF276" t="n">
        <v>2</v>
      </c>
      <c r="AG276" t="n">
        <v>2</v>
      </c>
      <c r="AH276" t="n">
        <v>6</v>
      </c>
      <c r="AI276" t="n">
        <v>6</v>
      </c>
      <c r="AJ276" t="n">
        <v>6</v>
      </c>
      <c r="AK276" t="n">
        <v>6</v>
      </c>
      <c r="AL276" t="n">
        <v>3</v>
      </c>
      <c r="AM276" t="n">
        <v>3</v>
      </c>
      <c r="AN276" t="n">
        <v>2</v>
      </c>
      <c r="AO276" t="n">
        <v>2</v>
      </c>
      <c r="AP276" t="inlineStr">
        <is>
          <t>No</t>
        </is>
      </c>
      <c r="AQ276" t="inlineStr">
        <is>
          <t>Yes</t>
        </is>
      </c>
      <c r="AR276">
        <f>HYPERLINK("http://catalog.hathitrust.org/Record/002979253","HathiTrust Record")</f>
        <v/>
      </c>
      <c r="AS276">
        <f>HYPERLINK("https://creighton-primo.hosted.exlibrisgroup.com/primo-explore/search?tab=default_tab&amp;search_scope=EVERYTHING&amp;vid=01CRU&amp;lang=en_US&amp;offset=0&amp;query=any,contains,991002461479702656","Catalog Record")</f>
        <v/>
      </c>
      <c r="AT276">
        <f>HYPERLINK("http://www.worldcat.org/oclc/32078942","WorldCat Record")</f>
        <v/>
      </c>
      <c r="AU276" t="inlineStr">
        <is>
          <t>287269223:eng</t>
        </is>
      </c>
      <c r="AV276" t="inlineStr">
        <is>
          <t>32078942</t>
        </is>
      </c>
      <c r="AW276" t="inlineStr">
        <is>
          <t>991002461479702656</t>
        </is>
      </c>
      <c r="AX276" t="inlineStr">
        <is>
          <t>991002461479702656</t>
        </is>
      </c>
      <c r="AY276" t="inlineStr">
        <is>
          <t>2256609720002656</t>
        </is>
      </c>
      <c r="AZ276" t="inlineStr">
        <is>
          <t>BOOK</t>
        </is>
      </c>
      <c r="BB276" t="inlineStr">
        <is>
          <t>9780918286901</t>
        </is>
      </c>
      <c r="BC276" t="inlineStr">
        <is>
          <t>32285002388725</t>
        </is>
      </c>
      <c r="BD276" t="inlineStr">
        <is>
          <t>893616147</t>
        </is>
      </c>
    </row>
    <row r="277">
      <c r="A277" t="inlineStr">
        <is>
          <t>No</t>
        </is>
      </c>
      <c r="B277" t="inlineStr">
        <is>
          <t>HT165.N44 S83</t>
        </is>
      </c>
      <c r="C277" t="inlineStr">
        <is>
          <t>0                      HT 0165000N  44                 S  83</t>
        </is>
      </c>
      <c r="D277" t="inlineStr">
        <is>
          <t>The politics of New Town planning / Frederick Steiner.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Steiner, Frederick R.</t>
        </is>
      </c>
      <c r="L277" t="inlineStr">
        <is>
          <t>Athens : Ohio University Press, c1980.</t>
        </is>
      </c>
      <c r="M277" t="inlineStr">
        <is>
          <t>1980</t>
        </is>
      </c>
      <c r="O277" t="inlineStr">
        <is>
          <t>eng</t>
        </is>
      </c>
      <c r="P277" t="inlineStr">
        <is>
          <t>ohu</t>
        </is>
      </c>
      <c r="R277" t="inlineStr">
        <is>
          <t xml:space="preserve">HT </t>
        </is>
      </c>
      <c r="S277" t="n">
        <v>1</v>
      </c>
      <c r="T277" t="n">
        <v>1</v>
      </c>
      <c r="U277" t="inlineStr">
        <is>
          <t>2001-11-26</t>
        </is>
      </c>
      <c r="V277" t="inlineStr">
        <is>
          <t>2001-11-26</t>
        </is>
      </c>
      <c r="W277" t="inlineStr">
        <is>
          <t>1993-05-06</t>
        </is>
      </c>
      <c r="X277" t="inlineStr">
        <is>
          <t>1993-05-06</t>
        </is>
      </c>
      <c r="Y277" t="n">
        <v>224</v>
      </c>
      <c r="Z277" t="n">
        <v>199</v>
      </c>
      <c r="AA277" t="n">
        <v>210</v>
      </c>
      <c r="AB277" t="n">
        <v>2</v>
      </c>
      <c r="AC277" t="n">
        <v>2</v>
      </c>
      <c r="AD277" t="n">
        <v>6</v>
      </c>
      <c r="AE277" t="n">
        <v>6</v>
      </c>
      <c r="AF277" t="n">
        <v>0</v>
      </c>
      <c r="AG277" t="n">
        <v>0</v>
      </c>
      <c r="AH277" t="n">
        <v>2</v>
      </c>
      <c r="AI277" t="n">
        <v>2</v>
      </c>
      <c r="AJ277" t="n">
        <v>2</v>
      </c>
      <c r="AK277" t="n">
        <v>2</v>
      </c>
      <c r="AL277" t="n">
        <v>1</v>
      </c>
      <c r="AM277" t="n">
        <v>1</v>
      </c>
      <c r="AN277" t="n">
        <v>2</v>
      </c>
      <c r="AO277" t="n">
        <v>2</v>
      </c>
      <c r="AP277" t="inlineStr">
        <is>
          <t>No</t>
        </is>
      </c>
      <c r="AQ277" t="inlineStr">
        <is>
          <t>Yes</t>
        </is>
      </c>
      <c r="AR277">
        <f>HYPERLINK("http://catalog.hathitrust.org/Record/000691685","HathiTrust Record")</f>
        <v/>
      </c>
      <c r="AS277">
        <f>HYPERLINK("https://creighton-primo.hosted.exlibrisgroup.com/primo-explore/search?tab=default_tab&amp;search_scope=EVERYTHING&amp;vid=01CRU&amp;lang=en_US&amp;offset=0&amp;query=any,contains,991004937439702656","Catalog Record")</f>
        <v/>
      </c>
      <c r="AT277">
        <f>HYPERLINK("http://www.worldcat.org/oclc/6144068","WorldCat Record")</f>
        <v/>
      </c>
      <c r="AU277" t="inlineStr">
        <is>
          <t>367172588:eng</t>
        </is>
      </c>
      <c r="AV277" t="inlineStr">
        <is>
          <t>6144068</t>
        </is>
      </c>
      <c r="AW277" t="inlineStr">
        <is>
          <t>991004937439702656</t>
        </is>
      </c>
      <c r="AX277" t="inlineStr">
        <is>
          <t>991004937439702656</t>
        </is>
      </c>
      <c r="AY277" t="inlineStr">
        <is>
          <t>2260331210002656</t>
        </is>
      </c>
      <c r="AZ277" t="inlineStr">
        <is>
          <t>BOOK</t>
        </is>
      </c>
      <c r="BB277" t="inlineStr">
        <is>
          <t>9780821404140</t>
        </is>
      </c>
      <c r="BC277" t="inlineStr">
        <is>
          <t>32285001673481</t>
        </is>
      </c>
      <c r="BD277" t="inlineStr">
        <is>
          <t>893418172</t>
        </is>
      </c>
    </row>
    <row r="278">
      <c r="A278" t="inlineStr">
        <is>
          <t>No</t>
        </is>
      </c>
      <c r="B278" t="inlineStr">
        <is>
          <t>HT166 .B375</t>
        </is>
      </c>
      <c r="C278" t="inlineStr">
        <is>
          <t>0                      HT 0166000B  375</t>
        </is>
      </c>
      <c r="D278" t="inlineStr">
        <is>
          <t>Urban design as public policy; practical methods for improving cities. Foreword by John V. Lindsay.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Barnett, Jonathan.</t>
        </is>
      </c>
      <c r="L278" t="inlineStr">
        <is>
          <t>[New York] Architectural Record Books [1974]</t>
        </is>
      </c>
      <c r="M278" t="inlineStr">
        <is>
          <t>1974</t>
        </is>
      </c>
      <c r="O278" t="inlineStr">
        <is>
          <t>eng</t>
        </is>
      </c>
      <c r="P278" t="inlineStr">
        <is>
          <t>nyu</t>
        </is>
      </c>
      <c r="R278" t="inlineStr">
        <is>
          <t xml:space="preserve">HT </t>
        </is>
      </c>
      <c r="S278" t="n">
        <v>1</v>
      </c>
      <c r="T278" t="n">
        <v>1</v>
      </c>
      <c r="U278" t="inlineStr">
        <is>
          <t>2002-11-04</t>
        </is>
      </c>
      <c r="V278" t="inlineStr">
        <is>
          <t>2002-11-04</t>
        </is>
      </c>
      <c r="W278" t="inlineStr">
        <is>
          <t>1997-08-18</t>
        </is>
      </c>
      <c r="X278" t="inlineStr">
        <is>
          <t>1997-08-18</t>
        </is>
      </c>
      <c r="Y278" t="n">
        <v>596</v>
      </c>
      <c r="Z278" t="n">
        <v>468</v>
      </c>
      <c r="AA278" t="n">
        <v>478</v>
      </c>
      <c r="AB278" t="n">
        <v>2</v>
      </c>
      <c r="AC278" t="n">
        <v>2</v>
      </c>
      <c r="AD278" t="n">
        <v>17</v>
      </c>
      <c r="AE278" t="n">
        <v>17</v>
      </c>
      <c r="AF278" t="n">
        <v>6</v>
      </c>
      <c r="AG278" t="n">
        <v>6</v>
      </c>
      <c r="AH278" t="n">
        <v>2</v>
      </c>
      <c r="AI278" t="n">
        <v>2</v>
      </c>
      <c r="AJ278" t="n">
        <v>8</v>
      </c>
      <c r="AK278" t="n">
        <v>8</v>
      </c>
      <c r="AL278" t="n">
        <v>1</v>
      </c>
      <c r="AM278" t="n">
        <v>1</v>
      </c>
      <c r="AN278" t="n">
        <v>4</v>
      </c>
      <c r="AO278" t="n">
        <v>4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HYPERLINK("http://catalog.hathitrust.org/Record/001129928","HathiTrust Record")</f>
        <v/>
      </c>
      <c r="AS278">
        <f>HYPERLINK("https://creighton-primo.hosted.exlibrisgroup.com/primo-explore/search?tab=default_tab&amp;search_scope=EVERYTHING&amp;vid=01CRU&amp;lang=en_US&amp;offset=0&amp;query=any,contains,991003206379702656","Catalog Record")</f>
        <v/>
      </c>
      <c r="AT278">
        <f>HYPERLINK("http://www.worldcat.org/oclc/730977","WorldCat Record")</f>
        <v/>
      </c>
      <c r="AU278" t="inlineStr">
        <is>
          <t>1756347:eng</t>
        </is>
      </c>
      <c r="AV278" t="inlineStr">
        <is>
          <t>730977</t>
        </is>
      </c>
      <c r="AW278" t="inlineStr">
        <is>
          <t>991003206379702656</t>
        </is>
      </c>
      <c r="AX278" t="inlineStr">
        <is>
          <t>991003206379702656</t>
        </is>
      </c>
      <c r="AY278" t="inlineStr">
        <is>
          <t>2267105410002656</t>
        </is>
      </c>
      <c r="AZ278" t="inlineStr">
        <is>
          <t>BOOK</t>
        </is>
      </c>
      <c r="BC278" t="inlineStr">
        <is>
          <t>32285003146791</t>
        </is>
      </c>
      <c r="BD278" t="inlineStr">
        <is>
          <t>893893476</t>
        </is>
      </c>
    </row>
    <row r="279">
      <c r="A279" t="inlineStr">
        <is>
          <t>No</t>
        </is>
      </c>
      <c r="B279" t="inlineStr">
        <is>
          <t>HT166 .C52</t>
        </is>
      </c>
      <c r="C279" t="inlineStr">
        <is>
          <t>0                      HT 0166000C  52</t>
        </is>
      </c>
      <c r="D279" t="inlineStr">
        <is>
          <t>Handbook on urban planning / edited by Wm. H. Claire.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Claire, William H.</t>
        </is>
      </c>
      <c r="L279" t="inlineStr">
        <is>
          <t>New York : Van Nostrand Reinhold Co., [1973]</t>
        </is>
      </c>
      <c r="M279" t="inlineStr">
        <is>
          <t>1973</t>
        </is>
      </c>
      <c r="O279" t="inlineStr">
        <is>
          <t>eng</t>
        </is>
      </c>
      <c r="P279" t="inlineStr">
        <is>
          <t>nyu</t>
        </is>
      </c>
      <c r="R279" t="inlineStr">
        <is>
          <t xml:space="preserve">HT </t>
        </is>
      </c>
      <c r="S279" t="n">
        <v>3</v>
      </c>
      <c r="T279" t="n">
        <v>3</v>
      </c>
      <c r="U279" t="inlineStr">
        <is>
          <t>1997-04-14</t>
        </is>
      </c>
      <c r="V279" t="inlineStr">
        <is>
          <t>1997-04-14</t>
        </is>
      </c>
      <c r="W279" t="inlineStr">
        <is>
          <t>1992-12-11</t>
        </is>
      </c>
      <c r="X279" t="inlineStr">
        <is>
          <t>1992-12-11</t>
        </is>
      </c>
      <c r="Y279" t="n">
        <v>411</v>
      </c>
      <c r="Z279" t="n">
        <v>308</v>
      </c>
      <c r="AA279" t="n">
        <v>320</v>
      </c>
      <c r="AB279" t="n">
        <v>2</v>
      </c>
      <c r="AC279" t="n">
        <v>2</v>
      </c>
      <c r="AD279" t="n">
        <v>14</v>
      </c>
      <c r="AE279" t="n">
        <v>14</v>
      </c>
      <c r="AF279" t="n">
        <v>2</v>
      </c>
      <c r="AG279" t="n">
        <v>2</v>
      </c>
      <c r="AH279" t="n">
        <v>2</v>
      </c>
      <c r="AI279" t="n">
        <v>2</v>
      </c>
      <c r="AJ279" t="n">
        <v>5</v>
      </c>
      <c r="AK279" t="n">
        <v>5</v>
      </c>
      <c r="AL279" t="n">
        <v>1</v>
      </c>
      <c r="AM279" t="n">
        <v>1</v>
      </c>
      <c r="AN279" t="n">
        <v>5</v>
      </c>
      <c r="AO279" t="n">
        <v>5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HYPERLINK("http://catalog.hathitrust.org/Record/001129937","HathiTrust Record")</f>
        <v/>
      </c>
      <c r="AS279">
        <f>HYPERLINK("https://creighton-primo.hosted.exlibrisgroup.com/primo-explore/search?tab=default_tab&amp;search_scope=EVERYTHING&amp;vid=01CRU&amp;lang=en_US&amp;offset=0&amp;query=any,contains,991003013969702656","Catalog Record")</f>
        <v/>
      </c>
      <c r="AT279">
        <f>HYPERLINK("http://www.worldcat.org/oclc/579666","WorldCat Record")</f>
        <v/>
      </c>
      <c r="AU279" t="inlineStr">
        <is>
          <t>20890182:eng</t>
        </is>
      </c>
      <c r="AV279" t="inlineStr">
        <is>
          <t>579666</t>
        </is>
      </c>
      <c r="AW279" t="inlineStr">
        <is>
          <t>991003013969702656</t>
        </is>
      </c>
      <c r="AX279" t="inlineStr">
        <is>
          <t>991003013969702656</t>
        </is>
      </c>
      <c r="AY279" t="inlineStr">
        <is>
          <t>2256106190002656</t>
        </is>
      </c>
      <c r="AZ279" t="inlineStr">
        <is>
          <t>BOOK</t>
        </is>
      </c>
      <c r="BB279" t="inlineStr">
        <is>
          <t>9780442215637</t>
        </is>
      </c>
      <c r="BC279" t="inlineStr">
        <is>
          <t>32285001440832</t>
        </is>
      </c>
      <c r="BD279" t="inlineStr">
        <is>
          <t>893415933</t>
        </is>
      </c>
    </row>
    <row r="280">
      <c r="A280" t="inlineStr">
        <is>
          <t>No</t>
        </is>
      </c>
      <c r="B280" t="inlineStr">
        <is>
          <t>HT166 .G4614 2000</t>
        </is>
      </c>
      <c r="C280" t="inlineStr">
        <is>
          <t>0                      HT 0166000G  4614        2000</t>
        </is>
      </c>
      <c r="D280" t="inlineStr">
        <is>
          <t>Gendering the city : women, boundaries, and visions or urban life / edited by Kristine B. Miranne &amp; Alma H. Young.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L280" t="inlineStr">
        <is>
          <t>Lanham : Rowman &amp; Littlefield, c2000.</t>
        </is>
      </c>
      <c r="M280" t="inlineStr">
        <is>
          <t>2000</t>
        </is>
      </c>
      <c r="O280" t="inlineStr">
        <is>
          <t>eng</t>
        </is>
      </c>
      <c r="P280" t="inlineStr">
        <is>
          <t>mdu</t>
        </is>
      </c>
      <c r="R280" t="inlineStr">
        <is>
          <t xml:space="preserve">HT </t>
        </is>
      </c>
      <c r="S280" t="n">
        <v>2</v>
      </c>
      <c r="T280" t="n">
        <v>2</v>
      </c>
      <c r="U280" t="inlineStr">
        <is>
          <t>2002-04-12</t>
        </is>
      </c>
      <c r="V280" t="inlineStr">
        <is>
          <t>2002-04-12</t>
        </is>
      </c>
      <c r="W280" t="inlineStr">
        <is>
          <t>2002-03-26</t>
        </is>
      </c>
      <c r="X280" t="inlineStr">
        <is>
          <t>2002-03-26</t>
        </is>
      </c>
      <c r="Y280" t="n">
        <v>376</v>
      </c>
      <c r="Z280" t="n">
        <v>275</v>
      </c>
      <c r="AA280" t="n">
        <v>281</v>
      </c>
      <c r="AB280" t="n">
        <v>3</v>
      </c>
      <c r="AC280" t="n">
        <v>3</v>
      </c>
      <c r="AD280" t="n">
        <v>18</v>
      </c>
      <c r="AE280" t="n">
        <v>18</v>
      </c>
      <c r="AF280" t="n">
        <v>4</v>
      </c>
      <c r="AG280" t="n">
        <v>4</v>
      </c>
      <c r="AH280" t="n">
        <v>6</v>
      </c>
      <c r="AI280" t="n">
        <v>6</v>
      </c>
      <c r="AJ280" t="n">
        <v>8</v>
      </c>
      <c r="AK280" t="n">
        <v>8</v>
      </c>
      <c r="AL280" t="n">
        <v>2</v>
      </c>
      <c r="AM280" t="n">
        <v>2</v>
      </c>
      <c r="AN280" t="n">
        <v>1</v>
      </c>
      <c r="AO280" t="n">
        <v>1</v>
      </c>
      <c r="AP280" t="inlineStr">
        <is>
          <t>No</t>
        </is>
      </c>
      <c r="AQ280" t="inlineStr">
        <is>
          <t>No</t>
        </is>
      </c>
      <c r="AS280">
        <f>HYPERLINK("https://creighton-primo.hosted.exlibrisgroup.com/primo-explore/search?tab=default_tab&amp;search_scope=EVERYTHING&amp;vid=01CRU&amp;lang=en_US&amp;offset=0&amp;query=any,contains,991003698899702656","Catalog Record")</f>
        <v/>
      </c>
      <c r="AT280">
        <f>HYPERLINK("http://www.worldcat.org/oclc/42392191","WorldCat Record")</f>
        <v/>
      </c>
      <c r="AU280" t="inlineStr">
        <is>
          <t>836977579:eng</t>
        </is>
      </c>
      <c r="AV280" t="inlineStr">
        <is>
          <t>42392191</t>
        </is>
      </c>
      <c r="AW280" t="inlineStr">
        <is>
          <t>991003698899702656</t>
        </is>
      </c>
      <c r="AX280" t="inlineStr">
        <is>
          <t>991003698899702656</t>
        </is>
      </c>
      <c r="AY280" t="inlineStr">
        <is>
          <t>2270574060002656</t>
        </is>
      </c>
      <c r="AZ280" t="inlineStr">
        <is>
          <t>BOOK</t>
        </is>
      </c>
      <c r="BB280" t="inlineStr">
        <is>
          <t>9780847694501</t>
        </is>
      </c>
      <c r="BC280" t="inlineStr">
        <is>
          <t>32285004464532</t>
        </is>
      </c>
      <c r="BD280" t="inlineStr">
        <is>
          <t>893518775</t>
        </is>
      </c>
    </row>
    <row r="281">
      <c r="A281" t="inlineStr">
        <is>
          <t>No</t>
        </is>
      </c>
      <c r="B281" t="inlineStr">
        <is>
          <t>HT166 .S97</t>
        </is>
      </c>
      <c r="C281" t="inlineStr">
        <is>
          <t>0                      HT 0166000S  97</t>
        </is>
      </c>
      <c r="D281" t="inlineStr">
        <is>
          <t>The history of urban and regional planning : an annotated bibliography / Anthony Sutcliffe.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Sutcliffe, Anthony, 1942-2011.</t>
        </is>
      </c>
      <c r="L281" t="inlineStr">
        <is>
          <t>New York : Facts on File, 1981.</t>
        </is>
      </c>
      <c r="M281" t="inlineStr">
        <is>
          <t>1981</t>
        </is>
      </c>
      <c r="O281" t="inlineStr">
        <is>
          <t>eng</t>
        </is>
      </c>
      <c r="P281" t="inlineStr">
        <is>
          <t>nyu</t>
        </is>
      </c>
      <c r="R281" t="inlineStr">
        <is>
          <t xml:space="preserve">HT </t>
        </is>
      </c>
      <c r="S281" t="n">
        <v>2</v>
      </c>
      <c r="T281" t="n">
        <v>2</v>
      </c>
      <c r="U281" t="inlineStr">
        <is>
          <t>1996-02-24</t>
        </is>
      </c>
      <c r="V281" t="inlineStr">
        <is>
          <t>1996-02-24</t>
        </is>
      </c>
      <c r="W281" t="inlineStr">
        <is>
          <t>1992-04-16</t>
        </is>
      </c>
      <c r="X281" t="inlineStr">
        <is>
          <t>1992-04-16</t>
        </is>
      </c>
      <c r="Y281" t="n">
        <v>423</v>
      </c>
      <c r="Z281" t="n">
        <v>364</v>
      </c>
      <c r="AA281" t="n">
        <v>394</v>
      </c>
      <c r="AB281" t="n">
        <v>2</v>
      </c>
      <c r="AC281" t="n">
        <v>3</v>
      </c>
      <c r="AD281" t="n">
        <v>9</v>
      </c>
      <c r="AE281" t="n">
        <v>11</v>
      </c>
      <c r="AF281" t="n">
        <v>3</v>
      </c>
      <c r="AG281" t="n">
        <v>4</v>
      </c>
      <c r="AH281" t="n">
        <v>0</v>
      </c>
      <c r="AI281" t="n">
        <v>0</v>
      </c>
      <c r="AJ281" t="n">
        <v>4</v>
      </c>
      <c r="AK281" t="n">
        <v>4</v>
      </c>
      <c r="AL281" t="n">
        <v>1</v>
      </c>
      <c r="AM281" t="n">
        <v>2</v>
      </c>
      <c r="AN281" t="n">
        <v>2</v>
      </c>
      <c r="AO281" t="n">
        <v>2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HYPERLINK("http://catalog.hathitrust.org/Record/000709561","HathiTrust Record")</f>
        <v/>
      </c>
      <c r="AS281">
        <f>HYPERLINK("https://creighton-primo.hosted.exlibrisgroup.com/primo-explore/search?tab=default_tab&amp;search_scope=EVERYTHING&amp;vid=01CRU&amp;lang=en_US&amp;offset=0&amp;query=any,contains,991004947199702656","Catalog Record")</f>
        <v/>
      </c>
      <c r="AT281">
        <f>HYPERLINK("http://www.worldcat.org/oclc/6222618","WorldCat Record")</f>
        <v/>
      </c>
      <c r="AU281" t="inlineStr">
        <is>
          <t>518884:eng</t>
        </is>
      </c>
      <c r="AV281" t="inlineStr">
        <is>
          <t>6222618</t>
        </is>
      </c>
      <c r="AW281" t="inlineStr">
        <is>
          <t>991004947199702656</t>
        </is>
      </c>
      <c r="AX281" t="inlineStr">
        <is>
          <t>991004947199702656</t>
        </is>
      </c>
      <c r="AY281" t="inlineStr">
        <is>
          <t>2266694270002656</t>
        </is>
      </c>
      <c r="AZ281" t="inlineStr">
        <is>
          <t>BOOK</t>
        </is>
      </c>
      <c r="BB281" t="inlineStr">
        <is>
          <t>9780871963031</t>
        </is>
      </c>
      <c r="BC281" t="inlineStr">
        <is>
          <t>32285001044709</t>
        </is>
      </c>
      <c r="BD281" t="inlineStr">
        <is>
          <t>893344442</t>
        </is>
      </c>
    </row>
    <row r="282">
      <c r="A282" t="inlineStr">
        <is>
          <t>No</t>
        </is>
      </c>
      <c r="B282" t="inlineStr">
        <is>
          <t>HT166 .V66</t>
        </is>
      </c>
      <c r="C282" t="inlineStr">
        <is>
          <t>0                      HT 0166000V  66</t>
        </is>
      </c>
      <c r="D282" t="inlineStr">
        <is>
          <t>Back to the drawing board! : Planning livable cities / Wolf von Eckardt ; illustrated by Forrest Wilson.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Eckardt, Wolf von, 1918-1995.</t>
        </is>
      </c>
      <c r="L282" t="inlineStr">
        <is>
          <t>Washington : New Republic Books ; New York : trade distribution by Simon and Schuster, 1978.</t>
        </is>
      </c>
      <c r="M282" t="inlineStr">
        <is>
          <t>1978</t>
        </is>
      </c>
      <c r="O282" t="inlineStr">
        <is>
          <t>eng</t>
        </is>
      </c>
      <c r="P282" t="inlineStr">
        <is>
          <t>dcu</t>
        </is>
      </c>
      <c r="R282" t="inlineStr">
        <is>
          <t xml:space="preserve">HT </t>
        </is>
      </c>
      <c r="S282" t="n">
        <v>2</v>
      </c>
      <c r="T282" t="n">
        <v>2</v>
      </c>
      <c r="U282" t="inlineStr">
        <is>
          <t>1997-04-14</t>
        </is>
      </c>
      <c r="V282" t="inlineStr">
        <is>
          <t>1997-04-14</t>
        </is>
      </c>
      <c r="W282" t="inlineStr">
        <is>
          <t>1993-05-06</t>
        </is>
      </c>
      <c r="X282" t="inlineStr">
        <is>
          <t>1993-05-06</t>
        </is>
      </c>
      <c r="Y282" t="n">
        <v>454</v>
      </c>
      <c r="Z282" t="n">
        <v>405</v>
      </c>
      <c r="AA282" t="n">
        <v>412</v>
      </c>
      <c r="AB282" t="n">
        <v>3</v>
      </c>
      <c r="AC282" t="n">
        <v>3</v>
      </c>
      <c r="AD282" t="n">
        <v>14</v>
      </c>
      <c r="AE282" t="n">
        <v>14</v>
      </c>
      <c r="AF282" t="n">
        <v>3</v>
      </c>
      <c r="AG282" t="n">
        <v>3</v>
      </c>
      <c r="AH282" t="n">
        <v>3</v>
      </c>
      <c r="AI282" t="n">
        <v>3</v>
      </c>
      <c r="AJ282" t="n">
        <v>9</v>
      </c>
      <c r="AK282" t="n">
        <v>9</v>
      </c>
      <c r="AL282" t="n">
        <v>2</v>
      </c>
      <c r="AM282" t="n">
        <v>2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HYPERLINK("http://catalog.hathitrust.org/Record/000216173","HathiTrust Record")</f>
        <v/>
      </c>
      <c r="AS282">
        <f>HYPERLINK("https://creighton-primo.hosted.exlibrisgroup.com/primo-explore/search?tab=default_tab&amp;search_scope=EVERYTHING&amp;vid=01CRU&amp;lang=en_US&amp;offset=0&amp;query=any,contains,991004607359702656","Catalog Record")</f>
        <v/>
      </c>
      <c r="AT282">
        <f>HYPERLINK("http://www.worldcat.org/oclc/4195188","WorldCat Record")</f>
        <v/>
      </c>
      <c r="AU282" t="inlineStr">
        <is>
          <t>366338058:eng</t>
        </is>
      </c>
      <c r="AV282" t="inlineStr">
        <is>
          <t>4195188</t>
        </is>
      </c>
      <c r="AW282" t="inlineStr">
        <is>
          <t>991004607359702656</t>
        </is>
      </c>
      <c r="AX282" t="inlineStr">
        <is>
          <t>991004607359702656</t>
        </is>
      </c>
      <c r="AY282" t="inlineStr">
        <is>
          <t>2261107970002656</t>
        </is>
      </c>
      <c r="AZ282" t="inlineStr">
        <is>
          <t>BOOK</t>
        </is>
      </c>
      <c r="BB282" t="inlineStr">
        <is>
          <t>9780915220458</t>
        </is>
      </c>
      <c r="BC282" t="inlineStr">
        <is>
          <t>32285001673515</t>
        </is>
      </c>
      <c r="BD282" t="inlineStr">
        <is>
          <t>893706618</t>
        </is>
      </c>
    </row>
    <row r="283">
      <c r="A283" t="inlineStr">
        <is>
          <t>No</t>
        </is>
      </c>
      <c r="B283" t="inlineStr">
        <is>
          <t>HT166 .W25 1974</t>
        </is>
      </c>
      <c r="C283" t="inlineStr">
        <is>
          <t>0                      HT 0166000W  25          1974</t>
        </is>
      </c>
      <c r="D283" t="inlineStr">
        <is>
          <t>Cities of ancient Greece and Italy; planning in classical antiquity [by] J. B. Ward-Perkins.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Ward-Perkins, J. B. (John Bryan), 1912-1981.</t>
        </is>
      </c>
      <c r="L283" t="inlineStr">
        <is>
          <t>New York, G. Braziller [1974]</t>
        </is>
      </c>
      <c r="M283" t="inlineStr">
        <is>
          <t>1974</t>
        </is>
      </c>
      <c r="O283" t="inlineStr">
        <is>
          <t>eng</t>
        </is>
      </c>
      <c r="P283" t="inlineStr">
        <is>
          <t>nyu</t>
        </is>
      </c>
      <c r="Q283" t="inlineStr">
        <is>
          <t>Planning and cities</t>
        </is>
      </c>
      <c r="R283" t="inlineStr">
        <is>
          <t xml:space="preserve">HT </t>
        </is>
      </c>
      <c r="S283" t="n">
        <v>1</v>
      </c>
      <c r="T283" t="n">
        <v>1</v>
      </c>
      <c r="U283" t="inlineStr">
        <is>
          <t>2002-09-29</t>
        </is>
      </c>
      <c r="V283" t="inlineStr">
        <is>
          <t>2002-09-29</t>
        </is>
      </c>
      <c r="W283" t="inlineStr">
        <is>
          <t>1997-08-18</t>
        </is>
      </c>
      <c r="X283" t="inlineStr">
        <is>
          <t>1997-08-18</t>
        </is>
      </c>
      <c r="Y283" t="n">
        <v>887</v>
      </c>
      <c r="Z283" t="n">
        <v>706</v>
      </c>
      <c r="AA283" t="n">
        <v>719</v>
      </c>
      <c r="AB283" t="n">
        <v>4</v>
      </c>
      <c r="AC283" t="n">
        <v>4</v>
      </c>
      <c r="AD283" t="n">
        <v>31</v>
      </c>
      <c r="AE283" t="n">
        <v>32</v>
      </c>
      <c r="AF283" t="n">
        <v>14</v>
      </c>
      <c r="AG283" t="n">
        <v>15</v>
      </c>
      <c r="AH283" t="n">
        <v>10</v>
      </c>
      <c r="AI283" t="n">
        <v>10</v>
      </c>
      <c r="AJ283" t="n">
        <v>15</v>
      </c>
      <c r="AK283" t="n">
        <v>16</v>
      </c>
      <c r="AL283" t="n">
        <v>2</v>
      </c>
      <c r="AM283" t="n">
        <v>2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HYPERLINK("http://catalog.hathitrust.org/Record/000340880","HathiTrust Record")</f>
        <v/>
      </c>
      <c r="AS283">
        <f>HYPERLINK("https://creighton-primo.hosted.exlibrisgroup.com/primo-explore/search?tab=default_tab&amp;search_scope=EVERYTHING&amp;vid=01CRU&amp;lang=en_US&amp;offset=0&amp;query=any,contains,991003268739702656","Catalog Record")</f>
        <v/>
      </c>
      <c r="AT283">
        <f>HYPERLINK("http://www.worldcat.org/oclc/794795","WorldCat Record")</f>
        <v/>
      </c>
      <c r="AU283" t="inlineStr">
        <is>
          <t>857939019:eng</t>
        </is>
      </c>
      <c r="AV283" t="inlineStr">
        <is>
          <t>794795</t>
        </is>
      </c>
      <c r="AW283" t="inlineStr">
        <is>
          <t>991003268739702656</t>
        </is>
      </c>
      <c r="AX283" t="inlineStr">
        <is>
          <t>991003268739702656</t>
        </is>
      </c>
      <c r="AY283" t="inlineStr">
        <is>
          <t>2263819800002656</t>
        </is>
      </c>
      <c r="AZ283" t="inlineStr">
        <is>
          <t>BOOK</t>
        </is>
      </c>
      <c r="BB283" t="inlineStr">
        <is>
          <t>9780807606797</t>
        </is>
      </c>
      <c r="BC283" t="inlineStr">
        <is>
          <t>32285003146825</t>
        </is>
      </c>
      <c r="BD283" t="inlineStr">
        <is>
          <t>893774578</t>
        </is>
      </c>
    </row>
    <row r="284">
      <c r="A284" t="inlineStr">
        <is>
          <t>No</t>
        </is>
      </c>
      <c r="B284" t="inlineStr">
        <is>
          <t>HT167 .A5769 2000</t>
        </is>
      </c>
      <c r="C284" t="inlineStr">
        <is>
          <t>0                      HT 0167000A  5769        2000</t>
        </is>
      </c>
      <c r="D284" t="inlineStr">
        <is>
          <t>The American planning tradition : culture and policy / edited by Robert Fishman.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L284" t="inlineStr">
        <is>
          <t>Washington, D.C. : Woodrow Wilson Center Press ; Baltimore, Md. : Distributed by The Johns Hopkins University Press, c2000.</t>
        </is>
      </c>
      <c r="M284" t="inlineStr">
        <is>
          <t>2000</t>
        </is>
      </c>
      <c r="O284" t="inlineStr">
        <is>
          <t>eng</t>
        </is>
      </c>
      <c r="P284" t="inlineStr">
        <is>
          <t>dcu</t>
        </is>
      </c>
      <c r="R284" t="inlineStr">
        <is>
          <t xml:space="preserve">HT </t>
        </is>
      </c>
      <c r="S284" t="n">
        <v>2</v>
      </c>
      <c r="T284" t="n">
        <v>2</v>
      </c>
      <c r="U284" t="inlineStr">
        <is>
          <t>2006-06-12</t>
        </is>
      </c>
      <c r="V284" t="inlineStr">
        <is>
          <t>2006-06-12</t>
        </is>
      </c>
      <c r="W284" t="inlineStr">
        <is>
          <t>2000-12-06</t>
        </is>
      </c>
      <c r="X284" t="inlineStr">
        <is>
          <t>2000-12-06</t>
        </is>
      </c>
      <c r="Y284" t="n">
        <v>340</v>
      </c>
      <c r="Z284" t="n">
        <v>266</v>
      </c>
      <c r="AA284" t="n">
        <v>269</v>
      </c>
      <c r="AB284" t="n">
        <v>4</v>
      </c>
      <c r="AC284" t="n">
        <v>4</v>
      </c>
      <c r="AD284" t="n">
        <v>15</v>
      </c>
      <c r="AE284" t="n">
        <v>15</v>
      </c>
      <c r="AF284" t="n">
        <v>4</v>
      </c>
      <c r="AG284" t="n">
        <v>4</v>
      </c>
      <c r="AH284" t="n">
        <v>4</v>
      </c>
      <c r="AI284" t="n">
        <v>4</v>
      </c>
      <c r="AJ284" t="n">
        <v>8</v>
      </c>
      <c r="AK284" t="n">
        <v>8</v>
      </c>
      <c r="AL284" t="n">
        <v>3</v>
      </c>
      <c r="AM284" t="n">
        <v>3</v>
      </c>
      <c r="AN284" t="n">
        <v>1</v>
      </c>
      <c r="AO284" t="n">
        <v>1</v>
      </c>
      <c r="AP284" t="inlineStr">
        <is>
          <t>No</t>
        </is>
      </c>
      <c r="AQ284" t="inlineStr">
        <is>
          <t>Yes</t>
        </is>
      </c>
      <c r="AR284">
        <f>HYPERLINK("http://catalog.hathitrust.org/Record/003502157","HathiTrust Record")</f>
        <v/>
      </c>
      <c r="AS284">
        <f>HYPERLINK("https://creighton-primo.hosted.exlibrisgroup.com/primo-explore/search?tab=default_tab&amp;search_scope=EVERYTHING&amp;vid=01CRU&amp;lang=en_US&amp;offset=0&amp;query=any,contains,991003314649702656","Catalog Record")</f>
        <v/>
      </c>
      <c r="AT284">
        <f>HYPERLINK("http://www.worldcat.org/oclc/42274226","WorldCat Record")</f>
        <v/>
      </c>
      <c r="AU284" t="inlineStr">
        <is>
          <t>837067514:eng</t>
        </is>
      </c>
      <c r="AV284" t="inlineStr">
        <is>
          <t>42274226</t>
        </is>
      </c>
      <c r="AW284" t="inlineStr">
        <is>
          <t>991003314649702656</t>
        </is>
      </c>
      <c r="AX284" t="inlineStr">
        <is>
          <t>991003314649702656</t>
        </is>
      </c>
      <c r="AY284" t="inlineStr">
        <is>
          <t>2272332620002656</t>
        </is>
      </c>
      <c r="AZ284" t="inlineStr">
        <is>
          <t>BOOK</t>
        </is>
      </c>
      <c r="BB284" t="inlineStr">
        <is>
          <t>9780943875958</t>
        </is>
      </c>
      <c r="BC284" t="inlineStr">
        <is>
          <t>32285004275573</t>
        </is>
      </c>
      <c r="BD284" t="inlineStr">
        <is>
          <t>893252247</t>
        </is>
      </c>
    </row>
    <row r="285">
      <c r="A285" t="inlineStr">
        <is>
          <t>No</t>
        </is>
      </c>
      <c r="B285" t="inlineStr">
        <is>
          <t>HT167 .B655 1983</t>
        </is>
      </c>
      <c r="C285" t="inlineStr">
        <is>
          <t>0                      HT 0167000B  655         1983</t>
        </is>
      </c>
      <c r="D285" t="inlineStr">
        <is>
          <t>Dreaming the rational city : the myth of American city planning / M. Christine Boyer.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Boyer, M. Christine.</t>
        </is>
      </c>
      <c r="L285" t="inlineStr">
        <is>
          <t>Cambridge, Mass. : MIT Press, c1983.</t>
        </is>
      </c>
      <c r="M285" t="inlineStr">
        <is>
          <t>1983</t>
        </is>
      </c>
      <c r="O285" t="inlineStr">
        <is>
          <t>eng</t>
        </is>
      </c>
      <c r="P285" t="inlineStr">
        <is>
          <t>mau</t>
        </is>
      </c>
      <c r="R285" t="inlineStr">
        <is>
          <t xml:space="preserve">HT </t>
        </is>
      </c>
      <c r="S285" t="n">
        <v>6</v>
      </c>
      <c r="T285" t="n">
        <v>6</v>
      </c>
      <c r="U285" t="inlineStr">
        <is>
          <t>2005-08-10</t>
        </is>
      </c>
      <c r="V285" t="inlineStr">
        <is>
          <t>2005-08-10</t>
        </is>
      </c>
      <c r="W285" t="inlineStr">
        <is>
          <t>1993-05-06</t>
        </is>
      </c>
      <c r="X285" t="inlineStr">
        <is>
          <t>1993-05-06</t>
        </is>
      </c>
      <c r="Y285" t="n">
        <v>688</v>
      </c>
      <c r="Z285" t="n">
        <v>541</v>
      </c>
      <c r="AA285" t="n">
        <v>583</v>
      </c>
      <c r="AB285" t="n">
        <v>4</v>
      </c>
      <c r="AC285" t="n">
        <v>4</v>
      </c>
      <c r="AD285" t="n">
        <v>24</v>
      </c>
      <c r="AE285" t="n">
        <v>28</v>
      </c>
      <c r="AF285" t="n">
        <v>5</v>
      </c>
      <c r="AG285" t="n">
        <v>7</v>
      </c>
      <c r="AH285" t="n">
        <v>6</v>
      </c>
      <c r="AI285" t="n">
        <v>6</v>
      </c>
      <c r="AJ285" t="n">
        <v>12</v>
      </c>
      <c r="AK285" t="n">
        <v>15</v>
      </c>
      <c r="AL285" t="n">
        <v>2</v>
      </c>
      <c r="AM285" t="n">
        <v>2</v>
      </c>
      <c r="AN285" t="n">
        <v>4</v>
      </c>
      <c r="AO285" t="n">
        <v>4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HYPERLINK("https://creighton-primo.hosted.exlibrisgroup.com/primo-explore/search?tab=default_tab&amp;search_scope=EVERYTHING&amp;vid=01CRU&amp;lang=en_US&amp;offset=0&amp;query=any,contains,991000188099702656","Catalog Record")</f>
        <v/>
      </c>
      <c r="AT285">
        <f>HYPERLINK("http://www.worldcat.org/oclc/9394656","WorldCat Record")</f>
        <v/>
      </c>
      <c r="AU285" t="inlineStr">
        <is>
          <t>810767125:eng</t>
        </is>
      </c>
      <c r="AV285" t="inlineStr">
        <is>
          <t>9394656</t>
        </is>
      </c>
      <c r="AW285" t="inlineStr">
        <is>
          <t>991000188099702656</t>
        </is>
      </c>
      <c r="AX285" t="inlineStr">
        <is>
          <t>991000188099702656</t>
        </is>
      </c>
      <c r="AY285" t="inlineStr">
        <is>
          <t>2262902470002656</t>
        </is>
      </c>
      <c r="AZ285" t="inlineStr">
        <is>
          <t>BOOK</t>
        </is>
      </c>
      <c r="BB285" t="inlineStr">
        <is>
          <t>9780262021869</t>
        </is>
      </c>
      <c r="BC285" t="inlineStr">
        <is>
          <t>32285001673549</t>
        </is>
      </c>
      <c r="BD285" t="inlineStr">
        <is>
          <t>893521487</t>
        </is>
      </c>
    </row>
    <row r="286">
      <c r="A286" t="inlineStr">
        <is>
          <t>No</t>
        </is>
      </c>
      <c r="B286" t="inlineStr">
        <is>
          <t>HT167 .C3 1993</t>
        </is>
      </c>
      <c r="C286" t="inlineStr">
        <is>
          <t>0                      HT 0167000C  3           1993</t>
        </is>
      </c>
      <c r="D286" t="inlineStr">
        <is>
          <t>The next American metropolis : ecology, community, and the American dream / Peter Calthorpe ; guidelines with Shelley Poticha.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Calthorpe, Peter.</t>
        </is>
      </c>
      <c r="L286" t="inlineStr">
        <is>
          <t>New York : Princeton Architectural Press, c1993.</t>
        </is>
      </c>
      <c r="M286" t="inlineStr">
        <is>
          <t>1993</t>
        </is>
      </c>
      <c r="O286" t="inlineStr">
        <is>
          <t>eng</t>
        </is>
      </c>
      <c r="P286" t="inlineStr">
        <is>
          <t>nyu</t>
        </is>
      </c>
      <c r="R286" t="inlineStr">
        <is>
          <t xml:space="preserve">HT </t>
        </is>
      </c>
      <c r="S286" t="n">
        <v>1</v>
      </c>
      <c r="T286" t="n">
        <v>1</v>
      </c>
      <c r="U286" t="inlineStr">
        <is>
          <t>2008-09-11</t>
        </is>
      </c>
      <c r="V286" t="inlineStr">
        <is>
          <t>2008-09-11</t>
        </is>
      </c>
      <c r="W286" t="inlineStr">
        <is>
          <t>2008-09-11</t>
        </is>
      </c>
      <c r="X286" t="inlineStr">
        <is>
          <t>2008-09-11</t>
        </is>
      </c>
      <c r="Y286" t="n">
        <v>602</v>
      </c>
      <c r="Z286" t="n">
        <v>448</v>
      </c>
      <c r="AA286" t="n">
        <v>451</v>
      </c>
      <c r="AB286" t="n">
        <v>3</v>
      </c>
      <c r="AC286" t="n">
        <v>3</v>
      </c>
      <c r="AD286" t="n">
        <v>19</v>
      </c>
      <c r="AE286" t="n">
        <v>19</v>
      </c>
      <c r="AF286" t="n">
        <v>7</v>
      </c>
      <c r="AG286" t="n">
        <v>7</v>
      </c>
      <c r="AH286" t="n">
        <v>4</v>
      </c>
      <c r="AI286" t="n">
        <v>4</v>
      </c>
      <c r="AJ286" t="n">
        <v>10</v>
      </c>
      <c r="AK286" t="n">
        <v>10</v>
      </c>
      <c r="AL286" t="n">
        <v>2</v>
      </c>
      <c r="AM286" t="n">
        <v>2</v>
      </c>
      <c r="AN286" t="n">
        <v>1</v>
      </c>
      <c r="AO286" t="n">
        <v>1</v>
      </c>
      <c r="AP286" t="inlineStr">
        <is>
          <t>No</t>
        </is>
      </c>
      <c r="AQ286" t="inlineStr">
        <is>
          <t>Yes</t>
        </is>
      </c>
      <c r="AR286">
        <f>HYPERLINK("http://catalog.hathitrust.org/Record/002655051","HathiTrust Record")</f>
        <v/>
      </c>
      <c r="AS286">
        <f>HYPERLINK("https://creighton-primo.hosted.exlibrisgroup.com/primo-explore/search?tab=default_tab&amp;search_scope=EVERYTHING&amp;vid=01CRU&amp;lang=en_US&amp;offset=0&amp;query=any,contains,991005260219702656","Catalog Record")</f>
        <v/>
      </c>
      <c r="AT286">
        <f>HYPERLINK("http://www.worldcat.org/oclc/27814585","WorldCat Record")</f>
        <v/>
      </c>
      <c r="AU286" t="inlineStr">
        <is>
          <t>198247705:eng</t>
        </is>
      </c>
      <c r="AV286" t="inlineStr">
        <is>
          <t>27814585</t>
        </is>
      </c>
      <c r="AW286" t="inlineStr">
        <is>
          <t>991005260219702656</t>
        </is>
      </c>
      <c r="AX286" t="inlineStr">
        <is>
          <t>991005260219702656</t>
        </is>
      </c>
      <c r="AY286" t="inlineStr">
        <is>
          <t>2259456100002656</t>
        </is>
      </c>
      <c r="AZ286" t="inlineStr">
        <is>
          <t>BOOK</t>
        </is>
      </c>
      <c r="BB286" t="inlineStr">
        <is>
          <t>9781878271686</t>
        </is>
      </c>
      <c r="BC286" t="inlineStr">
        <is>
          <t>32285005458087</t>
        </is>
      </c>
      <c r="BD286" t="inlineStr">
        <is>
          <t>893695018</t>
        </is>
      </c>
    </row>
    <row r="287">
      <c r="A287" t="inlineStr">
        <is>
          <t>No</t>
        </is>
      </c>
      <c r="B287" t="inlineStr">
        <is>
          <t>HT167 .C88 1982</t>
        </is>
      </c>
      <c r="C287" t="inlineStr">
        <is>
          <t>0                      HT 0167000C  88          1982</t>
        </is>
      </c>
      <c r="D287" t="inlineStr">
        <is>
          <t>Recycling cities for people : the urban design process / Laurence Stephan Cutler, Sherrie Stephens Cutler.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Cutler, Laurence S.</t>
        </is>
      </c>
      <c r="L287" t="inlineStr">
        <is>
          <t>Boston, Mass. : CBI Pub. Co., c1982.</t>
        </is>
      </c>
      <c r="M287" t="inlineStr">
        <is>
          <t>1982</t>
        </is>
      </c>
      <c r="N287" t="inlineStr">
        <is>
          <t>2nd ed.</t>
        </is>
      </c>
      <c r="O287" t="inlineStr">
        <is>
          <t>eng</t>
        </is>
      </c>
      <c r="P287" t="inlineStr">
        <is>
          <t>mau</t>
        </is>
      </c>
      <c r="R287" t="inlineStr">
        <is>
          <t xml:space="preserve">HT </t>
        </is>
      </c>
      <c r="S287" t="n">
        <v>1</v>
      </c>
      <c r="T287" t="n">
        <v>1</v>
      </c>
      <c r="U287" t="inlineStr">
        <is>
          <t>1993-03-01</t>
        </is>
      </c>
      <c r="V287" t="inlineStr">
        <is>
          <t>1993-03-01</t>
        </is>
      </c>
      <c r="W287" t="inlineStr">
        <is>
          <t>1992-11-03</t>
        </is>
      </c>
      <c r="X287" t="inlineStr">
        <is>
          <t>1992-11-03</t>
        </is>
      </c>
      <c r="Y287" t="n">
        <v>197</v>
      </c>
      <c r="Z287" t="n">
        <v>166</v>
      </c>
      <c r="AA287" t="n">
        <v>413</v>
      </c>
      <c r="AB287" t="n">
        <v>3</v>
      </c>
      <c r="AC287" t="n">
        <v>3</v>
      </c>
      <c r="AD287" t="n">
        <v>4</v>
      </c>
      <c r="AE287" t="n">
        <v>8</v>
      </c>
      <c r="AF287" t="n">
        <v>0</v>
      </c>
      <c r="AG287" t="n">
        <v>3</v>
      </c>
      <c r="AH287" t="n">
        <v>1</v>
      </c>
      <c r="AI287" t="n">
        <v>1</v>
      </c>
      <c r="AJ287" t="n">
        <v>1</v>
      </c>
      <c r="AK287" t="n">
        <v>3</v>
      </c>
      <c r="AL287" t="n">
        <v>2</v>
      </c>
      <c r="AM287" t="n">
        <v>2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HYPERLINK("http://catalog.hathitrust.org/Record/007117353","HathiTrust Record")</f>
        <v/>
      </c>
      <c r="AS287">
        <f>HYPERLINK("https://creighton-primo.hosted.exlibrisgroup.com/primo-explore/search?tab=default_tab&amp;search_scope=EVERYTHING&amp;vid=01CRU&amp;lang=en_US&amp;offset=0&amp;query=any,contains,991005137039702656","Catalog Record")</f>
        <v/>
      </c>
      <c r="AT287">
        <f>HYPERLINK("http://www.worldcat.org/oclc/7578038","WorldCat Record")</f>
        <v/>
      </c>
      <c r="AU287" t="inlineStr">
        <is>
          <t>506757:eng</t>
        </is>
      </c>
      <c r="AV287" t="inlineStr">
        <is>
          <t>7578038</t>
        </is>
      </c>
      <c r="AW287" t="inlineStr">
        <is>
          <t>991005137039702656</t>
        </is>
      </c>
      <c r="AX287" t="inlineStr">
        <is>
          <t>991005137039702656</t>
        </is>
      </c>
      <c r="AY287" t="inlineStr">
        <is>
          <t>2264937750002656</t>
        </is>
      </c>
      <c r="AZ287" t="inlineStr">
        <is>
          <t>BOOK</t>
        </is>
      </c>
      <c r="BB287" t="inlineStr">
        <is>
          <t>9780843601701</t>
        </is>
      </c>
      <c r="BC287" t="inlineStr">
        <is>
          <t>32285001381465</t>
        </is>
      </c>
      <c r="BD287" t="inlineStr">
        <is>
          <t>893594533</t>
        </is>
      </c>
    </row>
    <row r="288">
      <c r="A288" t="inlineStr">
        <is>
          <t>No</t>
        </is>
      </c>
      <c r="B288" t="inlineStr">
        <is>
          <t>HT167 .H38 1977</t>
        </is>
      </c>
      <c r="C288" t="inlineStr">
        <is>
          <t>0                      HT 0167000H  38          1977</t>
        </is>
      </c>
      <c r="D288" t="inlineStr">
        <is>
          <t>Open spaces : the life of American cities / by August Heckscher, with Phyllis Robinson ; maps by Dyck Fledderus.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Heckscher, August, 1913-1997.</t>
        </is>
      </c>
      <c r="L288" t="inlineStr">
        <is>
          <t>New York : Harper &amp; Row, c1977.</t>
        </is>
      </c>
      <c r="M288" t="inlineStr">
        <is>
          <t>1977</t>
        </is>
      </c>
      <c r="N288" t="inlineStr">
        <is>
          <t>1st ed.</t>
        </is>
      </c>
      <c r="O288" t="inlineStr">
        <is>
          <t>eng</t>
        </is>
      </c>
      <c r="P288" t="inlineStr">
        <is>
          <t>nyu</t>
        </is>
      </c>
      <c r="R288" t="inlineStr">
        <is>
          <t xml:space="preserve">HT </t>
        </is>
      </c>
      <c r="S288" t="n">
        <v>1</v>
      </c>
      <c r="T288" t="n">
        <v>1</v>
      </c>
      <c r="U288" t="inlineStr">
        <is>
          <t>2004-06-14</t>
        </is>
      </c>
      <c r="V288" t="inlineStr">
        <is>
          <t>2004-06-14</t>
        </is>
      </c>
      <c r="W288" t="inlineStr">
        <is>
          <t>1998-12-17</t>
        </is>
      </c>
      <c r="X288" t="inlineStr">
        <is>
          <t>1998-12-17</t>
        </is>
      </c>
      <c r="Y288" t="n">
        <v>695</v>
      </c>
      <c r="Z288" t="n">
        <v>580</v>
      </c>
      <c r="AA288" t="n">
        <v>587</v>
      </c>
      <c r="AB288" t="n">
        <v>3</v>
      </c>
      <c r="AC288" t="n">
        <v>3</v>
      </c>
      <c r="AD288" t="n">
        <v>21</v>
      </c>
      <c r="AE288" t="n">
        <v>21</v>
      </c>
      <c r="AF288" t="n">
        <v>6</v>
      </c>
      <c r="AG288" t="n">
        <v>6</v>
      </c>
      <c r="AH288" t="n">
        <v>5</v>
      </c>
      <c r="AI288" t="n">
        <v>5</v>
      </c>
      <c r="AJ288" t="n">
        <v>9</v>
      </c>
      <c r="AK288" t="n">
        <v>9</v>
      </c>
      <c r="AL288" t="n">
        <v>2</v>
      </c>
      <c r="AM288" t="n">
        <v>2</v>
      </c>
      <c r="AN288" t="n">
        <v>3</v>
      </c>
      <c r="AO288" t="n">
        <v>3</v>
      </c>
      <c r="AP288" t="inlineStr">
        <is>
          <t>No</t>
        </is>
      </c>
      <c r="AQ288" t="inlineStr">
        <is>
          <t>Yes</t>
        </is>
      </c>
      <c r="AR288">
        <f>HYPERLINK("http://catalog.hathitrust.org/Record/000086677","HathiTrust Record")</f>
        <v/>
      </c>
      <c r="AS288">
        <f>HYPERLINK("https://creighton-primo.hosted.exlibrisgroup.com/primo-explore/search?tab=default_tab&amp;search_scope=EVERYTHING&amp;vid=01CRU&amp;lang=en_US&amp;offset=0&amp;query=any,contains,991004177599702656","Catalog Record")</f>
        <v/>
      </c>
      <c r="AT288">
        <f>HYPERLINK("http://www.worldcat.org/oclc/2597497","WorldCat Record")</f>
        <v/>
      </c>
      <c r="AU288" t="inlineStr">
        <is>
          <t>326428227:eng</t>
        </is>
      </c>
      <c r="AV288" t="inlineStr">
        <is>
          <t>2597497</t>
        </is>
      </c>
      <c r="AW288" t="inlineStr">
        <is>
          <t>991004177599702656</t>
        </is>
      </c>
      <c r="AX288" t="inlineStr">
        <is>
          <t>991004177599702656</t>
        </is>
      </c>
      <c r="AY288" t="inlineStr">
        <is>
          <t>2268664800002656</t>
        </is>
      </c>
      <c r="AZ288" t="inlineStr">
        <is>
          <t>BOOK</t>
        </is>
      </c>
      <c r="BB288" t="inlineStr">
        <is>
          <t>9780060118013</t>
        </is>
      </c>
      <c r="BC288" t="inlineStr">
        <is>
          <t>32285003507901</t>
        </is>
      </c>
      <c r="BD288" t="inlineStr">
        <is>
          <t>893247247</t>
        </is>
      </c>
    </row>
    <row r="289">
      <c r="A289" t="inlineStr">
        <is>
          <t>No</t>
        </is>
      </c>
      <c r="B289" t="inlineStr">
        <is>
          <t>HT167 .H67 2000</t>
        </is>
      </c>
      <c r="C289" t="inlineStr">
        <is>
          <t>0                      HT 0167000H  67          2000</t>
        </is>
      </c>
      <c r="D289" t="inlineStr">
        <is>
          <t>Ecologically based municipal land use planning / William B. Honachefsky.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Honachefsky, William B.</t>
        </is>
      </c>
      <c r="L289" t="inlineStr">
        <is>
          <t>Boca Raton, Fla. : Lewis Publishers, c2000.</t>
        </is>
      </c>
      <c r="M289" t="inlineStr">
        <is>
          <t>2000</t>
        </is>
      </c>
      <c r="O289" t="inlineStr">
        <is>
          <t>eng</t>
        </is>
      </c>
      <c r="P289" t="inlineStr">
        <is>
          <t>flu</t>
        </is>
      </c>
      <c r="R289" t="inlineStr">
        <is>
          <t xml:space="preserve">HT </t>
        </is>
      </c>
      <c r="S289" t="n">
        <v>1</v>
      </c>
      <c r="T289" t="n">
        <v>1</v>
      </c>
      <c r="U289" t="inlineStr">
        <is>
          <t>2001-02-20</t>
        </is>
      </c>
      <c r="V289" t="inlineStr">
        <is>
          <t>2001-02-20</t>
        </is>
      </c>
      <c r="W289" t="inlineStr">
        <is>
          <t>2001-02-20</t>
        </is>
      </c>
      <c r="X289" t="inlineStr">
        <is>
          <t>2001-02-20</t>
        </is>
      </c>
      <c r="Y289" t="n">
        <v>402</v>
      </c>
      <c r="Z289" t="n">
        <v>303</v>
      </c>
      <c r="AA289" t="n">
        <v>332</v>
      </c>
      <c r="AB289" t="n">
        <v>3</v>
      </c>
      <c r="AC289" t="n">
        <v>3</v>
      </c>
      <c r="AD289" t="n">
        <v>10</v>
      </c>
      <c r="AE289" t="n">
        <v>10</v>
      </c>
      <c r="AF289" t="n">
        <v>2</v>
      </c>
      <c r="AG289" t="n">
        <v>2</v>
      </c>
      <c r="AH289" t="n">
        <v>3</v>
      </c>
      <c r="AI289" t="n">
        <v>3</v>
      </c>
      <c r="AJ289" t="n">
        <v>4</v>
      </c>
      <c r="AK289" t="n">
        <v>4</v>
      </c>
      <c r="AL289" t="n">
        <v>2</v>
      </c>
      <c r="AM289" t="n">
        <v>2</v>
      </c>
      <c r="AN289" t="n">
        <v>0</v>
      </c>
      <c r="AO289" t="n">
        <v>0</v>
      </c>
      <c r="AP289" t="inlineStr">
        <is>
          <t>No</t>
        </is>
      </c>
      <c r="AQ289" t="inlineStr">
        <is>
          <t>No</t>
        </is>
      </c>
      <c r="AS289">
        <f>HYPERLINK("https://creighton-primo.hosted.exlibrisgroup.com/primo-explore/search?tab=default_tab&amp;search_scope=EVERYTHING&amp;vid=01CRU&amp;lang=en_US&amp;offset=0&amp;query=any,contains,991003354989702656","Catalog Record")</f>
        <v/>
      </c>
      <c r="AT289">
        <f>HYPERLINK("http://www.worldcat.org/oclc/41991413","WorldCat Record")</f>
        <v/>
      </c>
      <c r="AU289" t="inlineStr">
        <is>
          <t>44640053:eng</t>
        </is>
      </c>
      <c r="AV289" t="inlineStr">
        <is>
          <t>41991413</t>
        </is>
      </c>
      <c r="AW289" t="inlineStr">
        <is>
          <t>991003354989702656</t>
        </is>
      </c>
      <c r="AX289" t="inlineStr">
        <is>
          <t>991003354989702656</t>
        </is>
      </c>
      <c r="AY289" t="inlineStr">
        <is>
          <t>2262399130002656</t>
        </is>
      </c>
      <c r="AZ289" t="inlineStr">
        <is>
          <t>BOOK</t>
        </is>
      </c>
      <c r="BB289" t="inlineStr">
        <is>
          <t>9781566704069</t>
        </is>
      </c>
      <c r="BC289" t="inlineStr">
        <is>
          <t>32285004295340</t>
        </is>
      </c>
      <c r="BD289" t="inlineStr">
        <is>
          <t>893441216</t>
        </is>
      </c>
    </row>
    <row r="290">
      <c r="A290" t="inlineStr">
        <is>
          <t>No</t>
        </is>
      </c>
      <c r="B290" t="inlineStr">
        <is>
          <t>HT167 .I57 1983</t>
        </is>
      </c>
      <c r="C290" t="inlineStr">
        <is>
          <t>0                      HT 0167000I  57          1983</t>
        </is>
      </c>
      <c r="D290" t="inlineStr">
        <is>
          <t>Introduction to planning history in the United States / edited by Donald A. Krueckeberg.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L290" t="inlineStr">
        <is>
          <t>New Brunswick, N.J. : Center for Urban Policy Research, c1983.</t>
        </is>
      </c>
      <c r="M290" t="inlineStr">
        <is>
          <t>1983</t>
        </is>
      </c>
      <c r="O290" t="inlineStr">
        <is>
          <t>eng</t>
        </is>
      </c>
      <c r="P290" t="inlineStr">
        <is>
          <t>nju</t>
        </is>
      </c>
      <c r="R290" t="inlineStr">
        <is>
          <t xml:space="preserve">HT </t>
        </is>
      </c>
      <c r="S290" t="n">
        <v>4</v>
      </c>
      <c r="T290" t="n">
        <v>4</v>
      </c>
      <c r="U290" t="inlineStr">
        <is>
          <t>1993-12-05</t>
        </is>
      </c>
      <c r="V290" t="inlineStr">
        <is>
          <t>1993-12-05</t>
        </is>
      </c>
      <c r="W290" t="inlineStr">
        <is>
          <t>1992-04-16</t>
        </is>
      </c>
      <c r="X290" t="inlineStr">
        <is>
          <t>1992-04-16</t>
        </is>
      </c>
      <c r="Y290" t="n">
        <v>580</v>
      </c>
      <c r="Z290" t="n">
        <v>498</v>
      </c>
      <c r="AA290" t="n">
        <v>520</v>
      </c>
      <c r="AB290" t="n">
        <v>4</v>
      </c>
      <c r="AC290" t="n">
        <v>4</v>
      </c>
      <c r="AD290" t="n">
        <v>32</v>
      </c>
      <c r="AE290" t="n">
        <v>32</v>
      </c>
      <c r="AF290" t="n">
        <v>10</v>
      </c>
      <c r="AG290" t="n">
        <v>10</v>
      </c>
      <c r="AH290" t="n">
        <v>5</v>
      </c>
      <c r="AI290" t="n">
        <v>5</v>
      </c>
      <c r="AJ290" t="n">
        <v>15</v>
      </c>
      <c r="AK290" t="n">
        <v>15</v>
      </c>
      <c r="AL290" t="n">
        <v>3</v>
      </c>
      <c r="AM290" t="n">
        <v>3</v>
      </c>
      <c r="AN290" t="n">
        <v>6</v>
      </c>
      <c r="AO290" t="n">
        <v>6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HYPERLINK("http://catalog.hathitrust.org/Record/000194743","HathiTrust Record")</f>
        <v/>
      </c>
      <c r="AS290">
        <f>HYPERLINK("https://creighton-primo.hosted.exlibrisgroup.com/primo-explore/search?tab=default_tab&amp;search_scope=EVERYTHING&amp;vid=01CRU&amp;lang=en_US&amp;offset=0&amp;query=any,contains,991000052419702656","Catalog Record")</f>
        <v/>
      </c>
      <c r="AT290">
        <f>HYPERLINK("http://www.worldcat.org/oclc/8689552","WorldCat Record")</f>
        <v/>
      </c>
      <c r="AU290" t="inlineStr">
        <is>
          <t>542787:eng</t>
        </is>
      </c>
      <c r="AV290" t="inlineStr">
        <is>
          <t>8689552</t>
        </is>
      </c>
      <c r="AW290" t="inlineStr">
        <is>
          <t>991000052419702656</t>
        </is>
      </c>
      <c r="AX290" t="inlineStr">
        <is>
          <t>991000052419702656</t>
        </is>
      </c>
      <c r="AY290" t="inlineStr">
        <is>
          <t>2271976760002656</t>
        </is>
      </c>
      <c r="AZ290" t="inlineStr">
        <is>
          <t>BOOK</t>
        </is>
      </c>
      <c r="BB290" t="inlineStr">
        <is>
          <t>9780882850832</t>
        </is>
      </c>
      <c r="BC290" t="inlineStr">
        <is>
          <t>32285001044717</t>
        </is>
      </c>
      <c r="BD290" t="inlineStr">
        <is>
          <t>893589082</t>
        </is>
      </c>
    </row>
    <row r="291">
      <c r="A291" t="inlineStr">
        <is>
          <t>No</t>
        </is>
      </c>
      <c r="B291" t="inlineStr">
        <is>
          <t>HT167 .J63 1990</t>
        </is>
      </c>
      <c r="C291" t="inlineStr">
        <is>
          <t>0                      HT 0167000J  63          1990</t>
        </is>
      </c>
      <c r="D291" t="inlineStr">
        <is>
          <t>Neighborhood planning : a guide for citizens and planners / by Bernie Jones.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Jones, Bernie.</t>
        </is>
      </c>
      <c r="L291" t="inlineStr">
        <is>
          <t>Chicago, Ill. : Planners Press, c1990.</t>
        </is>
      </c>
      <c r="M291" t="inlineStr">
        <is>
          <t>1990</t>
        </is>
      </c>
      <c r="O291" t="inlineStr">
        <is>
          <t>eng</t>
        </is>
      </c>
      <c r="P291" t="inlineStr">
        <is>
          <t>ilu</t>
        </is>
      </c>
      <c r="R291" t="inlineStr">
        <is>
          <t xml:space="preserve">HT </t>
        </is>
      </c>
      <c r="S291" t="n">
        <v>1</v>
      </c>
      <c r="T291" t="n">
        <v>1</v>
      </c>
      <c r="U291" t="inlineStr">
        <is>
          <t>2004-03-10</t>
        </is>
      </c>
      <c r="V291" t="inlineStr">
        <is>
          <t>2004-03-10</t>
        </is>
      </c>
      <c r="W291" t="inlineStr">
        <is>
          <t>1997-11-19</t>
        </is>
      </c>
      <c r="X291" t="inlineStr">
        <is>
          <t>1997-11-19</t>
        </is>
      </c>
      <c r="Y291" t="n">
        <v>285</v>
      </c>
      <c r="Z291" t="n">
        <v>231</v>
      </c>
      <c r="AA291" t="n">
        <v>254</v>
      </c>
      <c r="AB291" t="n">
        <v>4</v>
      </c>
      <c r="AC291" t="n">
        <v>4</v>
      </c>
      <c r="AD291" t="n">
        <v>8</v>
      </c>
      <c r="AE291" t="n">
        <v>8</v>
      </c>
      <c r="AF291" t="n">
        <v>2</v>
      </c>
      <c r="AG291" t="n">
        <v>2</v>
      </c>
      <c r="AH291" t="n">
        <v>1</v>
      </c>
      <c r="AI291" t="n">
        <v>1</v>
      </c>
      <c r="AJ291" t="n">
        <v>1</v>
      </c>
      <c r="AK291" t="n">
        <v>1</v>
      </c>
      <c r="AL291" t="n">
        <v>3</v>
      </c>
      <c r="AM291" t="n">
        <v>3</v>
      </c>
      <c r="AN291" t="n">
        <v>2</v>
      </c>
      <c r="AO291" t="n">
        <v>2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HYPERLINK("http://catalog.hathitrust.org/Record/002448284","HathiTrust Record")</f>
        <v/>
      </c>
      <c r="AS291">
        <f>HYPERLINK("https://creighton-primo.hosted.exlibrisgroup.com/primo-explore/search?tab=default_tab&amp;search_scope=EVERYTHING&amp;vid=01CRU&amp;lang=en_US&amp;offset=0&amp;query=any,contains,991001796949702656","Catalog Record")</f>
        <v/>
      </c>
      <c r="AT291">
        <f>HYPERLINK("http://www.worldcat.org/oclc/22615195","WorldCat Record")</f>
        <v/>
      </c>
      <c r="AU291" t="inlineStr">
        <is>
          <t>475974628:eng</t>
        </is>
      </c>
      <c r="AV291" t="inlineStr">
        <is>
          <t>22615195</t>
        </is>
      </c>
      <c r="AW291" t="inlineStr">
        <is>
          <t>991001796949702656</t>
        </is>
      </c>
      <c r="AX291" t="inlineStr">
        <is>
          <t>991001796949702656</t>
        </is>
      </c>
      <c r="AY291" t="inlineStr">
        <is>
          <t>2270099960002656</t>
        </is>
      </c>
      <c r="AZ291" t="inlineStr">
        <is>
          <t>BOOK</t>
        </is>
      </c>
      <c r="BB291" t="inlineStr">
        <is>
          <t>9780918286673</t>
        </is>
      </c>
      <c r="BC291" t="inlineStr">
        <is>
          <t>32285003271698</t>
        </is>
      </c>
      <c r="BD291" t="inlineStr">
        <is>
          <t>893879191</t>
        </is>
      </c>
    </row>
    <row r="292">
      <c r="A292" t="inlineStr">
        <is>
          <t>No</t>
        </is>
      </c>
      <c r="B292" t="inlineStr">
        <is>
          <t>HT167 .K85 1998</t>
        </is>
      </c>
      <c r="C292" t="inlineStr">
        <is>
          <t>0                      HT 0167000K  85          1998</t>
        </is>
      </c>
      <c r="D292" t="inlineStr">
        <is>
          <t>Home from nowhere : remaking our everyday world for the twenty-first Century / James Howard Kunstler.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Kunstler, James Howard.</t>
        </is>
      </c>
      <c r="L292" t="inlineStr">
        <is>
          <t>New York : Simon &amp; Schuster, 1998, c1996.</t>
        </is>
      </c>
      <c r="M292" t="inlineStr">
        <is>
          <t>1998</t>
        </is>
      </c>
      <c r="N292" t="inlineStr">
        <is>
          <t>1st Touchstone ed.</t>
        </is>
      </c>
      <c r="O292" t="inlineStr">
        <is>
          <t>eng</t>
        </is>
      </c>
      <c r="P292" t="inlineStr">
        <is>
          <t>nyu</t>
        </is>
      </c>
      <c r="R292" t="inlineStr">
        <is>
          <t xml:space="preserve">HT </t>
        </is>
      </c>
      <c r="S292" t="n">
        <v>4</v>
      </c>
      <c r="T292" t="n">
        <v>4</v>
      </c>
      <c r="U292" t="inlineStr">
        <is>
          <t>2008-04-08</t>
        </is>
      </c>
      <c r="V292" t="inlineStr">
        <is>
          <t>2008-04-08</t>
        </is>
      </c>
      <c r="W292" t="inlineStr">
        <is>
          <t>1998-04-13</t>
        </is>
      </c>
      <c r="X292" t="inlineStr">
        <is>
          <t>1998-04-13</t>
        </is>
      </c>
      <c r="Y292" t="n">
        <v>224</v>
      </c>
      <c r="Z292" t="n">
        <v>184</v>
      </c>
      <c r="AA292" t="n">
        <v>953</v>
      </c>
      <c r="AB292" t="n">
        <v>3</v>
      </c>
      <c r="AC292" t="n">
        <v>9</v>
      </c>
      <c r="AD292" t="n">
        <v>4</v>
      </c>
      <c r="AE292" t="n">
        <v>34</v>
      </c>
      <c r="AF292" t="n">
        <v>1</v>
      </c>
      <c r="AG292" t="n">
        <v>12</v>
      </c>
      <c r="AH292" t="n">
        <v>1</v>
      </c>
      <c r="AI292" t="n">
        <v>9</v>
      </c>
      <c r="AJ292" t="n">
        <v>0</v>
      </c>
      <c r="AK292" t="n">
        <v>16</v>
      </c>
      <c r="AL292" t="n">
        <v>2</v>
      </c>
      <c r="AM292" t="n">
        <v>7</v>
      </c>
      <c r="AN292" t="n">
        <v>0</v>
      </c>
      <c r="AO292" t="n">
        <v>0</v>
      </c>
      <c r="AP292" t="inlineStr">
        <is>
          <t>No</t>
        </is>
      </c>
      <c r="AQ292" t="inlineStr">
        <is>
          <t>Yes</t>
        </is>
      </c>
      <c r="AR292">
        <f>HYPERLINK("http://catalog.hathitrust.org/Record/004001032","HathiTrust Record")</f>
        <v/>
      </c>
      <c r="AS292">
        <f>HYPERLINK("https://creighton-primo.hosted.exlibrisgroup.com/primo-explore/search?tab=default_tab&amp;search_scope=EVERYTHING&amp;vid=01CRU&amp;lang=en_US&amp;offset=0&amp;query=any,contains,991002914419702656","Catalog Record")</f>
        <v/>
      </c>
      <c r="AT292">
        <f>HYPERLINK("http://www.worldcat.org/oclc/38538045","WorldCat Record")</f>
        <v/>
      </c>
      <c r="AU292" t="inlineStr">
        <is>
          <t>572616:eng</t>
        </is>
      </c>
      <c r="AV292" t="inlineStr">
        <is>
          <t>38538045</t>
        </is>
      </c>
      <c r="AW292" t="inlineStr">
        <is>
          <t>991002914419702656</t>
        </is>
      </c>
      <c r="AX292" t="inlineStr">
        <is>
          <t>991002914419702656</t>
        </is>
      </c>
      <c r="AY292" t="inlineStr">
        <is>
          <t>2260083100002656</t>
        </is>
      </c>
      <c r="AZ292" t="inlineStr">
        <is>
          <t>BOOK</t>
        </is>
      </c>
      <c r="BB292" t="inlineStr">
        <is>
          <t>9780684837376</t>
        </is>
      </c>
      <c r="BC292" t="inlineStr">
        <is>
          <t>32285003384483</t>
        </is>
      </c>
      <c r="BD292" t="inlineStr">
        <is>
          <t>893227433</t>
        </is>
      </c>
    </row>
    <row r="293">
      <c r="A293" t="inlineStr">
        <is>
          <t>No</t>
        </is>
      </c>
      <c r="B293" t="inlineStr">
        <is>
          <t>HT167 .L48 1996</t>
        </is>
      </c>
      <c r="C293" t="inlineStr">
        <is>
          <t>0                      HT 0167000L  48          1996</t>
        </is>
      </c>
      <c r="D293" t="inlineStr">
        <is>
          <t>Shaping suburbia : how political institutions organize urban development / Paul G. Lewis.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Lewis, Paul G.</t>
        </is>
      </c>
      <c r="L293" t="inlineStr">
        <is>
          <t>Pittsburgh, Pa. : University of Pittsburgh Press, c1996.</t>
        </is>
      </c>
      <c r="M293" t="inlineStr">
        <is>
          <t>1996</t>
        </is>
      </c>
      <c r="O293" t="inlineStr">
        <is>
          <t>eng</t>
        </is>
      </c>
      <c r="P293" t="inlineStr">
        <is>
          <t>pau</t>
        </is>
      </c>
      <c r="Q293" t="inlineStr">
        <is>
          <t>Pitt series in policy and institutitonal studies</t>
        </is>
      </c>
      <c r="R293" t="inlineStr">
        <is>
          <t xml:space="preserve">HT </t>
        </is>
      </c>
      <c r="S293" t="n">
        <v>6</v>
      </c>
      <c r="T293" t="n">
        <v>6</v>
      </c>
      <c r="U293" t="inlineStr">
        <is>
          <t>2003-03-23</t>
        </is>
      </c>
      <c r="V293" t="inlineStr">
        <is>
          <t>2003-03-23</t>
        </is>
      </c>
      <c r="W293" t="inlineStr">
        <is>
          <t>1997-11-18</t>
        </is>
      </c>
      <c r="X293" t="inlineStr">
        <is>
          <t>1997-11-18</t>
        </is>
      </c>
      <c r="Y293" t="n">
        <v>546</v>
      </c>
      <c r="Z293" t="n">
        <v>477</v>
      </c>
      <c r="AA293" t="n">
        <v>968</v>
      </c>
      <c r="AB293" t="n">
        <v>4</v>
      </c>
      <c r="AC293" t="n">
        <v>5</v>
      </c>
      <c r="AD293" t="n">
        <v>27</v>
      </c>
      <c r="AE293" t="n">
        <v>35</v>
      </c>
      <c r="AF293" t="n">
        <v>11</v>
      </c>
      <c r="AG293" t="n">
        <v>16</v>
      </c>
      <c r="AH293" t="n">
        <v>6</v>
      </c>
      <c r="AI293" t="n">
        <v>7</v>
      </c>
      <c r="AJ293" t="n">
        <v>15</v>
      </c>
      <c r="AK293" t="n">
        <v>17</v>
      </c>
      <c r="AL293" t="n">
        <v>3</v>
      </c>
      <c r="AM293" t="n">
        <v>4</v>
      </c>
      <c r="AN293" t="n">
        <v>2</v>
      </c>
      <c r="AO293" t="n">
        <v>2</v>
      </c>
      <c r="AP293" t="inlineStr">
        <is>
          <t>No</t>
        </is>
      </c>
      <c r="AQ293" t="inlineStr">
        <is>
          <t>Yes</t>
        </is>
      </c>
      <c r="AR293">
        <f>HYPERLINK("http://catalog.hathitrust.org/Record/003103888","HathiTrust Record")</f>
        <v/>
      </c>
      <c r="AS293">
        <f>HYPERLINK("https://creighton-primo.hosted.exlibrisgroup.com/primo-explore/search?tab=default_tab&amp;search_scope=EVERYTHING&amp;vid=01CRU&amp;lang=en_US&amp;offset=0&amp;query=any,contains,991002590229702656","Catalog Record")</f>
        <v/>
      </c>
      <c r="AT293">
        <f>HYPERLINK("http://www.worldcat.org/oclc/33947760","WorldCat Record")</f>
        <v/>
      </c>
      <c r="AU293" t="inlineStr">
        <is>
          <t>363759300:eng</t>
        </is>
      </c>
      <c r="AV293" t="inlineStr">
        <is>
          <t>33947760</t>
        </is>
      </c>
      <c r="AW293" t="inlineStr">
        <is>
          <t>991002590229702656</t>
        </is>
      </c>
      <c r="AX293" t="inlineStr">
        <is>
          <t>991002590229702656</t>
        </is>
      </c>
      <c r="AY293" t="inlineStr">
        <is>
          <t>2262050570002656</t>
        </is>
      </c>
      <c r="AZ293" t="inlineStr">
        <is>
          <t>BOOK</t>
        </is>
      </c>
      <c r="BB293" t="inlineStr">
        <is>
          <t>9780822939382</t>
        </is>
      </c>
      <c r="BC293" t="inlineStr">
        <is>
          <t>32285003271490</t>
        </is>
      </c>
      <c r="BD293" t="inlineStr">
        <is>
          <t>893597635</t>
        </is>
      </c>
    </row>
    <row r="294">
      <c r="A294" t="inlineStr">
        <is>
          <t>No</t>
        </is>
      </c>
      <c r="B294" t="inlineStr">
        <is>
          <t>HT167 .M45 1984</t>
        </is>
      </c>
      <c r="C294" t="inlineStr">
        <is>
          <t>0                      HT 0167000M  45          1984</t>
        </is>
      </c>
      <c r="D294" t="inlineStr">
        <is>
          <t>Metropolis to metroplex : the social and spatial planning of cities / Jack Meltzer.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Meltzer, Jack.</t>
        </is>
      </c>
      <c r="L294" t="inlineStr">
        <is>
          <t>Baltimore : The Johns Hopkins University Press, c1984.</t>
        </is>
      </c>
      <c r="M294" t="inlineStr">
        <is>
          <t>1984</t>
        </is>
      </c>
      <c r="O294" t="inlineStr">
        <is>
          <t>eng</t>
        </is>
      </c>
      <c r="P294" t="inlineStr">
        <is>
          <t>mdu</t>
        </is>
      </c>
      <c r="R294" t="inlineStr">
        <is>
          <t xml:space="preserve">HT </t>
        </is>
      </c>
      <c r="S294" t="n">
        <v>2</v>
      </c>
      <c r="T294" t="n">
        <v>2</v>
      </c>
      <c r="U294" t="inlineStr">
        <is>
          <t>1994-08-30</t>
        </is>
      </c>
      <c r="V294" t="inlineStr">
        <is>
          <t>1994-08-30</t>
        </is>
      </c>
      <c r="W294" t="inlineStr">
        <is>
          <t>1994-05-06</t>
        </is>
      </c>
      <c r="X294" t="inlineStr">
        <is>
          <t>1994-05-06</t>
        </is>
      </c>
      <c r="Y294" t="n">
        <v>410</v>
      </c>
      <c r="Z294" t="n">
        <v>325</v>
      </c>
      <c r="AA294" t="n">
        <v>327</v>
      </c>
      <c r="AB294" t="n">
        <v>3</v>
      </c>
      <c r="AC294" t="n">
        <v>3</v>
      </c>
      <c r="AD294" t="n">
        <v>16</v>
      </c>
      <c r="AE294" t="n">
        <v>16</v>
      </c>
      <c r="AF294" t="n">
        <v>6</v>
      </c>
      <c r="AG294" t="n">
        <v>6</v>
      </c>
      <c r="AH294" t="n">
        <v>4</v>
      </c>
      <c r="AI294" t="n">
        <v>4</v>
      </c>
      <c r="AJ294" t="n">
        <v>10</v>
      </c>
      <c r="AK294" t="n">
        <v>10</v>
      </c>
      <c r="AL294" t="n">
        <v>2</v>
      </c>
      <c r="AM294" t="n">
        <v>2</v>
      </c>
      <c r="AN294" t="n">
        <v>1</v>
      </c>
      <c r="AO294" t="n">
        <v>1</v>
      </c>
      <c r="AP294" t="inlineStr">
        <is>
          <t>No</t>
        </is>
      </c>
      <c r="AQ294" t="inlineStr">
        <is>
          <t>Yes</t>
        </is>
      </c>
      <c r="AR294">
        <f>HYPERLINK("http://catalog.hathitrust.org/Record/000247496","HathiTrust Record")</f>
        <v/>
      </c>
      <c r="AS294">
        <f>HYPERLINK("https://creighton-primo.hosted.exlibrisgroup.com/primo-explore/search?tab=default_tab&amp;search_scope=EVERYTHING&amp;vid=01CRU&amp;lang=en_US&amp;offset=0&amp;query=any,contains,991000370339702656","Catalog Record")</f>
        <v/>
      </c>
      <c r="AT294">
        <f>HYPERLINK("http://www.worldcat.org/oclc/10429941","WorldCat Record")</f>
        <v/>
      </c>
      <c r="AU294" t="inlineStr">
        <is>
          <t>292892155:eng</t>
        </is>
      </c>
      <c r="AV294" t="inlineStr">
        <is>
          <t>10429941</t>
        </is>
      </c>
      <c r="AW294" t="inlineStr">
        <is>
          <t>991000370339702656</t>
        </is>
      </c>
      <c r="AX294" t="inlineStr">
        <is>
          <t>991000370339702656</t>
        </is>
      </c>
      <c r="AY294" t="inlineStr">
        <is>
          <t>2259384230002656</t>
        </is>
      </c>
      <c r="AZ294" t="inlineStr">
        <is>
          <t>BOOK</t>
        </is>
      </c>
      <c r="BB294" t="inlineStr">
        <is>
          <t>9780801831522</t>
        </is>
      </c>
      <c r="BC294" t="inlineStr">
        <is>
          <t>32285001879161</t>
        </is>
      </c>
      <c r="BD294" t="inlineStr">
        <is>
          <t>893231061</t>
        </is>
      </c>
    </row>
    <row r="295">
      <c r="A295" t="inlineStr">
        <is>
          <t>No</t>
        </is>
      </c>
      <c r="B295" t="inlineStr">
        <is>
          <t>HT167 .O44 1979</t>
        </is>
      </c>
      <c r="C295" t="inlineStr">
        <is>
          <t>0                      HT 0167000O  44          1979</t>
        </is>
      </c>
      <c r="D295" t="inlineStr">
        <is>
          <t>Civilizing American cities : a selection of Frederick Law Olmsted's writings on city landscapes / Edited by S. B. Sutton.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Olmsted, Frederick Law, 1822-1903.</t>
        </is>
      </c>
      <c r="L295" t="inlineStr">
        <is>
          <t>Cambridge, Mass. : MIT Press, 1979, c1971.</t>
        </is>
      </c>
      <c r="M295" t="inlineStr">
        <is>
          <t>1979</t>
        </is>
      </c>
      <c r="N295" t="inlineStr">
        <is>
          <t>lst. paperback ed.</t>
        </is>
      </c>
      <c r="O295" t="inlineStr">
        <is>
          <t>eng</t>
        </is>
      </c>
      <c r="P295" t="inlineStr">
        <is>
          <t>mau</t>
        </is>
      </c>
      <c r="R295" t="inlineStr">
        <is>
          <t xml:space="preserve">HT </t>
        </is>
      </c>
      <c r="S295" t="n">
        <v>6</v>
      </c>
      <c r="T295" t="n">
        <v>6</v>
      </c>
      <c r="U295" t="inlineStr">
        <is>
          <t>2005-04-05</t>
        </is>
      </c>
      <c r="V295" t="inlineStr">
        <is>
          <t>2005-04-05</t>
        </is>
      </c>
      <c r="W295" t="inlineStr">
        <is>
          <t>1993-05-06</t>
        </is>
      </c>
      <c r="X295" t="inlineStr">
        <is>
          <t>1993-05-06</t>
        </is>
      </c>
      <c r="Y295" t="n">
        <v>57</v>
      </c>
      <c r="Z295" t="n">
        <v>48</v>
      </c>
      <c r="AA295" t="n">
        <v>675</v>
      </c>
      <c r="AB295" t="n">
        <v>1</v>
      </c>
      <c r="AC295" t="n">
        <v>4</v>
      </c>
      <c r="AD295" t="n">
        <v>3</v>
      </c>
      <c r="AE295" t="n">
        <v>28</v>
      </c>
      <c r="AF295" t="n">
        <v>2</v>
      </c>
      <c r="AG295" t="n">
        <v>9</v>
      </c>
      <c r="AH295" t="n">
        <v>1</v>
      </c>
      <c r="AI295" t="n">
        <v>8</v>
      </c>
      <c r="AJ295" t="n">
        <v>1</v>
      </c>
      <c r="AK295" t="n">
        <v>13</v>
      </c>
      <c r="AL295" t="n">
        <v>0</v>
      </c>
      <c r="AM295" t="n">
        <v>3</v>
      </c>
      <c r="AN295" t="n">
        <v>0</v>
      </c>
      <c r="AO295" t="n">
        <v>1</v>
      </c>
      <c r="AP295" t="inlineStr">
        <is>
          <t>No</t>
        </is>
      </c>
      <c r="AQ295" t="inlineStr">
        <is>
          <t>No</t>
        </is>
      </c>
      <c r="AS295">
        <f>HYPERLINK("https://creighton-primo.hosted.exlibrisgroup.com/primo-explore/search?tab=default_tab&amp;search_scope=EVERYTHING&amp;vid=01CRU&amp;lang=en_US&amp;offset=0&amp;query=any,contains,991004819479702656","Catalog Record")</f>
        <v/>
      </c>
      <c r="AT295">
        <f>HYPERLINK("http://www.worldcat.org/oclc/5322794","WorldCat Record")</f>
        <v/>
      </c>
      <c r="AU295" t="inlineStr">
        <is>
          <t>1282441:eng</t>
        </is>
      </c>
      <c r="AV295" t="inlineStr">
        <is>
          <t>5322794</t>
        </is>
      </c>
      <c r="AW295" t="inlineStr">
        <is>
          <t>991004819479702656</t>
        </is>
      </c>
      <c r="AX295" t="inlineStr">
        <is>
          <t>991004819479702656</t>
        </is>
      </c>
      <c r="AY295" t="inlineStr">
        <is>
          <t>2268549890002656</t>
        </is>
      </c>
      <c r="AZ295" t="inlineStr">
        <is>
          <t>BOOK</t>
        </is>
      </c>
      <c r="BB295" t="inlineStr">
        <is>
          <t>9780262650120</t>
        </is>
      </c>
      <c r="BC295" t="inlineStr">
        <is>
          <t>32285001673580</t>
        </is>
      </c>
      <c r="BD295" t="inlineStr">
        <is>
          <t>893424227</t>
        </is>
      </c>
    </row>
    <row r="296">
      <c r="A296" t="inlineStr">
        <is>
          <t>No</t>
        </is>
      </c>
      <c r="B296" t="inlineStr">
        <is>
          <t>HT167 .P557 1996</t>
        </is>
      </c>
      <c r="C296" t="inlineStr">
        <is>
          <t>0                      HT 0167000P  557         1996</t>
        </is>
      </c>
      <c r="D296" t="inlineStr">
        <is>
          <t>Planning the twentieth-century American city / edited by Mary Corbin Sies and Christopher Silver.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L296" t="inlineStr">
        <is>
          <t>Baltimore : Johns Hopkins University Press, 1996.</t>
        </is>
      </c>
      <c r="M296" t="inlineStr">
        <is>
          <t>1996</t>
        </is>
      </c>
      <c r="O296" t="inlineStr">
        <is>
          <t>eng</t>
        </is>
      </c>
      <c r="P296" t="inlineStr">
        <is>
          <t>mdu</t>
        </is>
      </c>
      <c r="R296" t="inlineStr">
        <is>
          <t xml:space="preserve">HT </t>
        </is>
      </c>
      <c r="S296" t="n">
        <v>6</v>
      </c>
      <c r="T296" t="n">
        <v>6</v>
      </c>
      <c r="U296" t="inlineStr">
        <is>
          <t>2004-06-14</t>
        </is>
      </c>
      <c r="V296" t="inlineStr">
        <is>
          <t>2004-06-14</t>
        </is>
      </c>
      <c r="W296" t="inlineStr">
        <is>
          <t>1997-01-28</t>
        </is>
      </c>
      <c r="X296" t="inlineStr">
        <is>
          <t>1997-01-28</t>
        </is>
      </c>
      <c r="Y296" t="n">
        <v>433</v>
      </c>
      <c r="Z296" t="n">
        <v>338</v>
      </c>
      <c r="AA296" t="n">
        <v>345</v>
      </c>
      <c r="AB296" t="n">
        <v>3</v>
      </c>
      <c r="AC296" t="n">
        <v>3</v>
      </c>
      <c r="AD296" t="n">
        <v>15</v>
      </c>
      <c r="AE296" t="n">
        <v>15</v>
      </c>
      <c r="AF296" t="n">
        <v>7</v>
      </c>
      <c r="AG296" t="n">
        <v>7</v>
      </c>
      <c r="AH296" t="n">
        <v>4</v>
      </c>
      <c r="AI296" t="n">
        <v>4</v>
      </c>
      <c r="AJ296" t="n">
        <v>7</v>
      </c>
      <c r="AK296" t="n">
        <v>7</v>
      </c>
      <c r="AL296" t="n">
        <v>2</v>
      </c>
      <c r="AM296" t="n">
        <v>2</v>
      </c>
      <c r="AN296" t="n">
        <v>1</v>
      </c>
      <c r="AO296" t="n">
        <v>1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HYPERLINK("http://catalog.hathitrust.org/Record/003075684","HathiTrust Record")</f>
        <v/>
      </c>
      <c r="AS296">
        <f>HYPERLINK("https://creighton-primo.hosted.exlibrisgroup.com/primo-explore/search?tab=default_tab&amp;search_scope=EVERYTHING&amp;vid=01CRU&amp;lang=en_US&amp;offset=0&amp;query=any,contains,991002534829702656","Catalog Record")</f>
        <v/>
      </c>
      <c r="AT296">
        <f>HYPERLINK("http://www.worldcat.org/oclc/32927251","WorldCat Record")</f>
        <v/>
      </c>
      <c r="AU296" t="inlineStr">
        <is>
          <t>473835763:eng</t>
        </is>
      </c>
      <c r="AV296" t="inlineStr">
        <is>
          <t>32927251</t>
        </is>
      </c>
      <c r="AW296" t="inlineStr">
        <is>
          <t>991002534829702656</t>
        </is>
      </c>
      <c r="AX296" t="inlineStr">
        <is>
          <t>991002534829702656</t>
        </is>
      </c>
      <c r="AY296" t="inlineStr">
        <is>
          <t>2259638690002656</t>
        </is>
      </c>
      <c r="AZ296" t="inlineStr">
        <is>
          <t>BOOK</t>
        </is>
      </c>
      <c r="BB296" t="inlineStr">
        <is>
          <t>9780801851636</t>
        </is>
      </c>
      <c r="BC296" t="inlineStr">
        <is>
          <t>32285002412202</t>
        </is>
      </c>
      <c r="BD296" t="inlineStr">
        <is>
          <t>893251342</t>
        </is>
      </c>
    </row>
    <row r="297">
      <c r="A297" t="inlineStr">
        <is>
          <t>No</t>
        </is>
      </c>
      <c r="B297" t="inlineStr">
        <is>
          <t>HT167 .S285 1986</t>
        </is>
      </c>
      <c r="C297" t="inlineStr">
        <is>
          <t>0                      HT 0167000S  285         1986</t>
        </is>
      </c>
      <c r="D297" t="inlineStr">
        <is>
          <t>The new urban landscape : the redefinition of city form in nineteenth-century America / David Schuyler.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Schuyler, David.</t>
        </is>
      </c>
      <c r="L297" t="inlineStr">
        <is>
          <t>Baltimore : Johns Hopkins University Press, c1986.</t>
        </is>
      </c>
      <c r="M297" t="inlineStr">
        <is>
          <t>1986</t>
        </is>
      </c>
      <c r="O297" t="inlineStr">
        <is>
          <t>eng</t>
        </is>
      </c>
      <c r="P297" t="inlineStr">
        <is>
          <t>mdu</t>
        </is>
      </c>
      <c r="Q297" t="inlineStr">
        <is>
          <t>New studies in American intellectual and cultural history</t>
        </is>
      </c>
      <c r="R297" t="inlineStr">
        <is>
          <t xml:space="preserve">HT </t>
        </is>
      </c>
      <c r="S297" t="n">
        <v>6</v>
      </c>
      <c r="T297" t="n">
        <v>6</v>
      </c>
      <c r="U297" t="inlineStr">
        <is>
          <t>2006-11-14</t>
        </is>
      </c>
      <c r="V297" t="inlineStr">
        <is>
          <t>2006-11-14</t>
        </is>
      </c>
      <c r="W297" t="inlineStr">
        <is>
          <t>1992-03-23</t>
        </is>
      </c>
      <c r="X297" t="inlineStr">
        <is>
          <t>1992-03-23</t>
        </is>
      </c>
      <c r="Y297" t="n">
        <v>666</v>
      </c>
      <c r="Z297" t="n">
        <v>572</v>
      </c>
      <c r="AA297" t="n">
        <v>615</v>
      </c>
      <c r="AB297" t="n">
        <v>4</v>
      </c>
      <c r="AC297" t="n">
        <v>4</v>
      </c>
      <c r="AD297" t="n">
        <v>27</v>
      </c>
      <c r="AE297" t="n">
        <v>29</v>
      </c>
      <c r="AF297" t="n">
        <v>9</v>
      </c>
      <c r="AG297" t="n">
        <v>11</v>
      </c>
      <c r="AH297" t="n">
        <v>8</v>
      </c>
      <c r="AI297" t="n">
        <v>8</v>
      </c>
      <c r="AJ297" t="n">
        <v>14</v>
      </c>
      <c r="AK297" t="n">
        <v>15</v>
      </c>
      <c r="AL297" t="n">
        <v>3</v>
      </c>
      <c r="AM297" t="n">
        <v>3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HYPERLINK("http://catalog.hathitrust.org/Record/000487279","HathiTrust Record")</f>
        <v/>
      </c>
      <c r="AS297">
        <f>HYPERLINK("https://creighton-primo.hosted.exlibrisgroup.com/primo-explore/search?tab=default_tab&amp;search_scope=EVERYTHING&amp;vid=01CRU&amp;lang=en_US&amp;offset=0&amp;query=any,contains,991000823029702656","Catalog Record")</f>
        <v/>
      </c>
      <c r="AT297">
        <f>HYPERLINK("http://www.worldcat.org/oclc/13396519","WorldCat Record")</f>
        <v/>
      </c>
      <c r="AU297" t="inlineStr">
        <is>
          <t>7824984:eng</t>
        </is>
      </c>
      <c r="AV297" t="inlineStr">
        <is>
          <t>13396519</t>
        </is>
      </c>
      <c r="AW297" t="inlineStr">
        <is>
          <t>991000823029702656</t>
        </is>
      </c>
      <c r="AX297" t="inlineStr">
        <is>
          <t>991000823029702656</t>
        </is>
      </c>
      <c r="AY297" t="inlineStr">
        <is>
          <t>2260709050002656</t>
        </is>
      </c>
      <c r="AZ297" t="inlineStr">
        <is>
          <t>BOOK</t>
        </is>
      </c>
      <c r="BB297" t="inlineStr">
        <is>
          <t>9780801832314</t>
        </is>
      </c>
      <c r="BC297" t="inlineStr">
        <is>
          <t>32285001027902</t>
        </is>
      </c>
      <c r="BD297" t="inlineStr">
        <is>
          <t>893903179</t>
        </is>
      </c>
    </row>
    <row r="298">
      <c r="A298" t="inlineStr">
        <is>
          <t>No</t>
        </is>
      </c>
      <c r="B298" t="inlineStr">
        <is>
          <t>HT167 .S3</t>
        </is>
      </c>
      <c r="C298" t="inlineStr">
        <is>
          <t>0                      HT 0167000S  3</t>
        </is>
      </c>
      <c r="D298" t="inlineStr">
        <is>
          <t>American city planning since 1890; a history commemorating the fiftieth anniversary of the American Institute of Planners [by] Mel Scott.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Yes</t>
        </is>
      </c>
      <c r="J298" t="inlineStr">
        <is>
          <t>0</t>
        </is>
      </c>
      <c r="K298" t="inlineStr">
        <is>
          <t>Scott, Mel, 1906-1988.</t>
        </is>
      </c>
      <c r="L298" t="inlineStr">
        <is>
          <t>Berkeley, University of California Press, 1969.</t>
        </is>
      </c>
      <c r="M298" t="inlineStr">
        <is>
          <t>1969</t>
        </is>
      </c>
      <c r="O298" t="inlineStr">
        <is>
          <t>eng</t>
        </is>
      </c>
      <c r="P298" t="inlineStr">
        <is>
          <t>cau</t>
        </is>
      </c>
      <c r="R298" t="inlineStr">
        <is>
          <t xml:space="preserve">HT </t>
        </is>
      </c>
      <c r="S298" t="n">
        <v>3</v>
      </c>
      <c r="T298" t="n">
        <v>3</v>
      </c>
      <c r="U298" t="inlineStr">
        <is>
          <t>2004-06-14</t>
        </is>
      </c>
      <c r="V298" t="inlineStr">
        <is>
          <t>2004-06-14</t>
        </is>
      </c>
      <c r="W298" t="inlineStr">
        <is>
          <t>1997-08-18</t>
        </is>
      </c>
      <c r="X298" t="inlineStr">
        <is>
          <t>1997-08-18</t>
        </is>
      </c>
      <c r="Y298" t="n">
        <v>902</v>
      </c>
      <c r="Z298" t="n">
        <v>770</v>
      </c>
      <c r="AA298" t="n">
        <v>882</v>
      </c>
      <c r="AB298" t="n">
        <v>5</v>
      </c>
      <c r="AC298" t="n">
        <v>6</v>
      </c>
      <c r="AD298" t="n">
        <v>36</v>
      </c>
      <c r="AE298" t="n">
        <v>39</v>
      </c>
      <c r="AF298" t="n">
        <v>15</v>
      </c>
      <c r="AG298" t="n">
        <v>17</v>
      </c>
      <c r="AH298" t="n">
        <v>6</v>
      </c>
      <c r="AI298" t="n">
        <v>6</v>
      </c>
      <c r="AJ298" t="n">
        <v>17</v>
      </c>
      <c r="AK298" t="n">
        <v>17</v>
      </c>
      <c r="AL298" t="n">
        <v>4</v>
      </c>
      <c r="AM298" t="n">
        <v>4</v>
      </c>
      <c r="AN298" t="n">
        <v>3</v>
      </c>
      <c r="AO298" t="n">
        <v>4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HYPERLINK("http://catalog.hathitrust.org/Record/001130017","HathiTrust Record")</f>
        <v/>
      </c>
      <c r="AS298">
        <f>HYPERLINK("https://creighton-primo.hosted.exlibrisgroup.com/primo-explore/search?tab=default_tab&amp;search_scope=EVERYTHING&amp;vid=01CRU&amp;lang=en_US&amp;offset=0&amp;query=any,contains,991000110859702656","Catalog Record")</f>
        <v/>
      </c>
      <c r="AT298">
        <f>HYPERLINK("http://www.worldcat.org/oclc/48017","WorldCat Record")</f>
        <v/>
      </c>
      <c r="AU298" t="inlineStr">
        <is>
          <t>500411:eng</t>
        </is>
      </c>
      <c r="AV298" t="inlineStr">
        <is>
          <t>48017</t>
        </is>
      </c>
      <c r="AW298" t="inlineStr">
        <is>
          <t>991000110859702656</t>
        </is>
      </c>
      <c r="AX298" t="inlineStr">
        <is>
          <t>991000110859702656</t>
        </is>
      </c>
      <c r="AY298" t="inlineStr">
        <is>
          <t>2263003570002656</t>
        </is>
      </c>
      <c r="AZ298" t="inlineStr">
        <is>
          <t>BOOK</t>
        </is>
      </c>
      <c r="BB298" t="inlineStr">
        <is>
          <t>9780520013827</t>
        </is>
      </c>
      <c r="BC298" t="inlineStr">
        <is>
          <t>32285003147047</t>
        </is>
      </c>
      <c r="BD298" t="inlineStr">
        <is>
          <t>893230878</t>
        </is>
      </c>
    </row>
    <row r="299">
      <c r="A299" t="inlineStr">
        <is>
          <t>No</t>
        </is>
      </c>
      <c r="B299" t="inlineStr">
        <is>
          <t>HT167 .U7277 1997</t>
        </is>
      </c>
      <c r="C299" t="inlineStr">
        <is>
          <t>0                      HT 0167000U  7277        1997</t>
        </is>
      </c>
      <c r="D299" t="inlineStr">
        <is>
          <t>Urban planning and the African American community : in the shadows / June Manning Thomas, Marsha Ritzdorf, editors.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L299" t="inlineStr">
        <is>
          <t>Thousand Oaks : Sage Publications, c1997.</t>
        </is>
      </c>
      <c r="M299" t="inlineStr">
        <is>
          <t>1997</t>
        </is>
      </c>
      <c r="O299" t="inlineStr">
        <is>
          <t>eng</t>
        </is>
      </c>
      <c r="P299" t="inlineStr">
        <is>
          <t>cau</t>
        </is>
      </c>
      <c r="R299" t="inlineStr">
        <is>
          <t xml:space="preserve">HT </t>
        </is>
      </c>
      <c r="S299" t="n">
        <v>13</v>
      </c>
      <c r="T299" t="n">
        <v>13</v>
      </c>
      <c r="U299" t="inlineStr">
        <is>
          <t>2008-11-25</t>
        </is>
      </c>
      <c r="V299" t="inlineStr">
        <is>
          <t>2008-11-25</t>
        </is>
      </c>
      <c r="W299" t="inlineStr">
        <is>
          <t>1997-12-02</t>
        </is>
      </c>
      <c r="X299" t="inlineStr">
        <is>
          <t>1997-12-02</t>
        </is>
      </c>
      <c r="Y299" t="n">
        <v>474</v>
      </c>
      <c r="Z299" t="n">
        <v>418</v>
      </c>
      <c r="AA299" t="n">
        <v>420</v>
      </c>
      <c r="AB299" t="n">
        <v>6</v>
      </c>
      <c r="AC299" t="n">
        <v>6</v>
      </c>
      <c r="AD299" t="n">
        <v>25</v>
      </c>
      <c r="AE299" t="n">
        <v>25</v>
      </c>
      <c r="AF299" t="n">
        <v>6</v>
      </c>
      <c r="AG299" t="n">
        <v>6</v>
      </c>
      <c r="AH299" t="n">
        <v>5</v>
      </c>
      <c r="AI299" t="n">
        <v>5</v>
      </c>
      <c r="AJ299" t="n">
        <v>11</v>
      </c>
      <c r="AK299" t="n">
        <v>11</v>
      </c>
      <c r="AL299" t="n">
        <v>5</v>
      </c>
      <c r="AM299" t="n">
        <v>5</v>
      </c>
      <c r="AN299" t="n">
        <v>3</v>
      </c>
      <c r="AO299" t="n">
        <v>3</v>
      </c>
      <c r="AP299" t="inlineStr">
        <is>
          <t>No</t>
        </is>
      </c>
      <c r="AQ299" t="inlineStr">
        <is>
          <t>Yes</t>
        </is>
      </c>
      <c r="AR299">
        <f>HYPERLINK("http://catalog.hathitrust.org/Record/003122757","HathiTrust Record")</f>
        <v/>
      </c>
      <c r="AS299">
        <f>HYPERLINK("https://creighton-primo.hosted.exlibrisgroup.com/primo-explore/search?tab=default_tab&amp;search_scope=EVERYTHING&amp;vid=01CRU&amp;lang=en_US&amp;offset=0&amp;query=any,contains,991002684369702656","Catalog Record")</f>
        <v/>
      </c>
      <c r="AT299">
        <f>HYPERLINK("http://www.worldcat.org/oclc/35084237","WorldCat Record")</f>
        <v/>
      </c>
      <c r="AU299" t="inlineStr">
        <is>
          <t>836991060:eng</t>
        </is>
      </c>
      <c r="AV299" t="inlineStr">
        <is>
          <t>35084237</t>
        </is>
      </c>
      <c r="AW299" t="inlineStr">
        <is>
          <t>991002684369702656</t>
        </is>
      </c>
      <c r="AX299" t="inlineStr">
        <is>
          <t>991002684369702656</t>
        </is>
      </c>
      <c r="AY299" t="inlineStr">
        <is>
          <t>2255170250002656</t>
        </is>
      </c>
      <c r="AZ299" t="inlineStr">
        <is>
          <t>BOOK</t>
        </is>
      </c>
      <c r="BB299" t="inlineStr">
        <is>
          <t>9780803972339</t>
        </is>
      </c>
      <c r="BC299" t="inlineStr">
        <is>
          <t>32285003280491</t>
        </is>
      </c>
      <c r="BD299" t="inlineStr">
        <is>
          <t>893704374</t>
        </is>
      </c>
    </row>
    <row r="300">
      <c r="A300" t="inlineStr">
        <is>
          <t>No</t>
        </is>
      </c>
      <c r="B300" t="inlineStr">
        <is>
          <t>HT167 .W48</t>
        </is>
      </c>
      <c r="C300" t="inlineStr">
        <is>
          <t>0                      HT 0167000W  48</t>
        </is>
      </c>
      <c r="D300" t="inlineStr">
        <is>
          <t>The last landscape / [by] William H. Whyte.</t>
        </is>
      </c>
      <c r="F300" t="inlineStr">
        <is>
          <t>No</t>
        </is>
      </c>
      <c r="G300" t="inlineStr">
        <is>
          <t>1</t>
        </is>
      </c>
      <c r="H300" t="inlineStr">
        <is>
          <t>Yes</t>
        </is>
      </c>
      <c r="I300" t="inlineStr">
        <is>
          <t>No</t>
        </is>
      </c>
      <c r="J300" t="inlineStr">
        <is>
          <t>0</t>
        </is>
      </c>
      <c r="K300" t="inlineStr">
        <is>
          <t>Whyte, William H., Jr. 1917-1999.</t>
        </is>
      </c>
      <c r="L300" t="inlineStr">
        <is>
          <t>Garden City, N.Y. : Doubleday, 1968.</t>
        </is>
      </c>
      <c r="M300" t="inlineStr">
        <is>
          <t>1968</t>
        </is>
      </c>
      <c r="N300" t="inlineStr">
        <is>
          <t>[1st ed.]</t>
        </is>
      </c>
      <c r="O300" t="inlineStr">
        <is>
          <t>eng</t>
        </is>
      </c>
      <c r="P300" t="inlineStr">
        <is>
          <t>nyu</t>
        </is>
      </c>
      <c r="R300" t="inlineStr">
        <is>
          <t xml:space="preserve">HT </t>
        </is>
      </c>
      <c r="S300" t="n">
        <v>2</v>
      </c>
      <c r="T300" t="n">
        <v>2</v>
      </c>
      <c r="U300" t="inlineStr">
        <is>
          <t>1997-04-06</t>
        </is>
      </c>
      <c r="V300" t="inlineStr">
        <is>
          <t>1997-04-06</t>
        </is>
      </c>
      <c r="W300" t="inlineStr">
        <is>
          <t>1995-06-13</t>
        </is>
      </c>
      <c r="X300" t="inlineStr">
        <is>
          <t>1995-06-13</t>
        </is>
      </c>
      <c r="Y300" t="n">
        <v>1247</v>
      </c>
      <c r="Z300" t="n">
        <v>1105</v>
      </c>
      <c r="AA300" t="n">
        <v>1526</v>
      </c>
      <c r="AB300" t="n">
        <v>5</v>
      </c>
      <c r="AC300" t="n">
        <v>10</v>
      </c>
      <c r="AD300" t="n">
        <v>33</v>
      </c>
      <c r="AE300" t="n">
        <v>55</v>
      </c>
      <c r="AF300" t="n">
        <v>12</v>
      </c>
      <c r="AG300" t="n">
        <v>21</v>
      </c>
      <c r="AH300" t="n">
        <v>7</v>
      </c>
      <c r="AI300" t="n">
        <v>9</v>
      </c>
      <c r="AJ300" t="n">
        <v>17</v>
      </c>
      <c r="AK300" t="n">
        <v>23</v>
      </c>
      <c r="AL300" t="n">
        <v>3</v>
      </c>
      <c r="AM300" t="n">
        <v>8</v>
      </c>
      <c r="AN300" t="n">
        <v>4</v>
      </c>
      <c r="AO300" t="n">
        <v>7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HYPERLINK("http://catalog.hathitrust.org/Record/001119390","HathiTrust Record")</f>
        <v/>
      </c>
      <c r="AS300">
        <f>HYPERLINK("https://creighton-primo.hosted.exlibrisgroup.com/primo-explore/search?tab=default_tab&amp;search_scope=EVERYTHING&amp;vid=01CRU&amp;lang=en_US&amp;offset=0&amp;query=any,contains,991001771989702656","Catalog Record")</f>
        <v/>
      </c>
      <c r="AT300">
        <f>HYPERLINK("http://www.worldcat.org/oclc/160231","WorldCat Record")</f>
        <v/>
      </c>
      <c r="AU300" t="inlineStr">
        <is>
          <t>1263885:eng</t>
        </is>
      </c>
      <c r="AV300" t="inlineStr">
        <is>
          <t>160231</t>
        </is>
      </c>
      <c r="AW300" t="inlineStr">
        <is>
          <t>991001771989702656</t>
        </is>
      </c>
      <c r="AX300" t="inlineStr">
        <is>
          <t>991001771989702656</t>
        </is>
      </c>
      <c r="AY300" t="inlineStr">
        <is>
          <t>2267264010002656</t>
        </is>
      </c>
      <c r="AZ300" t="inlineStr">
        <is>
          <t>BOOK</t>
        </is>
      </c>
      <c r="BC300" t="inlineStr">
        <is>
          <t>32285002060480</t>
        </is>
      </c>
      <c r="BD300" t="inlineStr">
        <is>
          <t>893866470</t>
        </is>
      </c>
    </row>
    <row r="301">
      <c r="A301" t="inlineStr">
        <is>
          <t>No</t>
        </is>
      </c>
      <c r="B301" t="inlineStr">
        <is>
          <t>HT168.N5 D66 1996</t>
        </is>
      </c>
      <c r="C301" t="inlineStr">
        <is>
          <t>0                      HT 0168000N  5                  D  66          1996</t>
        </is>
      </c>
      <c r="D301" t="inlineStr">
        <is>
          <t>Invented cities : the creation of landscape in nineteenth-century New York &amp; Boston / Mona Domosh.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Domosh, Mona, 1957-</t>
        </is>
      </c>
      <c r="L301" t="inlineStr">
        <is>
          <t>New Haven : Yale University Press, c1996.</t>
        </is>
      </c>
      <c r="M301" t="inlineStr">
        <is>
          <t>1996</t>
        </is>
      </c>
      <c r="O301" t="inlineStr">
        <is>
          <t>eng</t>
        </is>
      </c>
      <c r="P301" t="inlineStr">
        <is>
          <t>ctu</t>
        </is>
      </c>
      <c r="R301" t="inlineStr">
        <is>
          <t xml:space="preserve">HT </t>
        </is>
      </c>
      <c r="S301" t="n">
        <v>4</v>
      </c>
      <c r="T301" t="n">
        <v>4</v>
      </c>
      <c r="U301" t="inlineStr">
        <is>
          <t>1999-06-17</t>
        </is>
      </c>
      <c r="V301" t="inlineStr">
        <is>
          <t>1999-06-17</t>
        </is>
      </c>
      <c r="W301" t="inlineStr">
        <is>
          <t>1997-04-07</t>
        </is>
      </c>
      <c r="X301" t="inlineStr">
        <is>
          <t>1997-04-07</t>
        </is>
      </c>
      <c r="Y301" t="n">
        <v>615</v>
      </c>
      <c r="Z301" t="n">
        <v>498</v>
      </c>
      <c r="AA301" t="n">
        <v>504</v>
      </c>
      <c r="AB301" t="n">
        <v>2</v>
      </c>
      <c r="AC301" t="n">
        <v>2</v>
      </c>
      <c r="AD301" t="n">
        <v>23</v>
      </c>
      <c r="AE301" t="n">
        <v>23</v>
      </c>
      <c r="AF301" t="n">
        <v>10</v>
      </c>
      <c r="AG301" t="n">
        <v>10</v>
      </c>
      <c r="AH301" t="n">
        <v>6</v>
      </c>
      <c r="AI301" t="n">
        <v>6</v>
      </c>
      <c r="AJ301" t="n">
        <v>14</v>
      </c>
      <c r="AK301" t="n">
        <v>14</v>
      </c>
      <c r="AL301" t="n">
        <v>1</v>
      </c>
      <c r="AM301" t="n">
        <v>1</v>
      </c>
      <c r="AN301" t="n">
        <v>0</v>
      </c>
      <c r="AO301" t="n">
        <v>0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HYPERLINK("https://creighton-primo.hosted.exlibrisgroup.com/primo-explore/search?tab=default_tab&amp;search_scope=EVERYTHING&amp;vid=01CRU&amp;lang=en_US&amp;offset=0&amp;query=any,contains,991002470849702656","Catalog Record")</f>
        <v/>
      </c>
      <c r="AT301">
        <f>HYPERLINK("http://www.worldcat.org/oclc/32168468","WorldCat Record")</f>
        <v/>
      </c>
      <c r="AU301" t="inlineStr">
        <is>
          <t>34074016:eng</t>
        </is>
      </c>
      <c r="AV301" t="inlineStr">
        <is>
          <t>32168468</t>
        </is>
      </c>
      <c r="AW301" t="inlineStr">
        <is>
          <t>991002470849702656</t>
        </is>
      </c>
      <c r="AX301" t="inlineStr">
        <is>
          <t>991002470849702656</t>
        </is>
      </c>
      <c r="AY301" t="inlineStr">
        <is>
          <t>2262388610002656</t>
        </is>
      </c>
      <c r="AZ301" t="inlineStr">
        <is>
          <t>BOOK</t>
        </is>
      </c>
      <c r="BB301" t="inlineStr">
        <is>
          <t>9780300062373</t>
        </is>
      </c>
      <c r="BC301" t="inlineStr">
        <is>
          <t>32285002479813</t>
        </is>
      </c>
      <c r="BD301" t="inlineStr">
        <is>
          <t>893804644</t>
        </is>
      </c>
    </row>
    <row r="302">
      <c r="A302" t="inlineStr">
        <is>
          <t>No</t>
        </is>
      </c>
      <c r="B302" t="inlineStr">
        <is>
          <t>HT168.O45 S57 1977</t>
        </is>
      </c>
      <c r="C302" t="inlineStr">
        <is>
          <t>0                      HT 0168000O  45                 S  57          1977</t>
        </is>
      </c>
      <c r="D302" t="inlineStr">
        <is>
          <t>Urban builder : life and times of Stanley Draper / by James M. Smallwood.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Smallwood, James.</t>
        </is>
      </c>
      <c r="L302" t="inlineStr">
        <is>
          <t>[Norman] : Published for the Oklahoma Heritage Association by the University of Oklahoma Press, c1977.</t>
        </is>
      </c>
      <c r="M302" t="inlineStr">
        <is>
          <t>1977</t>
        </is>
      </c>
      <c r="N302" t="inlineStr">
        <is>
          <t>1st ed.</t>
        </is>
      </c>
      <c r="O302" t="inlineStr">
        <is>
          <t>eng</t>
        </is>
      </c>
      <c r="P302" t="inlineStr">
        <is>
          <t>oku</t>
        </is>
      </c>
      <c r="Q302" t="inlineStr">
        <is>
          <t>Oklahoma trackmaker series ; v. 5</t>
        </is>
      </c>
      <c r="R302" t="inlineStr">
        <is>
          <t xml:space="preserve">HT </t>
        </is>
      </c>
      <c r="S302" t="n">
        <v>3</v>
      </c>
      <c r="T302" t="n">
        <v>3</v>
      </c>
      <c r="U302" t="inlineStr">
        <is>
          <t>2000-11-26</t>
        </is>
      </c>
      <c r="V302" t="inlineStr">
        <is>
          <t>2000-11-26</t>
        </is>
      </c>
      <c r="W302" t="inlineStr">
        <is>
          <t>1993-05-06</t>
        </is>
      </c>
      <c r="X302" t="inlineStr">
        <is>
          <t>1993-05-06</t>
        </is>
      </c>
      <c r="Y302" t="n">
        <v>162</v>
      </c>
      <c r="Z302" t="n">
        <v>155</v>
      </c>
      <c r="AA302" t="n">
        <v>155</v>
      </c>
      <c r="AB302" t="n">
        <v>2</v>
      </c>
      <c r="AC302" t="n">
        <v>2</v>
      </c>
      <c r="AD302" t="n">
        <v>5</v>
      </c>
      <c r="AE302" t="n">
        <v>5</v>
      </c>
      <c r="AF302" t="n">
        <v>1</v>
      </c>
      <c r="AG302" t="n">
        <v>1</v>
      </c>
      <c r="AH302" t="n">
        <v>0</v>
      </c>
      <c r="AI302" t="n">
        <v>0</v>
      </c>
      <c r="AJ302" t="n">
        <v>1</v>
      </c>
      <c r="AK302" t="n">
        <v>1</v>
      </c>
      <c r="AL302" t="n">
        <v>1</v>
      </c>
      <c r="AM302" t="n">
        <v>1</v>
      </c>
      <c r="AN302" t="n">
        <v>2</v>
      </c>
      <c r="AO302" t="n">
        <v>2</v>
      </c>
      <c r="AP302" t="inlineStr">
        <is>
          <t>No</t>
        </is>
      </c>
      <c r="AQ302" t="inlineStr">
        <is>
          <t>No</t>
        </is>
      </c>
      <c r="AS302">
        <f>HYPERLINK("https://creighton-primo.hosted.exlibrisgroup.com/primo-explore/search?tab=default_tab&amp;search_scope=EVERYTHING&amp;vid=01CRU&amp;lang=en_US&amp;offset=0&amp;query=any,contains,991004385819702656","Catalog Record")</f>
        <v/>
      </c>
      <c r="AT302">
        <f>HYPERLINK("http://www.worldcat.org/oclc/3241006","WorldCat Record")</f>
        <v/>
      </c>
      <c r="AU302" t="inlineStr">
        <is>
          <t>9514519:eng</t>
        </is>
      </c>
      <c r="AV302" t="inlineStr">
        <is>
          <t>3241006</t>
        </is>
      </c>
      <c r="AW302" t="inlineStr">
        <is>
          <t>991004385819702656</t>
        </is>
      </c>
      <c r="AX302" t="inlineStr">
        <is>
          <t>991004385819702656</t>
        </is>
      </c>
      <c r="AY302" t="inlineStr">
        <is>
          <t>2269842810002656</t>
        </is>
      </c>
      <c r="AZ302" t="inlineStr">
        <is>
          <t>BOOK</t>
        </is>
      </c>
      <c r="BB302" t="inlineStr">
        <is>
          <t>9780806114477</t>
        </is>
      </c>
      <c r="BC302" t="inlineStr">
        <is>
          <t>32285001673630</t>
        </is>
      </c>
      <c r="BD302" t="inlineStr">
        <is>
          <t>893782177</t>
        </is>
      </c>
    </row>
    <row r="303">
      <c r="A303" t="inlineStr">
        <is>
          <t>No</t>
        </is>
      </c>
      <c r="B303" t="inlineStr">
        <is>
          <t>HT169.5 .G53 1992</t>
        </is>
      </c>
      <c r="C303" t="inlineStr">
        <is>
          <t>0                      HT 0169500G  53          1992</t>
        </is>
      </c>
      <c r="D303" t="inlineStr">
        <is>
          <t>Cities, poverty, and development : urbanization in the Third World / Alan Gilbert and Josef Gugler.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Gilbert, Alan, 1944-</t>
        </is>
      </c>
      <c r="L303" t="inlineStr">
        <is>
          <t>Oxford ; New York : Oxford University Press, 1992.</t>
        </is>
      </c>
      <c r="M303" t="inlineStr">
        <is>
          <t>1992</t>
        </is>
      </c>
      <c r="N303" t="inlineStr">
        <is>
          <t>2nd ed.</t>
        </is>
      </c>
      <c r="O303" t="inlineStr">
        <is>
          <t>eng</t>
        </is>
      </c>
      <c r="P303" t="inlineStr">
        <is>
          <t>enk</t>
        </is>
      </c>
      <c r="R303" t="inlineStr">
        <is>
          <t xml:space="preserve">HT </t>
        </is>
      </c>
      <c r="S303" t="n">
        <v>21</v>
      </c>
      <c r="T303" t="n">
        <v>21</v>
      </c>
      <c r="U303" t="inlineStr">
        <is>
          <t>2003-02-15</t>
        </is>
      </c>
      <c r="V303" t="inlineStr">
        <is>
          <t>2003-02-15</t>
        </is>
      </c>
      <c r="W303" t="inlineStr">
        <is>
          <t>1994-11-14</t>
        </is>
      </c>
      <c r="X303" t="inlineStr">
        <is>
          <t>1994-11-14</t>
        </is>
      </c>
      <c r="Y303" t="n">
        <v>519</v>
      </c>
      <c r="Z303" t="n">
        <v>272</v>
      </c>
      <c r="AA303" t="n">
        <v>537</v>
      </c>
      <c r="AB303" t="n">
        <v>2</v>
      </c>
      <c r="AC303" t="n">
        <v>5</v>
      </c>
      <c r="AD303" t="n">
        <v>15</v>
      </c>
      <c r="AE303" t="n">
        <v>26</v>
      </c>
      <c r="AF303" t="n">
        <v>6</v>
      </c>
      <c r="AG303" t="n">
        <v>9</v>
      </c>
      <c r="AH303" t="n">
        <v>5</v>
      </c>
      <c r="AI303" t="n">
        <v>6</v>
      </c>
      <c r="AJ303" t="n">
        <v>8</v>
      </c>
      <c r="AK303" t="n">
        <v>13</v>
      </c>
      <c r="AL303" t="n">
        <v>1</v>
      </c>
      <c r="AM303" t="n">
        <v>4</v>
      </c>
      <c r="AN303" t="n">
        <v>0</v>
      </c>
      <c r="AO303" t="n">
        <v>0</v>
      </c>
      <c r="AP303" t="inlineStr">
        <is>
          <t>No</t>
        </is>
      </c>
      <c r="AQ303" t="inlineStr">
        <is>
          <t>Yes</t>
        </is>
      </c>
      <c r="AR303">
        <f>HYPERLINK("http://catalog.hathitrust.org/Record/002571836","HathiTrust Record")</f>
        <v/>
      </c>
      <c r="AS303">
        <f>HYPERLINK("https://creighton-primo.hosted.exlibrisgroup.com/primo-explore/search?tab=default_tab&amp;search_scope=EVERYTHING&amp;vid=01CRU&amp;lang=en_US&amp;offset=0&amp;query=any,contains,991001932279702656","Catalog Record")</f>
        <v/>
      </c>
      <c r="AT303">
        <f>HYPERLINK("http://www.worldcat.org/oclc/24380176","WorldCat Record")</f>
        <v/>
      </c>
      <c r="AU303" t="inlineStr">
        <is>
          <t>198774199:eng</t>
        </is>
      </c>
      <c r="AV303" t="inlineStr">
        <is>
          <t>24380176</t>
        </is>
      </c>
      <c r="AW303" t="inlineStr">
        <is>
          <t>991001932279702656</t>
        </is>
      </c>
      <c r="AX303" t="inlineStr">
        <is>
          <t>991001932279702656</t>
        </is>
      </c>
      <c r="AY303" t="inlineStr">
        <is>
          <t>2264224590002656</t>
        </is>
      </c>
      <c r="AZ303" t="inlineStr">
        <is>
          <t>BOOK</t>
        </is>
      </c>
      <c r="BB303" t="inlineStr">
        <is>
          <t>9780198741602</t>
        </is>
      </c>
      <c r="BC303" t="inlineStr">
        <is>
          <t>32285001958270</t>
        </is>
      </c>
      <c r="BD303" t="inlineStr">
        <is>
          <t>893414638</t>
        </is>
      </c>
    </row>
    <row r="304">
      <c r="A304" t="inlineStr">
        <is>
          <t>No</t>
        </is>
      </c>
      <c r="B304" t="inlineStr">
        <is>
          <t>HT169.5 .U72</t>
        </is>
      </c>
      <c r="C304" t="inlineStr">
        <is>
          <t>0                      HT 0169500U  72</t>
        </is>
      </c>
      <c r="D304" t="inlineStr">
        <is>
          <t>Urban planning practice in developing countries / editors : John L. Taylor and David G. Williams.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L304" t="inlineStr">
        <is>
          <t>Oxford ; New York : Pergamon, 1982.</t>
        </is>
      </c>
      <c r="M304" t="inlineStr">
        <is>
          <t>1982</t>
        </is>
      </c>
      <c r="N304" t="inlineStr">
        <is>
          <t>1st ed.</t>
        </is>
      </c>
      <c r="O304" t="inlineStr">
        <is>
          <t>eng</t>
        </is>
      </c>
      <c r="P304" t="inlineStr">
        <is>
          <t>enk</t>
        </is>
      </c>
      <c r="Q304" t="inlineStr">
        <is>
          <t>Urban and regional planning series ; v. 25</t>
        </is>
      </c>
      <c r="R304" t="inlineStr">
        <is>
          <t xml:space="preserve">HT </t>
        </is>
      </c>
      <c r="S304" t="n">
        <v>3</v>
      </c>
      <c r="T304" t="n">
        <v>3</v>
      </c>
      <c r="U304" t="inlineStr">
        <is>
          <t>2002-08-23</t>
        </is>
      </c>
      <c r="V304" t="inlineStr">
        <is>
          <t>2002-08-23</t>
        </is>
      </c>
      <c r="W304" t="inlineStr">
        <is>
          <t>1993-05-07</t>
        </is>
      </c>
      <c r="X304" t="inlineStr">
        <is>
          <t>1993-05-07</t>
        </is>
      </c>
      <c r="Y304" t="n">
        <v>347</v>
      </c>
      <c r="Z304" t="n">
        <v>199</v>
      </c>
      <c r="AA304" t="n">
        <v>238</v>
      </c>
      <c r="AB304" t="n">
        <v>3</v>
      </c>
      <c r="AC304" t="n">
        <v>3</v>
      </c>
      <c r="AD304" t="n">
        <v>2</v>
      </c>
      <c r="AE304" t="n">
        <v>5</v>
      </c>
      <c r="AF304" t="n">
        <v>0</v>
      </c>
      <c r="AG304" t="n">
        <v>2</v>
      </c>
      <c r="AH304" t="n">
        <v>0</v>
      </c>
      <c r="AI304" t="n">
        <v>2</v>
      </c>
      <c r="AJ304" t="n">
        <v>0</v>
      </c>
      <c r="AK304" t="n">
        <v>0</v>
      </c>
      <c r="AL304" t="n">
        <v>2</v>
      </c>
      <c r="AM304" t="n">
        <v>2</v>
      </c>
      <c r="AN304" t="n">
        <v>0</v>
      </c>
      <c r="AO304" t="n">
        <v>0</v>
      </c>
      <c r="AP304" t="inlineStr">
        <is>
          <t>No</t>
        </is>
      </c>
      <c r="AQ304" t="inlineStr">
        <is>
          <t>No</t>
        </is>
      </c>
      <c r="AS304">
        <f>HYPERLINK("https://creighton-primo.hosted.exlibrisgroup.com/primo-explore/search?tab=default_tab&amp;search_scope=EVERYTHING&amp;vid=01CRU&amp;lang=en_US&amp;offset=0&amp;query=any,contains,991005224659702656","Catalog Record")</f>
        <v/>
      </c>
      <c r="AT304">
        <f>HYPERLINK("http://www.worldcat.org/oclc/8277749","WorldCat Record")</f>
        <v/>
      </c>
      <c r="AU304" t="inlineStr">
        <is>
          <t>352308125:eng</t>
        </is>
      </c>
      <c r="AV304" t="inlineStr">
        <is>
          <t>8277749</t>
        </is>
      </c>
      <c r="AW304" t="inlineStr">
        <is>
          <t>991005224659702656</t>
        </is>
      </c>
      <c r="AX304" t="inlineStr">
        <is>
          <t>991005224659702656</t>
        </is>
      </c>
      <c r="AY304" t="inlineStr">
        <is>
          <t>2265933960002656</t>
        </is>
      </c>
      <c r="AZ304" t="inlineStr">
        <is>
          <t>BOOK</t>
        </is>
      </c>
      <c r="BB304" t="inlineStr">
        <is>
          <t>9780080222257</t>
        </is>
      </c>
      <c r="BC304" t="inlineStr">
        <is>
          <t>32285001673739</t>
        </is>
      </c>
      <c r="BD304" t="inlineStr">
        <is>
          <t>893713668</t>
        </is>
      </c>
    </row>
    <row r="305">
      <c r="A305" t="inlineStr">
        <is>
          <t>No</t>
        </is>
      </c>
      <c r="B305" t="inlineStr">
        <is>
          <t>HT169.55 .R62</t>
        </is>
      </c>
      <c r="C305" t="inlineStr">
        <is>
          <t>0                      HT 0169550R  62</t>
        </is>
      </c>
      <c r="D305" t="inlineStr">
        <is>
          <t>Cities and city planning / Lloyd Rodwin, with Hugh Evans ... [et al.].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Rodwin, Lloyd.</t>
        </is>
      </c>
      <c r="L305" t="inlineStr">
        <is>
          <t>New York : Plenum Press, c1981.</t>
        </is>
      </c>
      <c r="M305" t="inlineStr">
        <is>
          <t>1981</t>
        </is>
      </c>
      <c r="O305" t="inlineStr">
        <is>
          <t>eng</t>
        </is>
      </c>
      <c r="P305" t="inlineStr">
        <is>
          <t>nyu</t>
        </is>
      </c>
      <c r="Q305" t="inlineStr">
        <is>
          <t>Environment, development, and public policy. Cities and development</t>
        </is>
      </c>
      <c r="R305" t="inlineStr">
        <is>
          <t xml:space="preserve">HT </t>
        </is>
      </c>
      <c r="S305" t="n">
        <v>2</v>
      </c>
      <c r="T305" t="n">
        <v>2</v>
      </c>
      <c r="U305" t="inlineStr">
        <is>
          <t>1997-04-14</t>
        </is>
      </c>
      <c r="V305" t="inlineStr">
        <is>
          <t>1997-04-14</t>
        </is>
      </c>
      <c r="W305" t="inlineStr">
        <is>
          <t>1992-11-30</t>
        </is>
      </c>
      <c r="X305" t="inlineStr">
        <is>
          <t>1992-11-30</t>
        </is>
      </c>
      <c r="Y305" t="n">
        <v>549</v>
      </c>
      <c r="Z305" t="n">
        <v>416</v>
      </c>
      <c r="AA305" t="n">
        <v>428</v>
      </c>
      <c r="AB305" t="n">
        <v>4</v>
      </c>
      <c r="AC305" t="n">
        <v>4</v>
      </c>
      <c r="AD305" t="n">
        <v>19</v>
      </c>
      <c r="AE305" t="n">
        <v>19</v>
      </c>
      <c r="AF305" t="n">
        <v>6</v>
      </c>
      <c r="AG305" t="n">
        <v>6</v>
      </c>
      <c r="AH305" t="n">
        <v>3</v>
      </c>
      <c r="AI305" t="n">
        <v>3</v>
      </c>
      <c r="AJ305" t="n">
        <v>5</v>
      </c>
      <c r="AK305" t="n">
        <v>5</v>
      </c>
      <c r="AL305" t="n">
        <v>3</v>
      </c>
      <c r="AM305" t="n">
        <v>3</v>
      </c>
      <c r="AN305" t="n">
        <v>4</v>
      </c>
      <c r="AO305" t="n">
        <v>4</v>
      </c>
      <c r="AP305" t="inlineStr">
        <is>
          <t>No</t>
        </is>
      </c>
      <c r="AQ305" t="inlineStr">
        <is>
          <t>Yes</t>
        </is>
      </c>
      <c r="AR305">
        <f>HYPERLINK("http://catalog.hathitrust.org/Record/004399928","HathiTrust Record")</f>
        <v/>
      </c>
      <c r="AS305">
        <f>HYPERLINK("https://creighton-primo.hosted.exlibrisgroup.com/primo-explore/search?tab=default_tab&amp;search_scope=EVERYTHING&amp;vid=01CRU&amp;lang=en_US&amp;offset=0&amp;query=any,contains,991005159659702656","Catalog Record")</f>
        <v/>
      </c>
      <c r="AT305">
        <f>HYPERLINK("http://www.worldcat.org/oclc/7773819","WorldCat Record")</f>
        <v/>
      </c>
      <c r="AU305" t="inlineStr">
        <is>
          <t>437797:eng</t>
        </is>
      </c>
      <c r="AV305" t="inlineStr">
        <is>
          <t>7773819</t>
        </is>
      </c>
      <c r="AW305" t="inlineStr">
        <is>
          <t>991005159659702656</t>
        </is>
      </c>
      <c r="AX305" t="inlineStr">
        <is>
          <t>991005159659702656</t>
        </is>
      </c>
      <c r="AY305" t="inlineStr">
        <is>
          <t>2269365540002656</t>
        </is>
      </c>
      <c r="AZ305" t="inlineStr">
        <is>
          <t>BOOK</t>
        </is>
      </c>
      <c r="BB305" t="inlineStr">
        <is>
          <t>9780306406669</t>
        </is>
      </c>
      <c r="BC305" t="inlineStr">
        <is>
          <t>32285001410165</t>
        </is>
      </c>
      <c r="BD305" t="inlineStr">
        <is>
          <t>893236372</t>
        </is>
      </c>
    </row>
    <row r="306">
      <c r="A306" t="inlineStr">
        <is>
          <t>No</t>
        </is>
      </c>
      <c r="B306" t="inlineStr">
        <is>
          <t>HT169.A8 N38</t>
        </is>
      </c>
      <c r="C306" t="inlineStr">
        <is>
          <t>0                      HT 0169000A  8                  N  38</t>
        </is>
      </c>
      <c r="D306" t="inlineStr">
        <is>
          <t>Australian urban policy / Max Neutze.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Neutze, Max, 1934-</t>
        </is>
      </c>
      <c r="L306" t="inlineStr">
        <is>
          <t>Sydney ; Boston : G. Allen &amp; Unwin, 1978.</t>
        </is>
      </c>
      <c r="M306" t="inlineStr">
        <is>
          <t>1978</t>
        </is>
      </c>
      <c r="O306" t="inlineStr">
        <is>
          <t>eng</t>
        </is>
      </c>
      <c r="P306" t="inlineStr">
        <is>
          <t xml:space="preserve">at </t>
        </is>
      </c>
      <c r="R306" t="inlineStr">
        <is>
          <t xml:space="preserve">HT </t>
        </is>
      </c>
      <c r="S306" t="n">
        <v>2</v>
      </c>
      <c r="T306" t="n">
        <v>2</v>
      </c>
      <c r="U306" t="inlineStr">
        <is>
          <t>1996-02-24</t>
        </is>
      </c>
      <c r="V306" t="inlineStr">
        <is>
          <t>1996-02-24</t>
        </is>
      </c>
      <c r="W306" t="inlineStr">
        <is>
          <t>1993-05-06</t>
        </is>
      </c>
      <c r="X306" t="inlineStr">
        <is>
          <t>1993-05-06</t>
        </is>
      </c>
      <c r="Y306" t="n">
        <v>254</v>
      </c>
      <c r="Z306" t="n">
        <v>137</v>
      </c>
      <c r="AA306" t="n">
        <v>142</v>
      </c>
      <c r="AB306" t="n">
        <v>2</v>
      </c>
      <c r="AC306" t="n">
        <v>2</v>
      </c>
      <c r="AD306" t="n">
        <v>3</v>
      </c>
      <c r="AE306" t="n">
        <v>3</v>
      </c>
      <c r="AF306" t="n">
        <v>1</v>
      </c>
      <c r="AG306" t="n">
        <v>1</v>
      </c>
      <c r="AH306" t="n">
        <v>2</v>
      </c>
      <c r="AI306" t="n">
        <v>2</v>
      </c>
      <c r="AJ306" t="n">
        <v>1</v>
      </c>
      <c r="AK306" t="n">
        <v>1</v>
      </c>
      <c r="AL306" t="n">
        <v>1</v>
      </c>
      <c r="AM306" t="n">
        <v>1</v>
      </c>
      <c r="AN306" t="n">
        <v>0</v>
      </c>
      <c r="AO306" t="n">
        <v>0</v>
      </c>
      <c r="AP306" t="inlineStr">
        <is>
          <t>No</t>
        </is>
      </c>
      <c r="AQ306" t="inlineStr">
        <is>
          <t>No</t>
        </is>
      </c>
      <c r="AS306">
        <f>HYPERLINK("https://creighton-primo.hosted.exlibrisgroup.com/primo-explore/search?tab=default_tab&amp;search_scope=EVERYTHING&amp;vid=01CRU&amp;lang=en_US&amp;offset=0&amp;query=any,contains,991004738769702656","Catalog Record")</f>
        <v/>
      </c>
      <c r="AT306">
        <f>HYPERLINK("http://www.worldcat.org/oclc/4870573","WorldCat Record")</f>
        <v/>
      </c>
      <c r="AU306" t="inlineStr">
        <is>
          <t>15032829:eng</t>
        </is>
      </c>
      <c r="AV306" t="inlineStr">
        <is>
          <t>4870573</t>
        </is>
      </c>
      <c r="AW306" t="inlineStr">
        <is>
          <t>991004738769702656</t>
        </is>
      </c>
      <c r="AX306" t="inlineStr">
        <is>
          <t>991004738769702656</t>
        </is>
      </c>
      <c r="AY306" t="inlineStr">
        <is>
          <t>2261684120002656</t>
        </is>
      </c>
      <c r="AZ306" t="inlineStr">
        <is>
          <t>BOOK</t>
        </is>
      </c>
      <c r="BB306" t="inlineStr">
        <is>
          <t>9780868612249</t>
        </is>
      </c>
      <c r="BC306" t="inlineStr">
        <is>
          <t>32285001673655</t>
        </is>
      </c>
      <c r="BD306" t="inlineStr">
        <is>
          <t>893882877</t>
        </is>
      </c>
    </row>
    <row r="307">
      <c r="A307" t="inlineStr">
        <is>
          <t>No</t>
        </is>
      </c>
      <c r="B307" t="inlineStr">
        <is>
          <t>HT169.C8 Q54 1997</t>
        </is>
      </c>
      <c r="C307" t="inlineStr">
        <is>
          <t>0                      HT 0169000C  8                  Q  54          1997</t>
        </is>
      </c>
      <c r="D307" t="inlineStr">
        <is>
          <t>Quiénes hacen ciudad? : ambiente urbano y participación popular : Cuba, Puerto Rico, República Dominicana / Mario Coyula Cowley ... [et al.].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L307" t="inlineStr">
        <is>
          <t>Cuenca, Ecuador : Ediciones SIAP, 1997.</t>
        </is>
      </c>
      <c r="M307" t="inlineStr">
        <is>
          <t>1997</t>
        </is>
      </c>
      <c r="N307" t="inlineStr">
        <is>
          <t>1. ed.</t>
        </is>
      </c>
      <c r="O307" t="inlineStr">
        <is>
          <t>spa</t>
        </is>
      </c>
      <c r="P307" t="inlineStr">
        <is>
          <t xml:space="preserve">ec </t>
        </is>
      </c>
      <c r="R307" t="inlineStr">
        <is>
          <t xml:space="preserve">HT </t>
        </is>
      </c>
      <c r="S307" t="n">
        <v>1</v>
      </c>
      <c r="T307" t="n">
        <v>1</v>
      </c>
      <c r="U307" t="inlineStr">
        <is>
          <t>2001-06-07</t>
        </is>
      </c>
      <c r="V307" t="inlineStr">
        <is>
          <t>2001-06-07</t>
        </is>
      </c>
      <c r="W307" t="inlineStr">
        <is>
          <t>2001-06-07</t>
        </is>
      </c>
      <c r="X307" t="inlineStr">
        <is>
          <t>2001-06-07</t>
        </is>
      </c>
      <c r="Y307" t="n">
        <v>12</v>
      </c>
      <c r="Z307" t="n">
        <v>11</v>
      </c>
      <c r="AA307" t="n">
        <v>13</v>
      </c>
      <c r="AB307" t="n">
        <v>1</v>
      </c>
      <c r="AC307" t="n">
        <v>1</v>
      </c>
      <c r="AD307" t="n">
        <v>0</v>
      </c>
      <c r="AE307" t="n">
        <v>0</v>
      </c>
      <c r="AF307" t="n">
        <v>0</v>
      </c>
      <c r="AG307" t="n">
        <v>0</v>
      </c>
      <c r="AH307" t="n">
        <v>0</v>
      </c>
      <c r="AI307" t="n">
        <v>0</v>
      </c>
      <c r="AJ307" t="n">
        <v>0</v>
      </c>
      <c r="AK307" t="n">
        <v>0</v>
      </c>
      <c r="AL307" t="n">
        <v>0</v>
      </c>
      <c r="AM307" t="n">
        <v>0</v>
      </c>
      <c r="AN307" t="n">
        <v>0</v>
      </c>
      <c r="AO307" t="n">
        <v>0</v>
      </c>
      <c r="AP307" t="inlineStr">
        <is>
          <t>No</t>
        </is>
      </c>
      <c r="AQ307" t="inlineStr">
        <is>
          <t>Yes</t>
        </is>
      </c>
      <c r="AR307">
        <f>HYPERLINK("http://catalog.hathitrust.org/Record/007577889","HathiTrust Record")</f>
        <v/>
      </c>
      <c r="AS307">
        <f>HYPERLINK("https://creighton-primo.hosted.exlibrisgroup.com/primo-explore/search?tab=default_tab&amp;search_scope=EVERYTHING&amp;vid=01CRU&amp;lang=en_US&amp;offset=0&amp;query=any,contains,991003555039702656","Catalog Record")</f>
        <v/>
      </c>
      <c r="AT307">
        <f>HYPERLINK("http://www.worldcat.org/oclc/38491224","WorldCat Record")</f>
        <v/>
      </c>
      <c r="AU307" t="inlineStr">
        <is>
          <t>42469573:spa</t>
        </is>
      </c>
      <c r="AV307" t="inlineStr">
        <is>
          <t>38491224</t>
        </is>
      </c>
      <c r="AW307" t="inlineStr">
        <is>
          <t>991003555039702656</t>
        </is>
      </c>
      <c r="AX307" t="inlineStr">
        <is>
          <t>991003555039702656</t>
        </is>
      </c>
      <c r="AY307" t="inlineStr">
        <is>
          <t>2268574030002656</t>
        </is>
      </c>
      <c r="AZ307" t="inlineStr">
        <is>
          <t>BOOK</t>
        </is>
      </c>
      <c r="BC307" t="inlineStr">
        <is>
          <t>32285004326004</t>
        </is>
      </c>
      <c r="BD307" t="inlineStr">
        <is>
          <t>893512085</t>
        </is>
      </c>
    </row>
    <row r="308">
      <c r="A308" t="inlineStr">
        <is>
          <t>No</t>
        </is>
      </c>
      <c r="B308" t="inlineStr">
        <is>
          <t>HT169.D6 R46 1996</t>
        </is>
      </c>
      <c r="C308" t="inlineStr">
        <is>
          <t>0                      HT 0169000D  6                  R  46          1996</t>
        </is>
      </c>
      <c r="D308" t="inlineStr">
        <is>
          <t>Remodelación urbana : Seminario internacional sobre remodelación urbana : Museo de Historia y Geografia, Santo Domingo, República Dominicana, 21-26 de septiembre de 1988.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L308" t="inlineStr">
        <is>
          <t>Santo Domingo : Ciudad Alternativa, c1996</t>
        </is>
      </c>
      <c r="M308" t="inlineStr">
        <is>
          <t>1996</t>
        </is>
      </c>
      <c r="N308" t="inlineStr">
        <is>
          <t>1st ed.</t>
        </is>
      </c>
      <c r="O308" t="inlineStr">
        <is>
          <t>spa</t>
        </is>
      </c>
      <c r="P308" t="inlineStr">
        <is>
          <t xml:space="preserve">dr </t>
        </is>
      </c>
      <c r="R308" t="inlineStr">
        <is>
          <t xml:space="preserve">HT </t>
        </is>
      </c>
      <c r="S308" t="n">
        <v>1</v>
      </c>
      <c r="T308" t="n">
        <v>1</v>
      </c>
      <c r="U308" t="inlineStr">
        <is>
          <t>2001-06-07</t>
        </is>
      </c>
      <c r="V308" t="inlineStr">
        <is>
          <t>2001-06-07</t>
        </is>
      </c>
      <c r="W308" t="inlineStr">
        <is>
          <t>2001-06-07</t>
        </is>
      </c>
      <c r="X308" t="inlineStr">
        <is>
          <t>2001-06-07</t>
        </is>
      </c>
      <c r="Y308" t="n">
        <v>7</v>
      </c>
      <c r="Z308" t="n">
        <v>6</v>
      </c>
      <c r="AA308" t="n">
        <v>6</v>
      </c>
      <c r="AB308" t="n">
        <v>1</v>
      </c>
      <c r="AC308" t="n">
        <v>1</v>
      </c>
      <c r="AD308" t="n">
        <v>0</v>
      </c>
      <c r="AE308" t="n">
        <v>0</v>
      </c>
      <c r="AF308" t="n">
        <v>0</v>
      </c>
      <c r="AG308" t="n">
        <v>0</v>
      </c>
      <c r="AH308" t="n">
        <v>0</v>
      </c>
      <c r="AI308" t="n">
        <v>0</v>
      </c>
      <c r="AJ308" t="n">
        <v>0</v>
      </c>
      <c r="AK308" t="n">
        <v>0</v>
      </c>
      <c r="AL308" t="n">
        <v>0</v>
      </c>
      <c r="AM308" t="n">
        <v>0</v>
      </c>
      <c r="AN308" t="n">
        <v>0</v>
      </c>
      <c r="AO308" t="n">
        <v>0</v>
      </c>
      <c r="AP308" t="inlineStr">
        <is>
          <t>No</t>
        </is>
      </c>
      <c r="AQ308" t="inlineStr">
        <is>
          <t>No</t>
        </is>
      </c>
      <c r="AS308">
        <f>HYPERLINK("https://creighton-primo.hosted.exlibrisgroup.com/primo-explore/search?tab=default_tab&amp;search_scope=EVERYTHING&amp;vid=01CRU&amp;lang=en_US&amp;offset=0&amp;query=any,contains,991003554979702656","Catalog Record")</f>
        <v/>
      </c>
      <c r="AT308">
        <f>HYPERLINK("http://www.worldcat.org/oclc/40712019","WorldCat Record")</f>
        <v/>
      </c>
      <c r="AU308" t="inlineStr">
        <is>
          <t>23741552:spa</t>
        </is>
      </c>
      <c r="AV308" t="inlineStr">
        <is>
          <t>40712019</t>
        </is>
      </c>
      <c r="AW308" t="inlineStr">
        <is>
          <t>991003554979702656</t>
        </is>
      </c>
      <c r="AX308" t="inlineStr">
        <is>
          <t>991003554979702656</t>
        </is>
      </c>
      <c r="AY308" t="inlineStr">
        <is>
          <t>2270936840002656</t>
        </is>
      </c>
      <c r="AZ308" t="inlineStr">
        <is>
          <t>BOOK</t>
        </is>
      </c>
      <c r="BB308" t="inlineStr">
        <is>
          <t>9789768156181</t>
        </is>
      </c>
      <c r="BC308" t="inlineStr">
        <is>
          <t>32285004325980</t>
        </is>
      </c>
      <c r="BD308" t="inlineStr">
        <is>
          <t>893893848</t>
        </is>
      </c>
    </row>
    <row r="309">
      <c r="A309" t="inlineStr">
        <is>
          <t>No</t>
        </is>
      </c>
      <c r="B309" t="inlineStr">
        <is>
          <t>HT169.D652 S2628 1998</t>
        </is>
      </c>
      <c r="C309" t="inlineStr">
        <is>
          <t>0                      HT 0169000D  652                S  2628        1998</t>
        </is>
      </c>
      <c r="D309" t="inlineStr">
        <is>
          <t>Del proceso de urbanización a la planificación urbana de Santo Domingo : la política urbana del gobierno del Dr. Balaguer, 1986-1992) / [Amparo Chantada].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Chantada, Amparo.</t>
        </is>
      </c>
      <c r="L309" t="inlineStr">
        <is>
          <t>Santo Domingo, R.D. : Editora San Juan, 1998.</t>
        </is>
      </c>
      <c r="M309" t="inlineStr">
        <is>
          <t>1998</t>
        </is>
      </c>
      <c r="N309" t="inlineStr">
        <is>
          <t>1 ed.</t>
        </is>
      </c>
      <c r="O309" t="inlineStr">
        <is>
          <t>spa</t>
        </is>
      </c>
      <c r="P309" t="inlineStr">
        <is>
          <t xml:space="preserve">dr </t>
        </is>
      </c>
      <c r="R309" t="inlineStr">
        <is>
          <t xml:space="preserve">HT </t>
        </is>
      </c>
      <c r="S309" t="n">
        <v>0</v>
      </c>
      <c r="T309" t="n">
        <v>0</v>
      </c>
      <c r="U309" t="inlineStr">
        <is>
          <t>2008-01-24</t>
        </is>
      </c>
      <c r="V309" t="inlineStr">
        <is>
          <t>2008-01-24</t>
        </is>
      </c>
      <c r="W309" t="inlineStr">
        <is>
          <t>1999-06-03</t>
        </is>
      </c>
      <c r="X309" t="inlineStr">
        <is>
          <t>1999-06-03</t>
        </is>
      </c>
      <c r="Y309" t="n">
        <v>23</v>
      </c>
      <c r="Z309" t="n">
        <v>20</v>
      </c>
      <c r="AA309" t="n">
        <v>35</v>
      </c>
      <c r="AB309" t="n">
        <v>1</v>
      </c>
      <c r="AC309" t="n">
        <v>1</v>
      </c>
      <c r="AD309" t="n">
        <v>1</v>
      </c>
      <c r="AE309" t="n">
        <v>2</v>
      </c>
      <c r="AF309" t="n">
        <v>0</v>
      </c>
      <c r="AG309" t="n">
        <v>0</v>
      </c>
      <c r="AH309" t="n">
        <v>1</v>
      </c>
      <c r="AI309" t="n">
        <v>2</v>
      </c>
      <c r="AJ309" t="n">
        <v>0</v>
      </c>
      <c r="AK309" t="n">
        <v>1</v>
      </c>
      <c r="AL309" t="n">
        <v>0</v>
      </c>
      <c r="AM309" t="n">
        <v>0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HYPERLINK("https://creighton-primo.hosted.exlibrisgroup.com/primo-explore/search?tab=default_tab&amp;search_scope=EVERYTHING&amp;vid=01CRU&amp;lang=en_US&amp;offset=0&amp;query=any,contains,991003028119702656","Catalog Record")</f>
        <v/>
      </c>
      <c r="AT309">
        <f>HYPERLINK("http://www.worldcat.org/oclc/41412161","WorldCat Record")</f>
        <v/>
      </c>
      <c r="AU309" t="inlineStr">
        <is>
          <t>115903021:spa</t>
        </is>
      </c>
      <c r="AV309" t="inlineStr">
        <is>
          <t>41412161</t>
        </is>
      </c>
      <c r="AW309" t="inlineStr">
        <is>
          <t>991003028119702656</t>
        </is>
      </c>
      <c r="AX309" t="inlineStr">
        <is>
          <t>991003028119702656</t>
        </is>
      </c>
      <c r="AY309" t="inlineStr">
        <is>
          <t>2258015900002656</t>
        </is>
      </c>
      <c r="AZ309" t="inlineStr">
        <is>
          <t>BOOK</t>
        </is>
      </c>
      <c r="BC309" t="inlineStr">
        <is>
          <t>32285003573267</t>
        </is>
      </c>
      <c r="BD309" t="inlineStr">
        <is>
          <t>893717245</t>
        </is>
      </c>
    </row>
    <row r="310">
      <c r="A310" t="inlineStr">
        <is>
          <t>No</t>
        </is>
      </c>
      <c r="B310" t="inlineStr">
        <is>
          <t>HT169.D652 S36 1996</t>
        </is>
      </c>
      <c r="C310" t="inlineStr">
        <is>
          <t>0                      HT 0169000D  652                S  36          1996</t>
        </is>
      </c>
      <c r="D310" t="inlineStr">
        <is>
          <t>La ciudad en el tiempo : seminario : orientaciónes grupos de discusión : Santo Domingo, República Dominicana, Agosto del 1992.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L310" t="inlineStr">
        <is>
          <t>Santo Domingo : Ediciónes Ciudad Alternativa, c1996.</t>
        </is>
      </c>
      <c r="M310" t="inlineStr">
        <is>
          <t>1996</t>
        </is>
      </c>
      <c r="N310" t="inlineStr">
        <is>
          <t>1. ed.</t>
        </is>
      </c>
      <c r="O310" t="inlineStr">
        <is>
          <t>spa</t>
        </is>
      </c>
      <c r="P310" t="inlineStr">
        <is>
          <t xml:space="preserve">dr </t>
        </is>
      </c>
      <c r="R310" t="inlineStr">
        <is>
          <t xml:space="preserve">HT </t>
        </is>
      </c>
      <c r="S310" t="n">
        <v>1</v>
      </c>
      <c r="T310" t="n">
        <v>1</v>
      </c>
      <c r="U310" t="inlineStr">
        <is>
          <t>2002-04-10</t>
        </is>
      </c>
      <c r="V310" t="inlineStr">
        <is>
          <t>2002-04-10</t>
        </is>
      </c>
      <c r="W310" t="inlineStr">
        <is>
          <t>2002-04-02</t>
        </is>
      </c>
      <c r="X310" t="inlineStr">
        <is>
          <t>2002-04-02</t>
        </is>
      </c>
      <c r="Y310" t="n">
        <v>2</v>
      </c>
      <c r="Z310" t="n">
        <v>2</v>
      </c>
      <c r="AA310" t="n">
        <v>2</v>
      </c>
      <c r="AB310" t="n">
        <v>1</v>
      </c>
      <c r="AC310" t="n">
        <v>1</v>
      </c>
      <c r="AD310" t="n">
        <v>0</v>
      </c>
      <c r="AE310" t="n">
        <v>0</v>
      </c>
      <c r="AF310" t="n">
        <v>0</v>
      </c>
      <c r="AG310" t="n">
        <v>0</v>
      </c>
      <c r="AH310" t="n">
        <v>0</v>
      </c>
      <c r="AI310" t="n">
        <v>0</v>
      </c>
      <c r="AJ310" t="n">
        <v>0</v>
      </c>
      <c r="AK310" t="n">
        <v>0</v>
      </c>
      <c r="AL310" t="n">
        <v>0</v>
      </c>
      <c r="AM310" t="n">
        <v>0</v>
      </c>
      <c r="AN310" t="n">
        <v>0</v>
      </c>
      <c r="AO310" t="n">
        <v>0</v>
      </c>
      <c r="AP310" t="inlineStr">
        <is>
          <t>No</t>
        </is>
      </c>
      <c r="AQ310" t="inlineStr">
        <is>
          <t>No</t>
        </is>
      </c>
      <c r="AS310">
        <f>HYPERLINK("https://creighton-primo.hosted.exlibrisgroup.com/primo-explore/search?tab=default_tab&amp;search_scope=EVERYTHING&amp;vid=01CRU&amp;lang=en_US&amp;offset=0&amp;query=any,contains,991003783199702656","Catalog Record")</f>
        <v/>
      </c>
      <c r="AT310">
        <f>HYPERLINK("http://www.worldcat.org/oclc/49348787","WorldCat Record")</f>
        <v/>
      </c>
      <c r="AU310" t="inlineStr">
        <is>
          <t>39318843:spa</t>
        </is>
      </c>
      <c r="AV310" t="inlineStr">
        <is>
          <t>49348787</t>
        </is>
      </c>
      <c r="AW310" t="inlineStr">
        <is>
          <t>991003783199702656</t>
        </is>
      </c>
      <c r="AX310" t="inlineStr">
        <is>
          <t>991003783199702656</t>
        </is>
      </c>
      <c r="AY310" t="inlineStr">
        <is>
          <t>2255666660002656</t>
        </is>
      </c>
      <c r="AZ310" t="inlineStr">
        <is>
          <t>BOOK</t>
        </is>
      </c>
      <c r="BB310" t="inlineStr">
        <is>
          <t>9789768156129</t>
        </is>
      </c>
      <c r="BC310" t="inlineStr">
        <is>
          <t>32285004423660</t>
        </is>
      </c>
      <c r="BD310" t="inlineStr">
        <is>
          <t>893416796</t>
        </is>
      </c>
    </row>
    <row r="311">
      <c r="A311" t="inlineStr">
        <is>
          <t>No</t>
        </is>
      </c>
      <c r="B311" t="inlineStr">
        <is>
          <t>HT169.E85 P58 1984</t>
        </is>
      </c>
      <c r="C311" t="inlineStr">
        <is>
          <t>0                      HT 0169000E  85                 P  58          1984</t>
        </is>
      </c>
      <c r="D311" t="inlineStr">
        <is>
          <t>Planning in Europe : urban and regional planning in the EEC / edited by R.H. Williams.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L311" t="inlineStr">
        <is>
          <t>London ; Boston : Allen &amp; Unwin, 1984.</t>
        </is>
      </c>
      <c r="M311" t="inlineStr">
        <is>
          <t>1984</t>
        </is>
      </c>
      <c r="O311" t="inlineStr">
        <is>
          <t>eng</t>
        </is>
      </c>
      <c r="P311" t="inlineStr">
        <is>
          <t>enk</t>
        </is>
      </c>
      <c r="Q311" t="inlineStr">
        <is>
          <t>Urban and regional studies ; no. 11</t>
        </is>
      </c>
      <c r="R311" t="inlineStr">
        <is>
          <t xml:space="preserve">HT </t>
        </is>
      </c>
      <c r="S311" t="n">
        <v>4</v>
      </c>
      <c r="T311" t="n">
        <v>4</v>
      </c>
      <c r="U311" t="inlineStr">
        <is>
          <t>1996-03-26</t>
        </is>
      </c>
      <c r="V311" t="inlineStr">
        <is>
          <t>1996-03-26</t>
        </is>
      </c>
      <c r="W311" t="inlineStr">
        <is>
          <t>1993-05-07</t>
        </is>
      </c>
      <c r="X311" t="inlineStr">
        <is>
          <t>1993-05-07</t>
        </is>
      </c>
      <c r="Y311" t="n">
        <v>313</v>
      </c>
      <c r="Z311" t="n">
        <v>183</v>
      </c>
      <c r="AA311" t="n">
        <v>209</v>
      </c>
      <c r="AB311" t="n">
        <v>3</v>
      </c>
      <c r="AC311" t="n">
        <v>3</v>
      </c>
      <c r="AD311" t="n">
        <v>8</v>
      </c>
      <c r="AE311" t="n">
        <v>8</v>
      </c>
      <c r="AF311" t="n">
        <v>1</v>
      </c>
      <c r="AG311" t="n">
        <v>1</v>
      </c>
      <c r="AH311" t="n">
        <v>3</v>
      </c>
      <c r="AI311" t="n">
        <v>3</v>
      </c>
      <c r="AJ311" t="n">
        <v>3</v>
      </c>
      <c r="AK311" t="n">
        <v>3</v>
      </c>
      <c r="AL311" t="n">
        <v>2</v>
      </c>
      <c r="AM311" t="n">
        <v>2</v>
      </c>
      <c r="AN311" t="n">
        <v>1</v>
      </c>
      <c r="AO311" t="n">
        <v>1</v>
      </c>
      <c r="AP311" t="inlineStr">
        <is>
          <t>No</t>
        </is>
      </c>
      <c r="AQ311" t="inlineStr">
        <is>
          <t>No</t>
        </is>
      </c>
      <c r="AS311">
        <f>HYPERLINK("https://creighton-primo.hosted.exlibrisgroup.com/primo-explore/search?tab=default_tab&amp;search_scope=EVERYTHING&amp;vid=01CRU&amp;lang=en_US&amp;offset=0&amp;query=any,contains,991000310949702656","Catalog Record")</f>
        <v/>
      </c>
      <c r="AT311">
        <f>HYPERLINK("http://www.worldcat.org/oclc/10099053","WorldCat Record")</f>
        <v/>
      </c>
      <c r="AU311" t="inlineStr">
        <is>
          <t>836639125:eng</t>
        </is>
      </c>
      <c r="AV311" t="inlineStr">
        <is>
          <t>10099053</t>
        </is>
      </c>
      <c r="AW311" t="inlineStr">
        <is>
          <t>991000310949702656</t>
        </is>
      </c>
      <c r="AX311" t="inlineStr">
        <is>
          <t>991000310949702656</t>
        </is>
      </c>
      <c r="AY311" t="inlineStr">
        <is>
          <t>2265792350002656</t>
        </is>
      </c>
      <c r="AZ311" t="inlineStr">
        <is>
          <t>BOOK</t>
        </is>
      </c>
      <c r="BB311" t="inlineStr">
        <is>
          <t>9780047110122</t>
        </is>
      </c>
      <c r="BC311" t="inlineStr">
        <is>
          <t>32285001673689</t>
        </is>
      </c>
      <c r="BD311" t="inlineStr">
        <is>
          <t>893626269</t>
        </is>
      </c>
    </row>
    <row r="312">
      <c r="A312" t="inlineStr">
        <is>
          <t>No</t>
        </is>
      </c>
      <c r="B312" t="inlineStr">
        <is>
          <t>HT169.F72 P356</t>
        </is>
      </c>
      <c r="C312" t="inlineStr">
        <is>
          <t>0                      HT 0169000F  72                 P  356</t>
        </is>
      </c>
      <c r="D312" t="inlineStr">
        <is>
          <t>Paris : a century of change, 1878-1978 / Norma Evenson.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K312" t="inlineStr">
        <is>
          <t>Evenson, Norma.</t>
        </is>
      </c>
      <c r="L312" t="inlineStr">
        <is>
          <t>New Haven : Yale University Press, c1979.</t>
        </is>
      </c>
      <c r="M312" t="inlineStr">
        <is>
          <t>1979</t>
        </is>
      </c>
      <c r="O312" t="inlineStr">
        <is>
          <t>eng</t>
        </is>
      </c>
      <c r="P312" t="inlineStr">
        <is>
          <t>ctu</t>
        </is>
      </c>
      <c r="R312" t="inlineStr">
        <is>
          <t xml:space="preserve">HT </t>
        </is>
      </c>
      <c r="S312" t="n">
        <v>3</v>
      </c>
      <c r="T312" t="n">
        <v>3</v>
      </c>
      <c r="U312" t="inlineStr">
        <is>
          <t>2004-11-09</t>
        </is>
      </c>
      <c r="V312" t="inlineStr">
        <is>
          <t>2004-11-09</t>
        </is>
      </c>
      <c r="W312" t="inlineStr">
        <is>
          <t>1993-05-07</t>
        </is>
      </c>
      <c r="X312" t="inlineStr">
        <is>
          <t>1993-05-07</t>
        </is>
      </c>
      <c r="Y312" t="n">
        <v>1024</v>
      </c>
      <c r="Z312" t="n">
        <v>794</v>
      </c>
      <c r="AA312" t="n">
        <v>797</v>
      </c>
      <c r="AB312" t="n">
        <v>4</v>
      </c>
      <c r="AC312" t="n">
        <v>4</v>
      </c>
      <c r="AD312" t="n">
        <v>31</v>
      </c>
      <c r="AE312" t="n">
        <v>31</v>
      </c>
      <c r="AF312" t="n">
        <v>14</v>
      </c>
      <c r="AG312" t="n">
        <v>14</v>
      </c>
      <c r="AH312" t="n">
        <v>7</v>
      </c>
      <c r="AI312" t="n">
        <v>7</v>
      </c>
      <c r="AJ312" t="n">
        <v>16</v>
      </c>
      <c r="AK312" t="n">
        <v>16</v>
      </c>
      <c r="AL312" t="n">
        <v>2</v>
      </c>
      <c r="AM312" t="n">
        <v>2</v>
      </c>
      <c r="AN312" t="n">
        <v>0</v>
      </c>
      <c r="AO312" t="n">
        <v>0</v>
      </c>
      <c r="AP312" t="inlineStr">
        <is>
          <t>No</t>
        </is>
      </c>
      <c r="AQ312" t="inlineStr">
        <is>
          <t>No</t>
        </is>
      </c>
      <c r="AS312">
        <f>HYPERLINK("https://creighton-primo.hosted.exlibrisgroup.com/primo-explore/search?tab=default_tab&amp;search_scope=EVERYTHING&amp;vid=01CRU&amp;lang=en_US&amp;offset=0&amp;query=any,contains,991004659929702656","Catalog Record")</f>
        <v/>
      </c>
      <c r="AT312">
        <f>HYPERLINK("http://www.worldcat.org/oclc/4496496","WorldCat Record")</f>
        <v/>
      </c>
      <c r="AU312" t="inlineStr">
        <is>
          <t>308707485:eng</t>
        </is>
      </c>
      <c r="AV312" t="inlineStr">
        <is>
          <t>4496496</t>
        </is>
      </c>
      <c r="AW312" t="inlineStr">
        <is>
          <t>991004659929702656</t>
        </is>
      </c>
      <c r="AX312" t="inlineStr">
        <is>
          <t>991004659929702656</t>
        </is>
      </c>
      <c r="AY312" t="inlineStr">
        <is>
          <t>2268605780002656</t>
        </is>
      </c>
      <c r="AZ312" t="inlineStr">
        <is>
          <t>BOOK</t>
        </is>
      </c>
      <c r="BB312" t="inlineStr">
        <is>
          <t>9780300022100</t>
        </is>
      </c>
      <c r="BC312" t="inlineStr">
        <is>
          <t>32285001673705</t>
        </is>
      </c>
      <c r="BD312" t="inlineStr">
        <is>
          <t>893889016</t>
        </is>
      </c>
    </row>
    <row r="313">
      <c r="A313" t="inlineStr">
        <is>
          <t>No</t>
        </is>
      </c>
      <c r="B313" t="inlineStr">
        <is>
          <t>HT169.G32 B4127 1998</t>
        </is>
      </c>
      <c r="C313" t="inlineStr">
        <is>
          <t>0                      HT 0169000G  32                 B  4127        1998</t>
        </is>
      </c>
      <c r="D313" t="inlineStr">
        <is>
          <t>The ghosts of Berlin : confronting German history in the urban landscape / Brian Ladd.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K313" t="inlineStr">
        <is>
          <t>Ladd, Brian, 1957-</t>
        </is>
      </c>
      <c r="L313" t="inlineStr">
        <is>
          <t>Chicago, Ill. : University of Chicago Press, c1998.</t>
        </is>
      </c>
      <c r="M313" t="inlineStr">
        <is>
          <t>1998</t>
        </is>
      </c>
      <c r="N313" t="inlineStr">
        <is>
          <t>Paperback ed.</t>
        </is>
      </c>
      <c r="O313" t="inlineStr">
        <is>
          <t>eng</t>
        </is>
      </c>
      <c r="P313" t="inlineStr">
        <is>
          <t>ilu</t>
        </is>
      </c>
      <c r="R313" t="inlineStr">
        <is>
          <t xml:space="preserve">HT </t>
        </is>
      </c>
      <c r="S313" t="n">
        <v>8</v>
      </c>
      <c r="T313" t="n">
        <v>8</v>
      </c>
      <c r="U313" t="inlineStr">
        <is>
          <t>2009-09-18</t>
        </is>
      </c>
      <c r="V313" t="inlineStr">
        <is>
          <t>2009-09-18</t>
        </is>
      </c>
      <c r="W313" t="inlineStr">
        <is>
          <t>2002-04-15</t>
        </is>
      </c>
      <c r="X313" t="inlineStr">
        <is>
          <t>2002-04-15</t>
        </is>
      </c>
      <c r="Y313" t="n">
        <v>96</v>
      </c>
      <c r="Z313" t="n">
        <v>71</v>
      </c>
      <c r="AA313" t="n">
        <v>1453</v>
      </c>
      <c r="AB313" t="n">
        <v>1</v>
      </c>
      <c r="AC313" t="n">
        <v>7</v>
      </c>
      <c r="AD313" t="n">
        <v>3</v>
      </c>
      <c r="AE313" t="n">
        <v>40</v>
      </c>
      <c r="AF313" t="n">
        <v>2</v>
      </c>
      <c r="AG313" t="n">
        <v>17</v>
      </c>
      <c r="AH313" t="n">
        <v>0</v>
      </c>
      <c r="AI313" t="n">
        <v>9</v>
      </c>
      <c r="AJ313" t="n">
        <v>2</v>
      </c>
      <c r="AK313" t="n">
        <v>17</v>
      </c>
      <c r="AL313" t="n">
        <v>0</v>
      </c>
      <c r="AM313" t="n">
        <v>6</v>
      </c>
      <c r="AN313" t="n">
        <v>0</v>
      </c>
      <c r="AO313" t="n">
        <v>0</v>
      </c>
      <c r="AP313" t="inlineStr">
        <is>
          <t>No</t>
        </is>
      </c>
      <c r="AQ313" t="inlineStr">
        <is>
          <t>No</t>
        </is>
      </c>
      <c r="AS313">
        <f>HYPERLINK("https://creighton-primo.hosted.exlibrisgroup.com/primo-explore/search?tab=default_tab&amp;search_scope=EVERYTHING&amp;vid=01CRU&amp;lang=en_US&amp;offset=0&amp;query=any,contains,991003760949702656","Catalog Record")</f>
        <v/>
      </c>
      <c r="AT313">
        <f>HYPERLINK("http://www.worldcat.org/oclc/40634547","WorldCat Record")</f>
        <v/>
      </c>
      <c r="AU313" t="inlineStr">
        <is>
          <t>794203155:eng</t>
        </is>
      </c>
      <c r="AV313" t="inlineStr">
        <is>
          <t>40634547</t>
        </is>
      </c>
      <c r="AW313" t="inlineStr">
        <is>
          <t>991003760949702656</t>
        </is>
      </c>
      <c r="AX313" t="inlineStr">
        <is>
          <t>991003760949702656</t>
        </is>
      </c>
      <c r="AY313" t="inlineStr">
        <is>
          <t>2265247200002656</t>
        </is>
      </c>
      <c r="AZ313" t="inlineStr">
        <is>
          <t>BOOK</t>
        </is>
      </c>
      <c r="BB313" t="inlineStr">
        <is>
          <t>9780226467627</t>
        </is>
      </c>
      <c r="BC313" t="inlineStr">
        <is>
          <t>32285004479639</t>
        </is>
      </c>
      <c r="BD313" t="inlineStr">
        <is>
          <t>893806177</t>
        </is>
      </c>
    </row>
    <row r="314">
      <c r="A314" t="inlineStr">
        <is>
          <t>No</t>
        </is>
      </c>
      <c r="B314" t="inlineStr">
        <is>
          <t>HT169.G32 B47 2000</t>
        </is>
      </c>
      <c r="C314" t="inlineStr">
        <is>
          <t>0                      HT 0169000G  32                 B  47          2000</t>
        </is>
      </c>
      <c r="D314" t="inlineStr">
        <is>
          <t>Berlin : Metropole zwischen Boom und Krise / Stefan Krätke, Renate Borst.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Krätke, Stefan, 1952-</t>
        </is>
      </c>
      <c r="L314" t="inlineStr">
        <is>
          <t>Opladen : Leske + Budrich, 2000.</t>
        </is>
      </c>
      <c r="M314" t="inlineStr">
        <is>
          <t>2000</t>
        </is>
      </c>
      <c r="O314" t="inlineStr">
        <is>
          <t>ger</t>
        </is>
      </c>
      <c r="P314" t="inlineStr">
        <is>
          <t xml:space="preserve">gw </t>
        </is>
      </c>
      <c r="R314" t="inlineStr">
        <is>
          <t xml:space="preserve">HT </t>
        </is>
      </c>
      <c r="S314" t="n">
        <v>2</v>
      </c>
      <c r="T314" t="n">
        <v>2</v>
      </c>
      <c r="U314" t="inlineStr">
        <is>
          <t>2003-07-15</t>
        </is>
      </c>
      <c r="V314" t="inlineStr">
        <is>
          <t>2003-07-15</t>
        </is>
      </c>
      <c r="W314" t="inlineStr">
        <is>
          <t>2002-05-07</t>
        </is>
      </c>
      <c r="X314" t="inlineStr">
        <is>
          <t>2002-05-07</t>
        </is>
      </c>
      <c r="Y314" t="n">
        <v>52</v>
      </c>
      <c r="Z314" t="n">
        <v>15</v>
      </c>
      <c r="AA314" t="n">
        <v>19</v>
      </c>
      <c r="AB314" t="n">
        <v>1</v>
      </c>
      <c r="AC314" t="n">
        <v>1</v>
      </c>
      <c r="AD314" t="n">
        <v>0</v>
      </c>
      <c r="AE314" t="n">
        <v>0</v>
      </c>
      <c r="AF314" t="n">
        <v>0</v>
      </c>
      <c r="AG314" t="n">
        <v>0</v>
      </c>
      <c r="AH314" t="n">
        <v>0</v>
      </c>
      <c r="AI314" t="n">
        <v>0</v>
      </c>
      <c r="AJ314" t="n">
        <v>0</v>
      </c>
      <c r="AK314" t="n">
        <v>0</v>
      </c>
      <c r="AL314" t="n">
        <v>0</v>
      </c>
      <c r="AM314" t="n">
        <v>0</v>
      </c>
      <c r="AN314" t="n">
        <v>0</v>
      </c>
      <c r="AO314" t="n">
        <v>0</v>
      </c>
      <c r="AP314" t="inlineStr">
        <is>
          <t>No</t>
        </is>
      </c>
      <c r="AQ314" t="inlineStr">
        <is>
          <t>No</t>
        </is>
      </c>
      <c r="AS314">
        <f>HYPERLINK("https://creighton-primo.hosted.exlibrisgroup.com/primo-explore/search?tab=default_tab&amp;search_scope=EVERYTHING&amp;vid=01CRU&amp;lang=en_US&amp;offset=0&amp;query=any,contains,991003763229702656","Catalog Record")</f>
        <v/>
      </c>
      <c r="AT314">
        <f>HYPERLINK("http://www.worldcat.org/oclc/43676228","WorldCat Record")</f>
        <v/>
      </c>
      <c r="AU314" t="inlineStr">
        <is>
          <t>44580657:ger</t>
        </is>
      </c>
      <c r="AV314" t="inlineStr">
        <is>
          <t>43676228</t>
        </is>
      </c>
      <c r="AW314" t="inlineStr">
        <is>
          <t>991003763229702656</t>
        </is>
      </c>
      <c r="AX314" t="inlineStr">
        <is>
          <t>991003763229702656</t>
        </is>
      </c>
      <c r="AY314" t="inlineStr">
        <is>
          <t>2262946400002656</t>
        </is>
      </c>
      <c r="AZ314" t="inlineStr">
        <is>
          <t>BOOK</t>
        </is>
      </c>
      <c r="BB314" t="inlineStr">
        <is>
          <t>9783810023933</t>
        </is>
      </c>
      <c r="BC314" t="inlineStr">
        <is>
          <t>32285004486675</t>
        </is>
      </c>
      <c r="BD314" t="inlineStr">
        <is>
          <t>893904510</t>
        </is>
      </c>
    </row>
    <row r="315">
      <c r="A315" t="inlineStr">
        <is>
          <t>No</t>
        </is>
      </c>
      <c r="B315" t="inlineStr">
        <is>
          <t>HT169.I5 K35 1999</t>
        </is>
      </c>
      <c r="C315" t="inlineStr">
        <is>
          <t>0                      HT 0169000I  5                  K  35          1999</t>
        </is>
      </c>
      <c r="D315" t="inlineStr">
        <is>
          <t>Chandigarh : the making of an Indian city / Ravi Kalia.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Kalia, Ravi.</t>
        </is>
      </c>
      <c r="L315" t="inlineStr">
        <is>
          <t>New Delhi ; New York : Oxford University Press, c1999.</t>
        </is>
      </c>
      <c r="M315" t="inlineStr">
        <is>
          <t>1999</t>
        </is>
      </c>
      <c r="N315" t="inlineStr">
        <is>
          <t>New, updated ed.</t>
        </is>
      </c>
      <c r="O315" t="inlineStr">
        <is>
          <t>eng</t>
        </is>
      </c>
      <c r="P315" t="inlineStr">
        <is>
          <t xml:space="preserve">ii </t>
        </is>
      </c>
      <c r="Q315" t="inlineStr">
        <is>
          <t>Oxford India paperbacks</t>
        </is>
      </c>
      <c r="R315" t="inlineStr">
        <is>
          <t xml:space="preserve">HT </t>
        </is>
      </c>
      <c r="S315" t="n">
        <v>3</v>
      </c>
      <c r="T315" t="n">
        <v>3</v>
      </c>
      <c r="U315" t="inlineStr">
        <is>
          <t>2002-01-08</t>
        </is>
      </c>
      <c r="V315" t="inlineStr">
        <is>
          <t>2002-01-08</t>
        </is>
      </c>
      <c r="W315" t="inlineStr">
        <is>
          <t>2002-01-08</t>
        </is>
      </c>
      <c r="X315" t="inlineStr">
        <is>
          <t>2002-01-08</t>
        </is>
      </c>
      <c r="Y315" t="n">
        <v>149</v>
      </c>
      <c r="Z315" t="n">
        <v>107</v>
      </c>
      <c r="AA315" t="n">
        <v>115</v>
      </c>
      <c r="AB315" t="n">
        <v>1</v>
      </c>
      <c r="AC315" t="n">
        <v>1</v>
      </c>
      <c r="AD315" t="n">
        <v>3</v>
      </c>
      <c r="AE315" t="n">
        <v>4</v>
      </c>
      <c r="AF315" t="n">
        <v>1</v>
      </c>
      <c r="AG315" t="n">
        <v>1</v>
      </c>
      <c r="AH315" t="n">
        <v>1</v>
      </c>
      <c r="AI315" t="n">
        <v>2</v>
      </c>
      <c r="AJ315" t="n">
        <v>1</v>
      </c>
      <c r="AK315" t="n">
        <v>2</v>
      </c>
      <c r="AL315" t="n">
        <v>0</v>
      </c>
      <c r="AM315" t="n">
        <v>0</v>
      </c>
      <c r="AN315" t="n">
        <v>0</v>
      </c>
      <c r="AO315" t="n">
        <v>0</v>
      </c>
      <c r="AP315" t="inlineStr">
        <is>
          <t>No</t>
        </is>
      </c>
      <c r="AQ315" t="inlineStr">
        <is>
          <t>No</t>
        </is>
      </c>
      <c r="AS315">
        <f>HYPERLINK("https://creighton-primo.hosted.exlibrisgroup.com/primo-explore/search?tab=default_tab&amp;search_scope=EVERYTHING&amp;vid=01CRU&amp;lang=en_US&amp;offset=0&amp;query=any,contains,991003687959702656","Catalog Record")</f>
        <v/>
      </c>
      <c r="AT315">
        <f>HYPERLINK("http://www.worldcat.org/oclc/41143444","WorldCat Record")</f>
        <v/>
      </c>
      <c r="AU315" t="inlineStr">
        <is>
          <t>22904255:eng</t>
        </is>
      </c>
      <c r="AV315" t="inlineStr">
        <is>
          <t>41143444</t>
        </is>
      </c>
      <c r="AW315" t="inlineStr">
        <is>
          <t>991003687959702656</t>
        </is>
      </c>
      <c r="AX315" t="inlineStr">
        <is>
          <t>991003687959702656</t>
        </is>
      </c>
      <c r="AY315" t="inlineStr">
        <is>
          <t>2260072570002656</t>
        </is>
      </c>
      <c r="AZ315" t="inlineStr">
        <is>
          <t>BOOK</t>
        </is>
      </c>
      <c r="BB315" t="inlineStr">
        <is>
          <t>9780195650303</t>
        </is>
      </c>
      <c r="BC315" t="inlineStr">
        <is>
          <t>32285004446786</t>
        </is>
      </c>
      <c r="BD315" t="inlineStr">
        <is>
          <t>893699288</t>
        </is>
      </c>
    </row>
    <row r="316">
      <c r="A316" t="inlineStr">
        <is>
          <t>No</t>
        </is>
      </c>
      <c r="B316" t="inlineStr">
        <is>
          <t>HT169.I82 P76 2008</t>
        </is>
      </c>
      <c r="C316" t="inlineStr">
        <is>
          <t>0                      HT 0169000I  82                 P  76          2008</t>
        </is>
      </c>
      <c r="D316" t="inlineStr">
        <is>
          <t>Prato : architecture, piety, and political identity in a Tuscan city-state / Alick M. McLean.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K316" t="inlineStr">
        <is>
          <t>McLean, Alick Macdonnel, 1958-</t>
        </is>
      </c>
      <c r="L316" t="inlineStr">
        <is>
          <t>New Haven : Yale University Press, c2008.</t>
        </is>
      </c>
      <c r="M316" t="inlineStr">
        <is>
          <t>2008</t>
        </is>
      </c>
      <c r="O316" t="inlineStr">
        <is>
          <t>eng</t>
        </is>
      </c>
      <c r="P316" t="inlineStr">
        <is>
          <t>ctu</t>
        </is>
      </c>
      <c r="R316" t="inlineStr">
        <is>
          <t xml:space="preserve">HT </t>
        </is>
      </c>
      <c r="S316" t="n">
        <v>1</v>
      </c>
      <c r="T316" t="n">
        <v>1</v>
      </c>
      <c r="U316" t="inlineStr">
        <is>
          <t>2010-02-08</t>
        </is>
      </c>
      <c r="V316" t="inlineStr">
        <is>
          <t>2010-02-08</t>
        </is>
      </c>
      <c r="W316" t="inlineStr">
        <is>
          <t>2010-02-08</t>
        </is>
      </c>
      <c r="X316" t="inlineStr">
        <is>
          <t>2010-02-08</t>
        </is>
      </c>
      <c r="Y316" t="n">
        <v>231</v>
      </c>
      <c r="Z316" t="n">
        <v>166</v>
      </c>
      <c r="AA316" t="n">
        <v>169</v>
      </c>
      <c r="AB316" t="n">
        <v>2</v>
      </c>
      <c r="AC316" t="n">
        <v>2</v>
      </c>
      <c r="AD316" t="n">
        <v>7</v>
      </c>
      <c r="AE316" t="n">
        <v>7</v>
      </c>
      <c r="AF316" t="n">
        <v>2</v>
      </c>
      <c r="AG316" t="n">
        <v>2</v>
      </c>
      <c r="AH316" t="n">
        <v>2</v>
      </c>
      <c r="AI316" t="n">
        <v>2</v>
      </c>
      <c r="AJ316" t="n">
        <v>3</v>
      </c>
      <c r="AK316" t="n">
        <v>3</v>
      </c>
      <c r="AL316" t="n">
        <v>1</v>
      </c>
      <c r="AM316" t="n">
        <v>1</v>
      </c>
      <c r="AN316" t="n">
        <v>0</v>
      </c>
      <c r="AO316" t="n">
        <v>0</v>
      </c>
      <c r="AP316" t="inlineStr">
        <is>
          <t>No</t>
        </is>
      </c>
      <c r="AQ316" t="inlineStr">
        <is>
          <t>Yes</t>
        </is>
      </c>
      <c r="AR316">
        <f>HYPERLINK("http://catalog.hathitrust.org/Record/005978423","HathiTrust Record")</f>
        <v/>
      </c>
      <c r="AS316">
        <f>HYPERLINK("https://creighton-primo.hosted.exlibrisgroup.com/primo-explore/search?tab=default_tab&amp;search_scope=EVERYTHING&amp;vid=01CRU&amp;lang=en_US&amp;offset=0&amp;query=any,contains,991005350749702656","Catalog Record")</f>
        <v/>
      </c>
      <c r="AT316">
        <f>HYPERLINK("http://www.worldcat.org/oclc/190850411","WorldCat Record")</f>
        <v/>
      </c>
      <c r="AU316" t="inlineStr">
        <is>
          <t>891231393:eng</t>
        </is>
      </c>
      <c r="AV316" t="inlineStr">
        <is>
          <t>190850411</t>
        </is>
      </c>
      <c r="AW316" t="inlineStr">
        <is>
          <t>991005350749702656</t>
        </is>
      </c>
      <c r="AX316" t="inlineStr">
        <is>
          <t>991005350749702656</t>
        </is>
      </c>
      <c r="AY316" t="inlineStr">
        <is>
          <t>2256234840002656</t>
        </is>
      </c>
      <c r="AZ316" t="inlineStr">
        <is>
          <t>BOOK</t>
        </is>
      </c>
      <c r="BB316" t="inlineStr">
        <is>
          <t>9780300137149</t>
        </is>
      </c>
      <c r="BC316" t="inlineStr">
        <is>
          <t>32285005572556</t>
        </is>
      </c>
      <c r="BD316" t="inlineStr">
        <is>
          <t>893412710</t>
        </is>
      </c>
    </row>
    <row r="317">
      <c r="A317" t="inlineStr">
        <is>
          <t>No</t>
        </is>
      </c>
      <c r="B317" t="inlineStr">
        <is>
          <t>HT169.I84 F57 1989</t>
        </is>
      </c>
      <c r="C317" t="inlineStr">
        <is>
          <t>0                      HT 0169000I  84                 F  57          1989</t>
        </is>
      </c>
      <c r="D317" t="inlineStr">
        <is>
          <t>Scritti e progetti per Firenze, 1963-1988 / Paolo Sica.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Sica, Paolo, 1935-</t>
        </is>
      </c>
      <c r="L317" t="inlineStr">
        <is>
          <t>Venezia : Marsilio editori, 1989.</t>
        </is>
      </c>
      <c r="M317" t="inlineStr">
        <is>
          <t>1989</t>
        </is>
      </c>
      <c r="N317" t="inlineStr">
        <is>
          <t>1. ed.</t>
        </is>
      </c>
      <c r="O317" t="inlineStr">
        <is>
          <t>ita</t>
        </is>
      </c>
      <c r="P317" t="inlineStr">
        <is>
          <t xml:space="preserve">it </t>
        </is>
      </c>
      <c r="R317" t="inlineStr">
        <is>
          <t xml:space="preserve">HT </t>
        </is>
      </c>
      <c r="S317" t="n">
        <v>1</v>
      </c>
      <c r="T317" t="n">
        <v>1</v>
      </c>
      <c r="U317" t="inlineStr">
        <is>
          <t>2002-12-11</t>
        </is>
      </c>
      <c r="V317" t="inlineStr">
        <is>
          <t>2002-12-11</t>
        </is>
      </c>
      <c r="W317" t="inlineStr">
        <is>
          <t>2002-12-11</t>
        </is>
      </c>
      <c r="X317" t="inlineStr">
        <is>
          <t>2002-12-11</t>
        </is>
      </c>
      <c r="Y317" t="n">
        <v>18</v>
      </c>
      <c r="Z317" t="n">
        <v>13</v>
      </c>
      <c r="AA317" t="n">
        <v>14</v>
      </c>
      <c r="AB317" t="n">
        <v>1</v>
      </c>
      <c r="AC317" t="n">
        <v>1</v>
      </c>
      <c r="AD317" t="n">
        <v>0</v>
      </c>
      <c r="AE317" t="n">
        <v>0</v>
      </c>
      <c r="AF317" t="n">
        <v>0</v>
      </c>
      <c r="AG317" t="n">
        <v>0</v>
      </c>
      <c r="AH317" t="n">
        <v>0</v>
      </c>
      <c r="AI317" t="n">
        <v>0</v>
      </c>
      <c r="AJ317" t="n">
        <v>0</v>
      </c>
      <c r="AK317" t="n">
        <v>0</v>
      </c>
      <c r="AL317" t="n">
        <v>0</v>
      </c>
      <c r="AM317" t="n">
        <v>0</v>
      </c>
      <c r="AN317" t="n">
        <v>0</v>
      </c>
      <c r="AO317" t="n">
        <v>0</v>
      </c>
      <c r="AP317" t="inlineStr">
        <is>
          <t>No</t>
        </is>
      </c>
      <c r="AQ317" t="inlineStr">
        <is>
          <t>Yes</t>
        </is>
      </c>
      <c r="AR317">
        <f>HYPERLINK("http://catalog.hathitrust.org/Record/101922324","HathiTrust Record")</f>
        <v/>
      </c>
      <c r="AS317">
        <f>HYPERLINK("https://creighton-primo.hosted.exlibrisgroup.com/primo-explore/search?tab=default_tab&amp;search_scope=EVERYTHING&amp;vid=01CRU&amp;lang=en_US&amp;offset=0&amp;query=any,contains,991003961549702656","Catalog Record")</f>
        <v/>
      </c>
      <c r="AT317">
        <f>HYPERLINK("http://www.worldcat.org/oclc/22952591","WorldCat Record")</f>
        <v/>
      </c>
      <c r="AU317" t="inlineStr">
        <is>
          <t>23970383:ita</t>
        </is>
      </c>
      <c r="AV317" t="inlineStr">
        <is>
          <t>22952591</t>
        </is>
      </c>
      <c r="AW317" t="inlineStr">
        <is>
          <t>991003961549702656</t>
        </is>
      </c>
      <c r="AX317" t="inlineStr">
        <is>
          <t>991003961549702656</t>
        </is>
      </c>
      <c r="AY317" t="inlineStr">
        <is>
          <t>2260827550002656</t>
        </is>
      </c>
      <c r="AZ317" t="inlineStr">
        <is>
          <t>BOOK</t>
        </is>
      </c>
      <c r="BB317" t="inlineStr">
        <is>
          <t>9788831752008</t>
        </is>
      </c>
      <c r="BC317" t="inlineStr">
        <is>
          <t>32285004690805</t>
        </is>
      </c>
      <c r="BD317" t="inlineStr">
        <is>
          <t>893531816</t>
        </is>
      </c>
    </row>
    <row r="318">
      <c r="A318" t="inlineStr">
        <is>
          <t>No</t>
        </is>
      </c>
      <c r="B318" t="inlineStr">
        <is>
          <t>HT169.R7 R63 1994</t>
        </is>
      </c>
      <c r="C318" t="inlineStr">
        <is>
          <t>0                      HT 0169000R  7                  R  63          1994</t>
        </is>
      </c>
      <c r="D318" t="inlineStr">
        <is>
          <t>Ancient Rome : city planning and administration / O.F. Robinson.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Robinson, O. F.</t>
        </is>
      </c>
      <c r="L318" t="inlineStr">
        <is>
          <t>London : Routledge, 1992.</t>
        </is>
      </c>
      <c r="M318" t="inlineStr">
        <is>
          <t>1994</t>
        </is>
      </c>
      <c r="O318" t="inlineStr">
        <is>
          <t>eng</t>
        </is>
      </c>
      <c r="P318" t="inlineStr">
        <is>
          <t>enk</t>
        </is>
      </c>
      <c r="R318" t="inlineStr">
        <is>
          <t xml:space="preserve">HT </t>
        </is>
      </c>
      <c r="S318" t="n">
        <v>2</v>
      </c>
      <c r="T318" t="n">
        <v>2</v>
      </c>
      <c r="U318" t="inlineStr">
        <is>
          <t>2010-04-19</t>
        </is>
      </c>
      <c r="V318" t="inlineStr">
        <is>
          <t>2010-04-19</t>
        </is>
      </c>
      <c r="W318" t="inlineStr">
        <is>
          <t>2008-04-21</t>
        </is>
      </c>
      <c r="X318" t="inlineStr">
        <is>
          <t>2008-04-21</t>
        </is>
      </c>
      <c r="Y318" t="n">
        <v>453</v>
      </c>
      <c r="Z318" t="n">
        <v>272</v>
      </c>
      <c r="AA318" t="n">
        <v>440</v>
      </c>
      <c r="AB318" t="n">
        <v>3</v>
      </c>
      <c r="AC318" t="n">
        <v>3</v>
      </c>
      <c r="AD318" t="n">
        <v>18</v>
      </c>
      <c r="AE318" t="n">
        <v>24</v>
      </c>
      <c r="AF318" t="n">
        <v>4</v>
      </c>
      <c r="AG318" t="n">
        <v>8</v>
      </c>
      <c r="AH318" t="n">
        <v>4</v>
      </c>
      <c r="AI318" t="n">
        <v>5</v>
      </c>
      <c r="AJ318" t="n">
        <v>12</v>
      </c>
      <c r="AK318" t="n">
        <v>14</v>
      </c>
      <c r="AL318" t="n">
        <v>2</v>
      </c>
      <c r="AM318" t="n">
        <v>2</v>
      </c>
      <c r="AN318" t="n">
        <v>1</v>
      </c>
      <c r="AO318" t="n">
        <v>1</v>
      </c>
      <c r="AP318" t="inlineStr">
        <is>
          <t>No</t>
        </is>
      </c>
      <c r="AQ318" t="inlineStr">
        <is>
          <t>No</t>
        </is>
      </c>
      <c r="AS318">
        <f>HYPERLINK("https://creighton-primo.hosted.exlibrisgroup.com/primo-explore/search?tab=default_tab&amp;search_scope=EVERYTHING&amp;vid=01CRU&amp;lang=en_US&amp;offset=0&amp;query=any,contains,991005203939702656","Catalog Record")</f>
        <v/>
      </c>
      <c r="AT318">
        <f>HYPERLINK("http://www.worldcat.org/oclc/23651102","WorldCat Record")</f>
        <v/>
      </c>
      <c r="AU318" t="inlineStr">
        <is>
          <t>4927729988:eng</t>
        </is>
      </c>
      <c r="AV318" t="inlineStr">
        <is>
          <t>23651102</t>
        </is>
      </c>
      <c r="AW318" t="inlineStr">
        <is>
          <t>991005203939702656</t>
        </is>
      </c>
      <c r="AX318" t="inlineStr">
        <is>
          <t>991005203939702656</t>
        </is>
      </c>
      <c r="AY318" t="inlineStr">
        <is>
          <t>2255430940002656</t>
        </is>
      </c>
      <c r="AZ318" t="inlineStr">
        <is>
          <t>BOOK</t>
        </is>
      </c>
      <c r="BB318" t="inlineStr">
        <is>
          <t>9780415106184</t>
        </is>
      </c>
      <c r="BC318" t="inlineStr">
        <is>
          <t>32285005403901</t>
        </is>
      </c>
      <c r="BD318" t="inlineStr">
        <is>
          <t>893338709</t>
        </is>
      </c>
    </row>
    <row r="319">
      <c r="A319" t="inlineStr">
        <is>
          <t>No</t>
        </is>
      </c>
      <c r="B319" t="inlineStr">
        <is>
          <t>HT169.R82 I167 1995</t>
        </is>
      </c>
      <c r="C319" t="inlineStr">
        <is>
          <t>0                      HT 0169000R  82                 I  167         1995</t>
        </is>
      </c>
      <c r="D319" t="inlineStr">
        <is>
          <t>Money sings : the changing politics of urban space in post-Soviet Yaroslavl / Blair A. Ruble.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Ruble, Blair A., 1949-</t>
        </is>
      </c>
      <c r="L319" t="inlineStr">
        <is>
          <t>Washington, D.C. : Woodrow Wilson Center Press ; Cambridge [England] ; New York : Cambridge University Press, 1995.</t>
        </is>
      </c>
      <c r="M319" t="inlineStr">
        <is>
          <t>1995</t>
        </is>
      </c>
      <c r="O319" t="inlineStr">
        <is>
          <t>eng</t>
        </is>
      </c>
      <c r="P319" t="inlineStr">
        <is>
          <t>dcu</t>
        </is>
      </c>
      <c r="Q319" t="inlineStr">
        <is>
          <t>Woodrow Wilson Center series</t>
        </is>
      </c>
      <c r="R319" t="inlineStr">
        <is>
          <t xml:space="preserve">HT </t>
        </is>
      </c>
      <c r="S319" t="n">
        <v>1</v>
      </c>
      <c r="T319" t="n">
        <v>1</v>
      </c>
      <c r="U319" t="inlineStr">
        <is>
          <t>1996-06-25</t>
        </is>
      </c>
      <c r="V319" t="inlineStr">
        <is>
          <t>1996-06-25</t>
        </is>
      </c>
      <c r="W319" t="inlineStr">
        <is>
          <t>1995-10-23</t>
        </is>
      </c>
      <c r="X319" t="inlineStr">
        <is>
          <t>1995-10-23</t>
        </is>
      </c>
      <c r="Y319" t="n">
        <v>237</v>
      </c>
      <c r="Z319" t="n">
        <v>177</v>
      </c>
      <c r="AA319" t="n">
        <v>184</v>
      </c>
      <c r="AB319" t="n">
        <v>2</v>
      </c>
      <c r="AC319" t="n">
        <v>2</v>
      </c>
      <c r="AD319" t="n">
        <v>8</v>
      </c>
      <c r="AE319" t="n">
        <v>8</v>
      </c>
      <c r="AF319" t="n">
        <v>0</v>
      </c>
      <c r="AG319" t="n">
        <v>0</v>
      </c>
      <c r="AH319" t="n">
        <v>3</v>
      </c>
      <c r="AI319" t="n">
        <v>3</v>
      </c>
      <c r="AJ319" t="n">
        <v>5</v>
      </c>
      <c r="AK319" t="n">
        <v>5</v>
      </c>
      <c r="AL319" t="n">
        <v>1</v>
      </c>
      <c r="AM319" t="n">
        <v>1</v>
      </c>
      <c r="AN319" t="n">
        <v>0</v>
      </c>
      <c r="AO319" t="n">
        <v>0</v>
      </c>
      <c r="AP319" t="inlineStr">
        <is>
          <t>No</t>
        </is>
      </c>
      <c r="AQ319" t="inlineStr">
        <is>
          <t>No</t>
        </is>
      </c>
      <c r="AS319">
        <f>HYPERLINK("https://creighton-primo.hosted.exlibrisgroup.com/primo-explore/search?tab=default_tab&amp;search_scope=EVERYTHING&amp;vid=01CRU&amp;lang=en_US&amp;offset=0&amp;query=any,contains,991002420459702656","Catalog Record")</f>
        <v/>
      </c>
      <c r="AT319">
        <f>HYPERLINK("http://www.worldcat.org/oclc/31517351","WorldCat Record")</f>
        <v/>
      </c>
      <c r="AU319" t="inlineStr">
        <is>
          <t>33252769:eng</t>
        </is>
      </c>
      <c r="AV319" t="inlineStr">
        <is>
          <t>31517351</t>
        </is>
      </c>
      <c r="AW319" t="inlineStr">
        <is>
          <t>991002420459702656</t>
        </is>
      </c>
      <c r="AX319" t="inlineStr">
        <is>
          <t>991002420459702656</t>
        </is>
      </c>
      <c r="AY319" t="inlineStr">
        <is>
          <t>2269271190002656</t>
        </is>
      </c>
      <c r="AZ319" t="inlineStr">
        <is>
          <t>BOOK</t>
        </is>
      </c>
      <c r="BB319" t="inlineStr">
        <is>
          <t>9780521482424</t>
        </is>
      </c>
      <c r="BC319" t="inlineStr">
        <is>
          <t>32285002068863</t>
        </is>
      </c>
      <c r="BD319" t="inlineStr">
        <is>
          <t>893517268</t>
        </is>
      </c>
    </row>
    <row r="320">
      <c r="A320" t="inlineStr">
        <is>
          <t>No</t>
        </is>
      </c>
      <c r="B320" t="inlineStr">
        <is>
          <t>HT169.S55 G34</t>
        </is>
      </c>
      <c r="C320" t="inlineStr">
        <is>
          <t>0                      HT 0169000S  55                 G  34</t>
        </is>
      </c>
      <c r="D320" t="inlineStr">
        <is>
          <t>The politics of urban development in Singapore / [by] Robert E. Gamer.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Gamer, Robert E., 1938-</t>
        </is>
      </c>
      <c r="L320" t="inlineStr">
        <is>
          <t>Ithaca : Cornell University Press, [1972]</t>
        </is>
      </c>
      <c r="M320" t="inlineStr">
        <is>
          <t>1972</t>
        </is>
      </c>
      <c r="O320" t="inlineStr">
        <is>
          <t>eng</t>
        </is>
      </c>
      <c r="P320" t="inlineStr">
        <is>
          <t>nyu</t>
        </is>
      </c>
      <c r="R320" t="inlineStr">
        <is>
          <t xml:space="preserve">HT </t>
        </is>
      </c>
      <c r="S320" t="n">
        <v>2</v>
      </c>
      <c r="T320" t="n">
        <v>2</v>
      </c>
      <c r="U320" t="inlineStr">
        <is>
          <t>2002-08-23</t>
        </is>
      </c>
      <c r="V320" t="inlineStr">
        <is>
          <t>2002-08-23</t>
        </is>
      </c>
      <c r="W320" t="inlineStr">
        <is>
          <t>1999-08-26</t>
        </is>
      </c>
      <c r="X320" t="inlineStr">
        <is>
          <t>1999-08-26</t>
        </is>
      </c>
      <c r="Y320" t="n">
        <v>423</v>
      </c>
      <c r="Z320" t="n">
        <v>292</v>
      </c>
      <c r="AA320" t="n">
        <v>294</v>
      </c>
      <c r="AB320" t="n">
        <v>2</v>
      </c>
      <c r="AC320" t="n">
        <v>2</v>
      </c>
      <c r="AD320" t="n">
        <v>17</v>
      </c>
      <c r="AE320" t="n">
        <v>17</v>
      </c>
      <c r="AF320" t="n">
        <v>3</v>
      </c>
      <c r="AG320" t="n">
        <v>3</v>
      </c>
      <c r="AH320" t="n">
        <v>4</v>
      </c>
      <c r="AI320" t="n">
        <v>4</v>
      </c>
      <c r="AJ320" t="n">
        <v>11</v>
      </c>
      <c r="AK320" t="n">
        <v>11</v>
      </c>
      <c r="AL320" t="n">
        <v>1</v>
      </c>
      <c r="AM320" t="n">
        <v>1</v>
      </c>
      <c r="AN320" t="n">
        <v>1</v>
      </c>
      <c r="AO320" t="n">
        <v>1</v>
      </c>
      <c r="AP320" t="inlineStr">
        <is>
          <t>No</t>
        </is>
      </c>
      <c r="AQ320" t="inlineStr">
        <is>
          <t>Yes</t>
        </is>
      </c>
      <c r="AR320">
        <f>HYPERLINK("http://catalog.hathitrust.org/Record/001130153","HathiTrust Record")</f>
        <v/>
      </c>
      <c r="AS320">
        <f>HYPERLINK("https://creighton-primo.hosted.exlibrisgroup.com/primo-explore/search?tab=default_tab&amp;search_scope=EVERYTHING&amp;vid=01CRU&amp;lang=en_US&amp;offset=0&amp;query=any,contains,991002250319702656","Catalog Record")</f>
        <v/>
      </c>
      <c r="AT320">
        <f>HYPERLINK("http://www.worldcat.org/oclc/298668","WorldCat Record")</f>
        <v/>
      </c>
      <c r="AU320" t="inlineStr">
        <is>
          <t>1506138:eng</t>
        </is>
      </c>
      <c r="AV320" t="inlineStr">
        <is>
          <t>298668</t>
        </is>
      </c>
      <c r="AW320" t="inlineStr">
        <is>
          <t>991002250319702656</t>
        </is>
      </c>
      <c r="AX320" t="inlineStr">
        <is>
          <t>991002250319702656</t>
        </is>
      </c>
      <c r="AY320" t="inlineStr">
        <is>
          <t>2264935310002656</t>
        </is>
      </c>
      <c r="AZ320" t="inlineStr">
        <is>
          <t>BOOK</t>
        </is>
      </c>
      <c r="BB320" t="inlineStr">
        <is>
          <t>9780801407086</t>
        </is>
      </c>
      <c r="BC320" t="inlineStr">
        <is>
          <t>32285003584686</t>
        </is>
      </c>
      <c r="BD320" t="inlineStr">
        <is>
          <t>893517061</t>
        </is>
      </c>
    </row>
    <row r="321">
      <c r="A321" t="inlineStr">
        <is>
          <t>No</t>
        </is>
      </c>
      <c r="B321" t="inlineStr">
        <is>
          <t>HT170 .G35 1984</t>
        </is>
      </c>
      <c r="C321" t="inlineStr">
        <is>
          <t>0                      HT 0170000G  35          1984</t>
        </is>
      </c>
      <c r="D321" t="inlineStr">
        <is>
          <t>Neighborhood revitalization and the postindustrial city : a multinational perspective / Dennis E. Gale.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Gale, Dennis E.</t>
        </is>
      </c>
      <c r="L321" t="inlineStr">
        <is>
          <t>Lexington, Mass. : Lexington Books, c1984.</t>
        </is>
      </c>
      <c r="M321" t="inlineStr">
        <is>
          <t>1984</t>
        </is>
      </c>
      <c r="O321" t="inlineStr">
        <is>
          <t>eng</t>
        </is>
      </c>
      <c r="P321" t="inlineStr">
        <is>
          <t>mau</t>
        </is>
      </c>
      <c r="Q321" t="inlineStr">
        <is>
          <t>Politics of planning series</t>
        </is>
      </c>
      <c r="R321" t="inlineStr">
        <is>
          <t xml:space="preserve">HT </t>
        </is>
      </c>
      <c r="S321" t="n">
        <v>6</v>
      </c>
      <c r="T321" t="n">
        <v>6</v>
      </c>
      <c r="U321" t="inlineStr">
        <is>
          <t>1998-03-12</t>
        </is>
      </c>
      <c r="V321" t="inlineStr">
        <is>
          <t>1998-03-12</t>
        </is>
      </c>
      <c r="W321" t="inlineStr">
        <is>
          <t>1991-12-09</t>
        </is>
      </c>
      <c r="X321" t="inlineStr">
        <is>
          <t>1991-12-09</t>
        </is>
      </c>
      <c r="Y321" t="n">
        <v>392</v>
      </c>
      <c r="Z321" t="n">
        <v>324</v>
      </c>
      <c r="AA321" t="n">
        <v>326</v>
      </c>
      <c r="AB321" t="n">
        <v>3</v>
      </c>
      <c r="AC321" t="n">
        <v>3</v>
      </c>
      <c r="AD321" t="n">
        <v>18</v>
      </c>
      <c r="AE321" t="n">
        <v>18</v>
      </c>
      <c r="AF321" t="n">
        <v>5</v>
      </c>
      <c r="AG321" t="n">
        <v>5</v>
      </c>
      <c r="AH321" t="n">
        <v>3</v>
      </c>
      <c r="AI321" t="n">
        <v>3</v>
      </c>
      <c r="AJ321" t="n">
        <v>10</v>
      </c>
      <c r="AK321" t="n">
        <v>10</v>
      </c>
      <c r="AL321" t="n">
        <v>1</v>
      </c>
      <c r="AM321" t="n">
        <v>1</v>
      </c>
      <c r="AN321" t="n">
        <v>2</v>
      </c>
      <c r="AO321" t="n">
        <v>2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HYPERLINK("http://catalog.hathitrust.org/Record/000121822","HathiTrust Record")</f>
        <v/>
      </c>
      <c r="AS321">
        <f>HYPERLINK("https://creighton-primo.hosted.exlibrisgroup.com/primo-explore/search?tab=default_tab&amp;search_scope=EVERYTHING&amp;vid=01CRU&amp;lang=en_US&amp;offset=0&amp;query=any,contains,991000384019702656","Catalog Record")</f>
        <v/>
      </c>
      <c r="AT321">
        <f>HYPERLINK("http://www.worldcat.org/oclc/10506491","WorldCat Record")</f>
        <v/>
      </c>
      <c r="AU321" t="inlineStr">
        <is>
          <t>2898193:eng</t>
        </is>
      </c>
      <c r="AV321" t="inlineStr">
        <is>
          <t>10506491</t>
        </is>
      </c>
      <c r="AW321" t="inlineStr">
        <is>
          <t>991000384019702656</t>
        </is>
      </c>
      <c r="AX321" t="inlineStr">
        <is>
          <t>991000384019702656</t>
        </is>
      </c>
      <c r="AY321" t="inlineStr">
        <is>
          <t>2255755560002656</t>
        </is>
      </c>
      <c r="AZ321" t="inlineStr">
        <is>
          <t>BOOK</t>
        </is>
      </c>
      <c r="BB321" t="inlineStr">
        <is>
          <t>9780669066975</t>
        </is>
      </c>
      <c r="BC321" t="inlineStr">
        <is>
          <t>32285000839562</t>
        </is>
      </c>
      <c r="BD321" t="inlineStr">
        <is>
          <t>893431898</t>
        </is>
      </c>
    </row>
    <row r="322">
      <c r="A322" t="inlineStr">
        <is>
          <t>No</t>
        </is>
      </c>
      <c r="B322" t="inlineStr">
        <is>
          <t>HT170 .L66 2003</t>
        </is>
      </c>
      <c r="C322" t="inlineStr">
        <is>
          <t>0                      HT 0170000L  66          2003</t>
        </is>
      </c>
      <c r="D322" t="inlineStr">
        <is>
          <t>Main Street : some lessons in revitalization / Louis Lopilato II.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Lopilato, Louis.</t>
        </is>
      </c>
      <c r="L322" t="inlineStr">
        <is>
          <t>Lanham, Md. : University Press of America, c2003.</t>
        </is>
      </c>
      <c r="M322" t="inlineStr">
        <is>
          <t>2003</t>
        </is>
      </c>
      <c r="O322" t="inlineStr">
        <is>
          <t>eng</t>
        </is>
      </c>
      <c r="P322" t="inlineStr">
        <is>
          <t>mdu</t>
        </is>
      </c>
      <c r="R322" t="inlineStr">
        <is>
          <t xml:space="preserve">HT </t>
        </is>
      </c>
      <c r="S322" t="n">
        <v>3</v>
      </c>
      <c r="T322" t="n">
        <v>3</v>
      </c>
      <c r="U322" t="inlineStr">
        <is>
          <t>2007-04-19</t>
        </is>
      </c>
      <c r="V322" t="inlineStr">
        <is>
          <t>2007-04-19</t>
        </is>
      </c>
      <c r="W322" t="inlineStr">
        <is>
          <t>2003-09-11</t>
        </is>
      </c>
      <c r="X322" t="inlineStr">
        <is>
          <t>2003-09-11</t>
        </is>
      </c>
      <c r="Y322" t="n">
        <v>144</v>
      </c>
      <c r="Z322" t="n">
        <v>123</v>
      </c>
      <c r="AA322" t="n">
        <v>125</v>
      </c>
      <c r="AB322" t="n">
        <v>3</v>
      </c>
      <c r="AC322" t="n">
        <v>3</v>
      </c>
      <c r="AD322" t="n">
        <v>5</v>
      </c>
      <c r="AE322" t="n">
        <v>5</v>
      </c>
      <c r="AF322" t="n">
        <v>0</v>
      </c>
      <c r="AG322" t="n">
        <v>0</v>
      </c>
      <c r="AH322" t="n">
        <v>2</v>
      </c>
      <c r="AI322" t="n">
        <v>2</v>
      </c>
      <c r="AJ322" t="n">
        <v>2</v>
      </c>
      <c r="AK322" t="n">
        <v>2</v>
      </c>
      <c r="AL322" t="n">
        <v>2</v>
      </c>
      <c r="AM322" t="n">
        <v>2</v>
      </c>
      <c r="AN322" t="n">
        <v>0</v>
      </c>
      <c r="AO322" t="n">
        <v>0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HYPERLINK("http://catalog.hathitrust.org/Record/004314755","HathiTrust Record")</f>
        <v/>
      </c>
      <c r="AS322">
        <f>HYPERLINK("https://creighton-primo.hosted.exlibrisgroup.com/primo-explore/search?tab=default_tab&amp;search_scope=EVERYTHING&amp;vid=01CRU&amp;lang=en_US&amp;offset=0&amp;query=any,contains,991004122249702656","Catalog Record")</f>
        <v/>
      </c>
      <c r="AT322">
        <f>HYPERLINK("http://www.worldcat.org/oclc/50841724","WorldCat Record")</f>
        <v/>
      </c>
      <c r="AU322" t="inlineStr">
        <is>
          <t>476179781:eng</t>
        </is>
      </c>
      <c r="AV322" t="inlineStr">
        <is>
          <t>50841724</t>
        </is>
      </c>
      <c r="AW322" t="inlineStr">
        <is>
          <t>991004122249702656</t>
        </is>
      </c>
      <c r="AX322" t="inlineStr">
        <is>
          <t>991004122249702656</t>
        </is>
      </c>
      <c r="AY322" t="inlineStr">
        <is>
          <t>2264027910002656</t>
        </is>
      </c>
      <c r="AZ322" t="inlineStr">
        <is>
          <t>BOOK</t>
        </is>
      </c>
      <c r="BB322" t="inlineStr">
        <is>
          <t>9780761824671</t>
        </is>
      </c>
      <c r="BC322" t="inlineStr">
        <is>
          <t>32285004795471</t>
        </is>
      </c>
      <c r="BD322" t="inlineStr">
        <is>
          <t>893429687</t>
        </is>
      </c>
    </row>
    <row r="323">
      <c r="A323" t="inlineStr">
        <is>
          <t>No</t>
        </is>
      </c>
      <c r="B323" t="inlineStr">
        <is>
          <t>HT175 .C62 1995</t>
        </is>
      </c>
      <c r="C323" t="inlineStr">
        <is>
          <t>0                      HT 0175000C  62          1995</t>
        </is>
      </c>
      <c r="D323" t="inlineStr">
        <is>
          <t>Rebuilding inner-city communities : a new approach to the nation's urban crisis / a statement by the Research and Policy Committee of the Committee for Economic Development.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K323" t="inlineStr">
        <is>
          <t>Committee for Economic Development. Research and Policy Committee.</t>
        </is>
      </c>
      <c r="L323" t="inlineStr">
        <is>
          <t>New York, N.Y. : Committee for Economic Development, [1995]</t>
        </is>
      </c>
      <c r="M323" t="inlineStr">
        <is>
          <t>1995</t>
        </is>
      </c>
      <c r="O323" t="inlineStr">
        <is>
          <t>eng</t>
        </is>
      </c>
      <c r="P323" t="inlineStr">
        <is>
          <t>nyu</t>
        </is>
      </c>
      <c r="R323" t="inlineStr">
        <is>
          <t xml:space="preserve">HT </t>
        </is>
      </c>
      <c r="S323" t="n">
        <v>4</v>
      </c>
      <c r="T323" t="n">
        <v>4</v>
      </c>
      <c r="U323" t="inlineStr">
        <is>
          <t>1999-08-11</t>
        </is>
      </c>
      <c r="V323" t="inlineStr">
        <is>
          <t>1999-08-11</t>
        </is>
      </c>
      <c r="W323" t="inlineStr">
        <is>
          <t>1996-06-17</t>
        </is>
      </c>
      <c r="X323" t="inlineStr">
        <is>
          <t>1996-06-17</t>
        </is>
      </c>
      <c r="Y323" t="n">
        <v>241</v>
      </c>
      <c r="Z323" t="n">
        <v>219</v>
      </c>
      <c r="AA323" t="n">
        <v>223</v>
      </c>
      <c r="AB323" t="n">
        <v>2</v>
      </c>
      <c r="AC323" t="n">
        <v>2</v>
      </c>
      <c r="AD323" t="n">
        <v>14</v>
      </c>
      <c r="AE323" t="n">
        <v>14</v>
      </c>
      <c r="AF323" t="n">
        <v>7</v>
      </c>
      <c r="AG323" t="n">
        <v>7</v>
      </c>
      <c r="AH323" t="n">
        <v>3</v>
      </c>
      <c r="AI323" t="n">
        <v>3</v>
      </c>
      <c r="AJ323" t="n">
        <v>8</v>
      </c>
      <c r="AK323" t="n">
        <v>8</v>
      </c>
      <c r="AL323" t="n">
        <v>1</v>
      </c>
      <c r="AM323" t="n">
        <v>1</v>
      </c>
      <c r="AN323" t="n">
        <v>0</v>
      </c>
      <c r="AO323" t="n">
        <v>0</v>
      </c>
      <c r="AP323" t="inlineStr">
        <is>
          <t>No</t>
        </is>
      </c>
      <c r="AQ323" t="inlineStr">
        <is>
          <t>Yes</t>
        </is>
      </c>
      <c r="AR323">
        <f>HYPERLINK("http://catalog.hathitrust.org/Record/007131167","HathiTrust Record")</f>
        <v/>
      </c>
      <c r="AS323">
        <f>HYPERLINK("https://creighton-primo.hosted.exlibrisgroup.com/primo-explore/search?tab=default_tab&amp;search_scope=EVERYTHING&amp;vid=01CRU&amp;lang=en_US&amp;offset=0&amp;query=any,contains,991002454849702656","Catalog Record")</f>
        <v/>
      </c>
      <c r="AT323">
        <f>HYPERLINK("http://www.worldcat.org/oclc/32013032","WorldCat Record")</f>
        <v/>
      </c>
      <c r="AU323" t="inlineStr">
        <is>
          <t>33879462:eng</t>
        </is>
      </c>
      <c r="AV323" t="inlineStr">
        <is>
          <t>32013032</t>
        </is>
      </c>
      <c r="AW323" t="inlineStr">
        <is>
          <t>991002454849702656</t>
        </is>
      </c>
      <c r="AX323" t="inlineStr">
        <is>
          <t>991002454849702656</t>
        </is>
      </c>
      <c r="AY323" t="inlineStr">
        <is>
          <t>2256846920002656</t>
        </is>
      </c>
      <c r="AZ323" t="inlineStr">
        <is>
          <t>BOOK</t>
        </is>
      </c>
      <c r="BB323" t="inlineStr">
        <is>
          <t>9780871861207</t>
        </is>
      </c>
      <c r="BC323" t="inlineStr">
        <is>
          <t>32285002193307</t>
        </is>
      </c>
      <c r="BD323" t="inlineStr">
        <is>
          <t>893239069</t>
        </is>
      </c>
    </row>
    <row r="324">
      <c r="A324" t="inlineStr">
        <is>
          <t>No</t>
        </is>
      </c>
      <c r="B324" t="inlineStr">
        <is>
          <t>HT175 .L54 2009</t>
        </is>
      </c>
      <c r="C324" t="inlineStr">
        <is>
          <t>0                      HT 0175000L  54          2009</t>
        </is>
      </c>
      <c r="D324" t="inlineStr">
        <is>
          <t>The nature of cities : ecological visions and the American urban professions, 1920-1960 / Jennifer S. Light.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Light, Jennifer S., 1971-</t>
        </is>
      </c>
      <c r="L324" t="inlineStr">
        <is>
          <t>Baltimore : Johns Hopkins University Press, 2009.</t>
        </is>
      </c>
      <c r="M324" t="inlineStr">
        <is>
          <t>2009</t>
        </is>
      </c>
      <c r="O324" t="inlineStr">
        <is>
          <t>eng</t>
        </is>
      </c>
      <c r="P324" t="inlineStr">
        <is>
          <t>mdu</t>
        </is>
      </c>
      <c r="R324" t="inlineStr">
        <is>
          <t xml:space="preserve">HT </t>
        </is>
      </c>
      <c r="S324" t="n">
        <v>1</v>
      </c>
      <c r="T324" t="n">
        <v>1</v>
      </c>
      <c r="U324" t="inlineStr">
        <is>
          <t>2010-05-05</t>
        </is>
      </c>
      <c r="V324" t="inlineStr">
        <is>
          <t>2010-05-05</t>
        </is>
      </c>
      <c r="W324" t="inlineStr">
        <is>
          <t>2010-05-05</t>
        </is>
      </c>
      <c r="X324" t="inlineStr">
        <is>
          <t>2010-05-05</t>
        </is>
      </c>
      <c r="Y324" t="n">
        <v>347</v>
      </c>
      <c r="Z324" t="n">
        <v>286</v>
      </c>
      <c r="AA324" t="n">
        <v>288</v>
      </c>
      <c r="AB324" t="n">
        <v>2</v>
      </c>
      <c r="AC324" t="n">
        <v>2</v>
      </c>
      <c r="AD324" t="n">
        <v>17</v>
      </c>
      <c r="AE324" t="n">
        <v>17</v>
      </c>
      <c r="AF324" t="n">
        <v>7</v>
      </c>
      <c r="AG324" t="n">
        <v>7</v>
      </c>
      <c r="AH324" t="n">
        <v>5</v>
      </c>
      <c r="AI324" t="n">
        <v>5</v>
      </c>
      <c r="AJ324" t="n">
        <v>9</v>
      </c>
      <c r="AK324" t="n">
        <v>9</v>
      </c>
      <c r="AL324" t="n">
        <v>1</v>
      </c>
      <c r="AM324" t="n">
        <v>1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HYPERLINK("http://catalog.hathitrust.org/Record/006815453","HathiTrust Record")</f>
        <v/>
      </c>
      <c r="AS324">
        <f>HYPERLINK("https://creighton-primo.hosted.exlibrisgroup.com/primo-explore/search?tab=default_tab&amp;search_scope=EVERYTHING&amp;vid=01CRU&amp;lang=en_US&amp;offset=0&amp;query=any,contains,991005388549702656","Catalog Record")</f>
        <v/>
      </c>
      <c r="AT324">
        <f>HYPERLINK("http://www.worldcat.org/oclc/232922025","WorldCat Record")</f>
        <v/>
      </c>
      <c r="AU324" t="inlineStr">
        <is>
          <t>970108481:eng</t>
        </is>
      </c>
      <c r="AV324" t="inlineStr">
        <is>
          <t>232922025</t>
        </is>
      </c>
      <c r="AW324" t="inlineStr">
        <is>
          <t>991005388549702656</t>
        </is>
      </c>
      <c r="AX324" t="inlineStr">
        <is>
          <t>991005388549702656</t>
        </is>
      </c>
      <c r="AY324" t="inlineStr">
        <is>
          <t>2268358490002656</t>
        </is>
      </c>
      <c r="AZ324" t="inlineStr">
        <is>
          <t>BOOK</t>
        </is>
      </c>
      <c r="BB324" t="inlineStr">
        <is>
          <t>9780801891366</t>
        </is>
      </c>
      <c r="BC324" t="inlineStr">
        <is>
          <t>32285005580435</t>
        </is>
      </c>
      <c r="BD324" t="inlineStr">
        <is>
          <t>893777403</t>
        </is>
      </c>
    </row>
    <row r="325">
      <c r="A325" t="inlineStr">
        <is>
          <t>No</t>
        </is>
      </c>
      <c r="B325" t="inlineStr">
        <is>
          <t>HT175 .P32 1995</t>
        </is>
      </c>
      <c r="C325" t="inlineStr">
        <is>
          <t>0                      HT 0175000P  32          1995</t>
        </is>
      </c>
      <c r="D325" t="inlineStr">
        <is>
          <t>Cityscapes and capital : the politics of urban development / Michael A. Pagano and Ann O'M. Bowman.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Pagano, Michael A.</t>
        </is>
      </c>
      <c r="L325" t="inlineStr">
        <is>
          <t>Baltimore : Johns Hopkins University Press, 1995.</t>
        </is>
      </c>
      <c r="M325" t="inlineStr">
        <is>
          <t>1995</t>
        </is>
      </c>
      <c r="O325" t="inlineStr">
        <is>
          <t>eng</t>
        </is>
      </c>
      <c r="P325" t="inlineStr">
        <is>
          <t>mdu</t>
        </is>
      </c>
      <c r="R325" t="inlineStr">
        <is>
          <t xml:space="preserve">HT </t>
        </is>
      </c>
      <c r="S325" t="n">
        <v>1</v>
      </c>
      <c r="T325" t="n">
        <v>1</v>
      </c>
      <c r="U325" t="inlineStr">
        <is>
          <t>2009-04-19</t>
        </is>
      </c>
      <c r="V325" t="inlineStr">
        <is>
          <t>2009-04-19</t>
        </is>
      </c>
      <c r="W325" t="inlineStr">
        <is>
          <t>1996-05-06</t>
        </is>
      </c>
      <c r="X325" t="inlineStr">
        <is>
          <t>1996-05-06</t>
        </is>
      </c>
      <c r="Y325" t="n">
        <v>403</v>
      </c>
      <c r="Z325" t="n">
        <v>332</v>
      </c>
      <c r="AA325" t="n">
        <v>359</v>
      </c>
      <c r="AB325" t="n">
        <v>3</v>
      </c>
      <c r="AC325" t="n">
        <v>3</v>
      </c>
      <c r="AD325" t="n">
        <v>16</v>
      </c>
      <c r="AE325" t="n">
        <v>17</v>
      </c>
      <c r="AF325" t="n">
        <v>4</v>
      </c>
      <c r="AG325" t="n">
        <v>5</v>
      </c>
      <c r="AH325" t="n">
        <v>5</v>
      </c>
      <c r="AI325" t="n">
        <v>5</v>
      </c>
      <c r="AJ325" t="n">
        <v>9</v>
      </c>
      <c r="AK325" t="n">
        <v>9</v>
      </c>
      <c r="AL325" t="n">
        <v>2</v>
      </c>
      <c r="AM325" t="n">
        <v>2</v>
      </c>
      <c r="AN325" t="n">
        <v>0</v>
      </c>
      <c r="AO325" t="n">
        <v>0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HYPERLINK("http://catalog.hathitrust.org/Record/002989100","HathiTrust Record")</f>
        <v/>
      </c>
      <c r="AS325">
        <f>HYPERLINK("https://creighton-primo.hosted.exlibrisgroup.com/primo-explore/search?tab=default_tab&amp;search_scope=EVERYTHING&amp;vid=01CRU&amp;lang=en_US&amp;offset=0&amp;query=any,contains,991002409649702656","Catalog Record")</f>
        <v/>
      </c>
      <c r="AT325">
        <f>HYPERLINK("http://www.worldcat.org/oclc/31374081","WorldCat Record")</f>
        <v/>
      </c>
      <c r="AU325" t="inlineStr">
        <is>
          <t>610489:eng</t>
        </is>
      </c>
      <c r="AV325" t="inlineStr">
        <is>
          <t>31374081</t>
        </is>
      </c>
      <c r="AW325" t="inlineStr">
        <is>
          <t>991002409649702656</t>
        </is>
      </c>
      <c r="AX325" t="inlineStr">
        <is>
          <t>991002409649702656</t>
        </is>
      </c>
      <c r="AY325" t="inlineStr">
        <is>
          <t>2262957570002656</t>
        </is>
      </c>
      <c r="AZ325" t="inlineStr">
        <is>
          <t>BOOK</t>
        </is>
      </c>
      <c r="BB325" t="inlineStr">
        <is>
          <t>9780801850349</t>
        </is>
      </c>
      <c r="BC325" t="inlineStr">
        <is>
          <t>32285002158862</t>
        </is>
      </c>
      <c r="BD325" t="inlineStr">
        <is>
          <t>893409065</t>
        </is>
      </c>
    </row>
    <row r="326">
      <c r="A326" t="inlineStr">
        <is>
          <t>No</t>
        </is>
      </c>
      <c r="B326" t="inlineStr">
        <is>
          <t>HT175 .T43 1990</t>
        </is>
      </c>
      <c r="C326" t="inlineStr">
        <is>
          <t>0                      HT 0175000T  43          1990</t>
        </is>
      </c>
      <c r="D326" t="inlineStr">
        <is>
          <t>The rough road to renaissance : urban revitalization in America, 1940-1985 / Jon C. Teaford.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Teaford, Jon C.</t>
        </is>
      </c>
      <c r="L326" t="inlineStr">
        <is>
          <t>Baltimore : Johns Hopkins University Press, c1990.</t>
        </is>
      </c>
      <c r="M326" t="inlineStr">
        <is>
          <t>1990</t>
        </is>
      </c>
      <c r="O326" t="inlineStr">
        <is>
          <t>eng</t>
        </is>
      </c>
      <c r="P326" t="inlineStr">
        <is>
          <t>mdu</t>
        </is>
      </c>
      <c r="Q326" t="inlineStr">
        <is>
          <t>Creating the North American landscape</t>
        </is>
      </c>
      <c r="R326" t="inlineStr">
        <is>
          <t xml:space="preserve">HT </t>
        </is>
      </c>
      <c r="S326" t="n">
        <v>4</v>
      </c>
      <c r="T326" t="n">
        <v>4</v>
      </c>
      <c r="U326" t="inlineStr">
        <is>
          <t>2005-04-17</t>
        </is>
      </c>
      <c r="V326" t="inlineStr">
        <is>
          <t>2005-04-17</t>
        </is>
      </c>
      <c r="W326" t="inlineStr">
        <is>
          <t>1992-10-08</t>
        </is>
      </c>
      <c r="X326" t="inlineStr">
        <is>
          <t>1992-10-08</t>
        </is>
      </c>
      <c r="Y326" t="n">
        <v>658</v>
      </c>
      <c r="Z326" t="n">
        <v>570</v>
      </c>
      <c r="AA326" t="n">
        <v>578</v>
      </c>
      <c r="AB326" t="n">
        <v>4</v>
      </c>
      <c r="AC326" t="n">
        <v>4</v>
      </c>
      <c r="AD326" t="n">
        <v>30</v>
      </c>
      <c r="AE326" t="n">
        <v>30</v>
      </c>
      <c r="AF326" t="n">
        <v>12</v>
      </c>
      <c r="AG326" t="n">
        <v>12</v>
      </c>
      <c r="AH326" t="n">
        <v>7</v>
      </c>
      <c r="AI326" t="n">
        <v>7</v>
      </c>
      <c r="AJ326" t="n">
        <v>16</v>
      </c>
      <c r="AK326" t="n">
        <v>16</v>
      </c>
      <c r="AL326" t="n">
        <v>3</v>
      </c>
      <c r="AM326" t="n">
        <v>3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HYPERLINK("http://catalog.hathitrust.org/Record/002205152","HathiTrust Record")</f>
        <v/>
      </c>
      <c r="AS326">
        <f>HYPERLINK("https://creighton-primo.hosted.exlibrisgroup.com/primo-explore/search?tab=default_tab&amp;search_scope=EVERYTHING&amp;vid=01CRU&amp;lang=en_US&amp;offset=0&amp;query=any,contains,991001612799702656","Catalog Record")</f>
        <v/>
      </c>
      <c r="AT326">
        <f>HYPERLINK("http://www.worldcat.org/oclc/20755320","WorldCat Record")</f>
        <v/>
      </c>
      <c r="AU326" t="inlineStr">
        <is>
          <t>366727406:eng</t>
        </is>
      </c>
      <c r="AV326" t="inlineStr">
        <is>
          <t>20755320</t>
        </is>
      </c>
      <c r="AW326" t="inlineStr">
        <is>
          <t>991001612799702656</t>
        </is>
      </c>
      <c r="AX326" t="inlineStr">
        <is>
          <t>991001612799702656</t>
        </is>
      </c>
      <c r="AY326" t="inlineStr">
        <is>
          <t>2266206860002656</t>
        </is>
      </c>
      <c r="AZ326" t="inlineStr">
        <is>
          <t>BOOK</t>
        </is>
      </c>
      <c r="BB326" t="inlineStr">
        <is>
          <t>9780801841347</t>
        </is>
      </c>
      <c r="BC326" t="inlineStr">
        <is>
          <t>32285001316156</t>
        </is>
      </c>
      <c r="BD326" t="inlineStr">
        <is>
          <t>893328231</t>
        </is>
      </c>
    </row>
    <row r="327">
      <c r="A327" t="inlineStr">
        <is>
          <t>No</t>
        </is>
      </c>
      <c r="B327" t="inlineStr">
        <is>
          <t>HT175 .U743 1995</t>
        </is>
      </c>
      <c r="C327" t="inlineStr">
        <is>
          <t>0                      HT 0175000U  743         1995</t>
        </is>
      </c>
      <c r="D327" t="inlineStr">
        <is>
          <t>Urban revitalization : policies and programs / Fritz W. Wagner, Timothy E. Joder, Anthony J. Mumphrey, Jr., editors.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L327" t="inlineStr">
        <is>
          <t>Thousand Oaks : Sage Publications, c1995.</t>
        </is>
      </c>
      <c r="M327" t="inlineStr">
        <is>
          <t>1995</t>
        </is>
      </c>
      <c r="O327" t="inlineStr">
        <is>
          <t>eng</t>
        </is>
      </c>
      <c r="P327" t="inlineStr">
        <is>
          <t>cau</t>
        </is>
      </c>
      <c r="R327" t="inlineStr">
        <is>
          <t xml:space="preserve">HT </t>
        </is>
      </c>
      <c r="S327" t="n">
        <v>16</v>
      </c>
      <c r="T327" t="n">
        <v>16</v>
      </c>
      <c r="U327" t="inlineStr">
        <is>
          <t>2009-10-13</t>
        </is>
      </c>
      <c r="V327" t="inlineStr">
        <is>
          <t>2009-10-13</t>
        </is>
      </c>
      <c r="W327" t="inlineStr">
        <is>
          <t>1997-01-13</t>
        </is>
      </c>
      <c r="X327" t="inlineStr">
        <is>
          <t>1997-01-13</t>
        </is>
      </c>
      <c r="Y327" t="n">
        <v>381</v>
      </c>
      <c r="Z327" t="n">
        <v>298</v>
      </c>
      <c r="AA327" t="n">
        <v>299</v>
      </c>
      <c r="AB327" t="n">
        <v>2</v>
      </c>
      <c r="AC327" t="n">
        <v>2</v>
      </c>
      <c r="AD327" t="n">
        <v>12</v>
      </c>
      <c r="AE327" t="n">
        <v>12</v>
      </c>
      <c r="AF327" t="n">
        <v>5</v>
      </c>
      <c r="AG327" t="n">
        <v>5</v>
      </c>
      <c r="AH327" t="n">
        <v>3</v>
      </c>
      <c r="AI327" t="n">
        <v>3</v>
      </c>
      <c r="AJ327" t="n">
        <v>8</v>
      </c>
      <c r="AK327" t="n">
        <v>8</v>
      </c>
      <c r="AL327" t="n">
        <v>1</v>
      </c>
      <c r="AM327" t="n">
        <v>1</v>
      </c>
      <c r="AN327" t="n">
        <v>0</v>
      </c>
      <c r="AO327" t="n">
        <v>0</v>
      </c>
      <c r="AP327" t="inlineStr">
        <is>
          <t>No</t>
        </is>
      </c>
      <c r="AQ327" t="inlineStr">
        <is>
          <t>Yes</t>
        </is>
      </c>
      <c r="AR327">
        <f>HYPERLINK("http://catalog.hathitrust.org/Record/002954845","HathiTrust Record")</f>
        <v/>
      </c>
      <c r="AS327">
        <f>HYPERLINK("https://creighton-primo.hosted.exlibrisgroup.com/primo-explore/search?tab=default_tab&amp;search_scope=EVERYTHING&amp;vid=01CRU&amp;lang=en_US&amp;offset=0&amp;query=any,contains,991002421269702656","Catalog Record")</f>
        <v/>
      </c>
      <c r="AT327">
        <f>HYPERLINK("http://www.worldcat.org/oclc/31519836","WorldCat Record")</f>
        <v/>
      </c>
      <c r="AU327" t="inlineStr">
        <is>
          <t>808857926:eng</t>
        </is>
      </c>
      <c r="AV327" t="inlineStr">
        <is>
          <t>31519836</t>
        </is>
      </c>
      <c r="AW327" t="inlineStr">
        <is>
          <t>991002421269702656</t>
        </is>
      </c>
      <c r="AX327" t="inlineStr">
        <is>
          <t>991002421269702656</t>
        </is>
      </c>
      <c r="AY327" t="inlineStr">
        <is>
          <t>2270057750002656</t>
        </is>
      </c>
      <c r="AZ327" t="inlineStr">
        <is>
          <t>BOOK</t>
        </is>
      </c>
      <c r="BB327" t="inlineStr">
        <is>
          <t>9780803958692</t>
        </is>
      </c>
      <c r="BC327" t="inlineStr">
        <is>
          <t>32285002407061</t>
        </is>
      </c>
      <c r="BD327" t="inlineStr">
        <is>
          <t>893440135</t>
        </is>
      </c>
    </row>
    <row r="328">
      <c r="A328" t="inlineStr">
        <is>
          <t>No</t>
        </is>
      </c>
      <c r="B328" t="inlineStr">
        <is>
          <t>HT175.U6 A84</t>
        </is>
      </c>
      <c r="C328" t="inlineStr">
        <is>
          <t>0                      HT 0175000U  6                  A  84</t>
        </is>
      </c>
      <c r="D328" t="inlineStr">
        <is>
          <t>The Federal bulldozer : a critical analysis of urban renewal, 1949-1962 / Martin Anderson.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Anderson, Martin.</t>
        </is>
      </c>
      <c r="L328" t="inlineStr">
        <is>
          <t>Cambridge : M.I.T. Press, c1964, 1965 printing.</t>
        </is>
      </c>
      <c r="M328" t="inlineStr">
        <is>
          <t>1964</t>
        </is>
      </c>
      <c r="O328" t="inlineStr">
        <is>
          <t>eng</t>
        </is>
      </c>
      <c r="P328" t="inlineStr">
        <is>
          <t>mau</t>
        </is>
      </c>
      <c r="Q328" t="inlineStr">
        <is>
          <t>Publications of the Joint Center for Urban Studies of the Massachusetts Institute of Technology and Harvard University</t>
        </is>
      </c>
      <c r="R328" t="inlineStr">
        <is>
          <t xml:space="preserve">HT </t>
        </is>
      </c>
      <c r="S328" t="n">
        <v>3</v>
      </c>
      <c r="T328" t="n">
        <v>3</v>
      </c>
      <c r="U328" t="inlineStr">
        <is>
          <t>2006-11-02</t>
        </is>
      </c>
      <c r="V328" t="inlineStr">
        <is>
          <t>2006-11-02</t>
        </is>
      </c>
      <c r="W328" t="inlineStr">
        <is>
          <t>1991-12-13</t>
        </is>
      </c>
      <c r="X328" t="inlineStr">
        <is>
          <t>1991-12-13</t>
        </is>
      </c>
      <c r="Y328" t="n">
        <v>963</v>
      </c>
      <c r="Z328" t="n">
        <v>854</v>
      </c>
      <c r="AA328" t="n">
        <v>976</v>
      </c>
      <c r="AB328" t="n">
        <v>7</v>
      </c>
      <c r="AC328" t="n">
        <v>8</v>
      </c>
      <c r="AD328" t="n">
        <v>55</v>
      </c>
      <c r="AE328" t="n">
        <v>59</v>
      </c>
      <c r="AF328" t="n">
        <v>15</v>
      </c>
      <c r="AG328" t="n">
        <v>16</v>
      </c>
      <c r="AH328" t="n">
        <v>9</v>
      </c>
      <c r="AI328" t="n">
        <v>11</v>
      </c>
      <c r="AJ328" t="n">
        <v>21</v>
      </c>
      <c r="AK328" t="n">
        <v>22</v>
      </c>
      <c r="AL328" t="n">
        <v>5</v>
      </c>
      <c r="AM328" t="n">
        <v>6</v>
      </c>
      <c r="AN328" t="n">
        <v>15</v>
      </c>
      <c r="AO328" t="n">
        <v>16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HYPERLINK("http://catalog.hathitrust.org/Record/001119424","HathiTrust Record")</f>
        <v/>
      </c>
      <c r="AS328">
        <f>HYPERLINK("https://creighton-primo.hosted.exlibrisgroup.com/primo-explore/search?tab=default_tab&amp;search_scope=EVERYTHING&amp;vid=01CRU&amp;lang=en_US&amp;offset=0&amp;query=any,contains,991002043519702656","Catalog Record")</f>
        <v/>
      </c>
      <c r="AT328">
        <f>HYPERLINK("http://www.worldcat.org/oclc/261259","WorldCat Record")</f>
        <v/>
      </c>
      <c r="AU328" t="inlineStr">
        <is>
          <t>197782385:eng</t>
        </is>
      </c>
      <c r="AV328" t="inlineStr">
        <is>
          <t>261259</t>
        </is>
      </c>
      <c r="AW328" t="inlineStr">
        <is>
          <t>991002043519702656</t>
        </is>
      </c>
      <c r="AX328" t="inlineStr">
        <is>
          <t>991002043519702656</t>
        </is>
      </c>
      <c r="AY328" t="inlineStr">
        <is>
          <t>2265551360002656</t>
        </is>
      </c>
      <c r="AZ328" t="inlineStr">
        <is>
          <t>BOOK</t>
        </is>
      </c>
      <c r="BC328" t="inlineStr">
        <is>
          <t>32285000879063</t>
        </is>
      </c>
      <c r="BD328" t="inlineStr">
        <is>
          <t>893691152</t>
        </is>
      </c>
    </row>
    <row r="329">
      <c r="A329" t="inlineStr">
        <is>
          <t>No</t>
        </is>
      </c>
      <c r="B329" t="inlineStr">
        <is>
          <t>HT175.U6 R6</t>
        </is>
      </c>
      <c r="C329" t="inlineStr">
        <is>
          <t>0                      HT 0175000U  6                  R  6</t>
        </is>
      </c>
      <c r="D329" t="inlineStr">
        <is>
          <t>Economic evaluation of urban renewal; conceptual foundation of benefit-cost analysis.</t>
        </is>
      </c>
      <c r="F329" t="inlineStr">
        <is>
          <t>No</t>
        </is>
      </c>
      <c r="G329" t="inlineStr">
        <is>
          <t>1</t>
        </is>
      </c>
      <c r="H329" t="inlineStr">
        <is>
          <t>Yes</t>
        </is>
      </c>
      <c r="I329" t="inlineStr">
        <is>
          <t>No</t>
        </is>
      </c>
      <c r="J329" t="inlineStr">
        <is>
          <t>0</t>
        </is>
      </c>
      <c r="K329" t="inlineStr">
        <is>
          <t>Rothenberg, Jerome, 1924-</t>
        </is>
      </c>
      <c r="L329" t="inlineStr">
        <is>
          <t>Washington, Brookings Institution [1967]</t>
        </is>
      </c>
      <c r="M329" t="inlineStr">
        <is>
          <t>1967</t>
        </is>
      </c>
      <c r="O329" t="inlineStr">
        <is>
          <t>eng</t>
        </is>
      </c>
      <c r="P329" t="inlineStr">
        <is>
          <t>dcu</t>
        </is>
      </c>
      <c r="Q329" t="inlineStr">
        <is>
          <t>Studies of government finance</t>
        </is>
      </c>
      <c r="R329" t="inlineStr">
        <is>
          <t xml:space="preserve">HT </t>
        </is>
      </c>
      <c r="S329" t="n">
        <v>2</v>
      </c>
      <c r="T329" t="n">
        <v>2</v>
      </c>
      <c r="U329" t="inlineStr">
        <is>
          <t>2006-08-14</t>
        </is>
      </c>
      <c r="V329" t="inlineStr">
        <is>
          <t>2006-08-14</t>
        </is>
      </c>
      <c r="W329" t="inlineStr">
        <is>
          <t>1997-08-18</t>
        </is>
      </c>
      <c r="X329" t="inlineStr">
        <is>
          <t>1997-08-18</t>
        </is>
      </c>
      <c r="Y329" t="n">
        <v>831</v>
      </c>
      <c r="Z329" t="n">
        <v>675</v>
      </c>
      <c r="AA329" t="n">
        <v>684</v>
      </c>
      <c r="AB329" t="n">
        <v>5</v>
      </c>
      <c r="AC329" t="n">
        <v>5</v>
      </c>
      <c r="AD329" t="n">
        <v>42</v>
      </c>
      <c r="AE329" t="n">
        <v>42</v>
      </c>
      <c r="AF329" t="n">
        <v>16</v>
      </c>
      <c r="AG329" t="n">
        <v>16</v>
      </c>
      <c r="AH329" t="n">
        <v>6</v>
      </c>
      <c r="AI329" t="n">
        <v>6</v>
      </c>
      <c r="AJ329" t="n">
        <v>16</v>
      </c>
      <c r="AK329" t="n">
        <v>16</v>
      </c>
      <c r="AL329" t="n">
        <v>3</v>
      </c>
      <c r="AM329" t="n">
        <v>3</v>
      </c>
      <c r="AN329" t="n">
        <v>9</v>
      </c>
      <c r="AO329" t="n">
        <v>9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HYPERLINK("http://catalog.hathitrust.org/Record/001119428","HathiTrust Record")</f>
        <v/>
      </c>
      <c r="AS329">
        <f>HYPERLINK("https://creighton-primo.hosted.exlibrisgroup.com/primo-explore/search?tab=default_tab&amp;search_scope=EVERYTHING&amp;vid=01CRU&amp;lang=en_US&amp;offset=0&amp;query=any,contains,991001620469702656","Catalog Record")</f>
        <v/>
      </c>
      <c r="AT329">
        <f>HYPERLINK("http://www.worldcat.org/oclc/261714","WorldCat Record")</f>
        <v/>
      </c>
      <c r="AU329" t="inlineStr">
        <is>
          <t>233845543:eng</t>
        </is>
      </c>
      <c r="AV329" t="inlineStr">
        <is>
          <t>261714</t>
        </is>
      </c>
      <c r="AW329" t="inlineStr">
        <is>
          <t>991001620469702656</t>
        </is>
      </c>
      <c r="AX329" t="inlineStr">
        <is>
          <t>991001620469702656</t>
        </is>
      </c>
      <c r="AY329" t="inlineStr">
        <is>
          <t>2266688660002656</t>
        </is>
      </c>
      <c r="AZ329" t="inlineStr">
        <is>
          <t>BOOK</t>
        </is>
      </c>
      <c r="BC329" t="inlineStr">
        <is>
          <t>32285003147294</t>
        </is>
      </c>
      <c r="BD329" t="inlineStr">
        <is>
          <t>893690710</t>
        </is>
      </c>
    </row>
    <row r="330">
      <c r="A330" t="inlineStr">
        <is>
          <t>No</t>
        </is>
      </c>
      <c r="B330" t="inlineStr">
        <is>
          <t>HT175.U6 W4</t>
        </is>
      </c>
      <c r="C330" t="inlineStr">
        <is>
          <t>0                      HT 0175000U  6                  W  4</t>
        </is>
      </c>
      <c r="D330" t="inlineStr">
        <is>
          <t>Dilemmas of urban America [by] Robert C. Weaver.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Weaver, Robert C. (Robert Clifton), 1907-1997.</t>
        </is>
      </c>
      <c r="L330" t="inlineStr">
        <is>
          <t>Cambridge, Mass., Harvard University Press, 1965.</t>
        </is>
      </c>
      <c r="M330" t="inlineStr">
        <is>
          <t>1965</t>
        </is>
      </c>
      <c r="O330" t="inlineStr">
        <is>
          <t>eng</t>
        </is>
      </c>
      <c r="P330" t="inlineStr">
        <is>
          <t>mau</t>
        </is>
      </c>
      <c r="Q330" t="inlineStr">
        <is>
          <t>The Godkin lectures at Harvard University ; 1965</t>
        </is>
      </c>
      <c r="R330" t="inlineStr">
        <is>
          <t xml:space="preserve">HT </t>
        </is>
      </c>
      <c r="S330" t="n">
        <v>5</v>
      </c>
      <c r="T330" t="n">
        <v>5</v>
      </c>
      <c r="U330" t="inlineStr">
        <is>
          <t>2009-04-19</t>
        </is>
      </c>
      <c r="V330" t="inlineStr">
        <is>
          <t>2009-04-19</t>
        </is>
      </c>
      <c r="W330" t="inlineStr">
        <is>
          <t>1997-08-18</t>
        </is>
      </c>
      <c r="X330" t="inlineStr">
        <is>
          <t>1997-08-18</t>
        </is>
      </c>
      <c r="Y330" t="n">
        <v>848</v>
      </c>
      <c r="Z330" t="n">
        <v>740</v>
      </c>
      <c r="AA330" t="n">
        <v>804</v>
      </c>
      <c r="AB330" t="n">
        <v>4</v>
      </c>
      <c r="AC330" t="n">
        <v>4</v>
      </c>
      <c r="AD330" t="n">
        <v>34</v>
      </c>
      <c r="AE330" t="n">
        <v>35</v>
      </c>
      <c r="AF330" t="n">
        <v>11</v>
      </c>
      <c r="AG330" t="n">
        <v>12</v>
      </c>
      <c r="AH330" t="n">
        <v>7</v>
      </c>
      <c r="AI330" t="n">
        <v>7</v>
      </c>
      <c r="AJ330" t="n">
        <v>16</v>
      </c>
      <c r="AK330" t="n">
        <v>16</v>
      </c>
      <c r="AL330" t="n">
        <v>3</v>
      </c>
      <c r="AM330" t="n">
        <v>3</v>
      </c>
      <c r="AN330" t="n">
        <v>4</v>
      </c>
      <c r="AO330" t="n">
        <v>4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HYPERLINK("http://catalog.hathitrust.org/Record/001119430","HathiTrust Record")</f>
        <v/>
      </c>
      <c r="AS330">
        <f>HYPERLINK("https://creighton-primo.hosted.exlibrisgroup.com/primo-explore/search?tab=default_tab&amp;search_scope=EVERYTHING&amp;vid=01CRU&amp;lang=en_US&amp;offset=0&amp;query=any,contains,991002082869702656","Catalog Record")</f>
        <v/>
      </c>
      <c r="AT330">
        <f>HYPERLINK("http://www.worldcat.org/oclc/264866","WorldCat Record")</f>
        <v/>
      </c>
      <c r="AU330" t="inlineStr">
        <is>
          <t>142263526:eng</t>
        </is>
      </c>
      <c r="AV330" t="inlineStr">
        <is>
          <t>264866</t>
        </is>
      </c>
      <c r="AW330" t="inlineStr">
        <is>
          <t>991002082869702656</t>
        </is>
      </c>
      <c r="AX330" t="inlineStr">
        <is>
          <t>991002082869702656</t>
        </is>
      </c>
      <c r="AY330" t="inlineStr">
        <is>
          <t>2268040700002656</t>
        </is>
      </c>
      <c r="AZ330" t="inlineStr">
        <is>
          <t>BOOK</t>
        </is>
      </c>
      <c r="BC330" t="inlineStr">
        <is>
          <t>32285003147302</t>
        </is>
      </c>
      <c r="BD330" t="inlineStr">
        <is>
          <t>893590891</t>
        </is>
      </c>
    </row>
    <row r="331">
      <c r="A331" t="inlineStr">
        <is>
          <t>No</t>
        </is>
      </c>
      <c r="B331" t="inlineStr">
        <is>
          <t>HT175.U6 W5</t>
        </is>
      </c>
      <c r="C331" t="inlineStr">
        <is>
          <t>0                      HT 0175000U  6                  W  5</t>
        </is>
      </c>
      <c r="D331" t="inlineStr">
        <is>
          <t>Urban renewal; the record and the controversy / edited by James Q. Wilson.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Yes</t>
        </is>
      </c>
      <c r="J331" t="inlineStr">
        <is>
          <t>0</t>
        </is>
      </c>
      <c r="M331" t="inlineStr">
        <is>
          <t>1966</t>
        </is>
      </c>
      <c r="O331" t="inlineStr">
        <is>
          <t>eng</t>
        </is>
      </c>
      <c r="P331" t="inlineStr">
        <is>
          <t>mau</t>
        </is>
      </c>
      <c r="Q331" t="inlineStr">
        <is>
          <t>Publications of the Joint Center for Urban Studies of the Massachusetts Institute of Technology and Harvard University</t>
        </is>
      </c>
      <c r="R331" t="inlineStr">
        <is>
          <t xml:space="preserve">HT </t>
        </is>
      </c>
      <c r="S331" t="n">
        <v>6</v>
      </c>
      <c r="T331" t="n">
        <v>6</v>
      </c>
      <c r="U331" t="inlineStr">
        <is>
          <t>2009-10-13</t>
        </is>
      </c>
      <c r="V331" t="inlineStr">
        <is>
          <t>2009-10-13</t>
        </is>
      </c>
      <c r="W331" t="inlineStr">
        <is>
          <t>1997-08-18</t>
        </is>
      </c>
      <c r="X331" t="inlineStr">
        <is>
          <t>1997-08-18</t>
        </is>
      </c>
      <c r="Y331" t="n">
        <v>1126</v>
      </c>
      <c r="Z331" t="n">
        <v>977</v>
      </c>
      <c r="AA331" t="n">
        <v>1018</v>
      </c>
      <c r="AB331" t="n">
        <v>6</v>
      </c>
      <c r="AC331" t="n">
        <v>7</v>
      </c>
      <c r="AD331" t="n">
        <v>48</v>
      </c>
      <c r="AE331" t="n">
        <v>49</v>
      </c>
      <c r="AF331" t="n">
        <v>17</v>
      </c>
      <c r="AG331" t="n">
        <v>18</v>
      </c>
      <c r="AH331" t="n">
        <v>9</v>
      </c>
      <c r="AI331" t="n">
        <v>9</v>
      </c>
      <c r="AJ331" t="n">
        <v>21</v>
      </c>
      <c r="AK331" t="n">
        <v>21</v>
      </c>
      <c r="AL331" t="n">
        <v>4</v>
      </c>
      <c r="AM331" t="n">
        <v>4</v>
      </c>
      <c r="AN331" t="n">
        <v>9</v>
      </c>
      <c r="AO331" t="n">
        <v>9</v>
      </c>
      <c r="AP331" t="inlineStr">
        <is>
          <t>No</t>
        </is>
      </c>
      <c r="AQ331" t="inlineStr">
        <is>
          <t>Yes</t>
        </is>
      </c>
      <c r="AR331">
        <f>HYPERLINK("http://catalog.hathitrust.org/Record/001119431","HathiTrust Record")</f>
        <v/>
      </c>
      <c r="AS331">
        <f>HYPERLINK("https://creighton-primo.hosted.exlibrisgroup.com/primo-explore/search?tab=default_tab&amp;search_scope=EVERYTHING&amp;vid=01CRU&amp;lang=en_US&amp;offset=0&amp;query=any,contains,991003595279702656","Catalog Record")</f>
        <v/>
      </c>
      <c r="AT331">
        <f>HYPERLINK("http://www.worldcat.org/oclc/1175593","WorldCat Record")</f>
        <v/>
      </c>
      <c r="AU331" t="inlineStr">
        <is>
          <t>909352582:eng</t>
        </is>
      </c>
      <c r="AV331" t="inlineStr">
        <is>
          <t>1175593</t>
        </is>
      </c>
      <c r="AW331" t="inlineStr">
        <is>
          <t>991003595279702656</t>
        </is>
      </c>
      <c r="AX331" t="inlineStr">
        <is>
          <t>991003595279702656</t>
        </is>
      </c>
      <c r="AY331" t="inlineStr">
        <is>
          <t>2271903910002656</t>
        </is>
      </c>
      <c r="AZ331" t="inlineStr">
        <is>
          <t>BOOK</t>
        </is>
      </c>
      <c r="BC331" t="inlineStr">
        <is>
          <t>32285003147328</t>
        </is>
      </c>
      <c r="BD331" t="inlineStr">
        <is>
          <t>893428967</t>
        </is>
      </c>
    </row>
    <row r="332">
      <c r="A332" t="inlineStr">
        <is>
          <t>No</t>
        </is>
      </c>
      <c r="B332" t="inlineStr">
        <is>
          <t>HT177.B6 M44 1994</t>
        </is>
      </c>
      <c r="C332" t="inlineStr">
        <is>
          <t>0                      HT 0177000B  6                  M  44          1994</t>
        </is>
      </c>
      <c r="D332" t="inlineStr">
        <is>
          <t>Streets of hope : the fall and rise of an urban neighborhood / Peter Medoff and Holly Sklar.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Medoff, Peter, 1957-</t>
        </is>
      </c>
      <c r="L332" t="inlineStr">
        <is>
          <t>Boston, MA : South End Press, c1994.</t>
        </is>
      </c>
      <c r="M332" t="inlineStr">
        <is>
          <t>1994</t>
        </is>
      </c>
      <c r="O332" t="inlineStr">
        <is>
          <t>eng</t>
        </is>
      </c>
      <c r="P332" t="inlineStr">
        <is>
          <t>mau</t>
        </is>
      </c>
      <c r="R332" t="inlineStr">
        <is>
          <t xml:space="preserve">HT </t>
        </is>
      </c>
      <c r="S332" t="n">
        <v>11</v>
      </c>
      <c r="T332" t="n">
        <v>11</v>
      </c>
      <c r="U332" t="inlineStr">
        <is>
          <t>2009-10-13</t>
        </is>
      </c>
      <c r="V332" t="inlineStr">
        <is>
          <t>2009-10-13</t>
        </is>
      </c>
      <c r="W332" t="inlineStr">
        <is>
          <t>1997-09-26</t>
        </is>
      </c>
      <c r="X332" t="inlineStr">
        <is>
          <t>1997-09-26</t>
        </is>
      </c>
      <c r="Y332" t="n">
        <v>695</v>
      </c>
      <c r="Z332" t="n">
        <v>629</v>
      </c>
      <c r="AA332" t="n">
        <v>634</v>
      </c>
      <c r="AB332" t="n">
        <v>5</v>
      </c>
      <c r="AC332" t="n">
        <v>5</v>
      </c>
      <c r="AD332" t="n">
        <v>34</v>
      </c>
      <c r="AE332" t="n">
        <v>34</v>
      </c>
      <c r="AF332" t="n">
        <v>11</v>
      </c>
      <c r="AG332" t="n">
        <v>11</v>
      </c>
      <c r="AH332" t="n">
        <v>9</v>
      </c>
      <c r="AI332" t="n">
        <v>9</v>
      </c>
      <c r="AJ332" t="n">
        <v>17</v>
      </c>
      <c r="AK332" t="n">
        <v>17</v>
      </c>
      <c r="AL332" t="n">
        <v>4</v>
      </c>
      <c r="AM332" t="n">
        <v>4</v>
      </c>
      <c r="AN332" t="n">
        <v>2</v>
      </c>
      <c r="AO332" t="n">
        <v>2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HYPERLINK("http://catalog.hathitrust.org/Record/002812360","HathiTrust Record")</f>
        <v/>
      </c>
      <c r="AS332">
        <f>HYPERLINK("https://creighton-primo.hosted.exlibrisgroup.com/primo-explore/search?tab=default_tab&amp;search_scope=EVERYTHING&amp;vid=01CRU&amp;lang=en_US&amp;offset=0&amp;query=any,contains,991002305979702656","Catalog Record")</f>
        <v/>
      </c>
      <c r="AT332">
        <f>HYPERLINK("http://www.worldcat.org/oclc/29909858","WorldCat Record")</f>
        <v/>
      </c>
      <c r="AU332" t="inlineStr">
        <is>
          <t>143804106:eng</t>
        </is>
      </c>
      <c r="AV332" t="inlineStr">
        <is>
          <t>29909858</t>
        </is>
      </c>
      <c r="AW332" t="inlineStr">
        <is>
          <t>991002305979702656</t>
        </is>
      </c>
      <c r="AX332" t="inlineStr">
        <is>
          <t>991002305979702656</t>
        </is>
      </c>
      <c r="AY332" t="inlineStr">
        <is>
          <t>2259874660002656</t>
        </is>
      </c>
      <c r="AZ332" t="inlineStr">
        <is>
          <t>BOOK</t>
        </is>
      </c>
      <c r="BB332" t="inlineStr">
        <is>
          <t>9780896084827</t>
        </is>
      </c>
      <c r="BC332" t="inlineStr">
        <is>
          <t>32285003251013</t>
        </is>
      </c>
      <c r="BD332" t="inlineStr">
        <is>
          <t>893622133</t>
        </is>
      </c>
    </row>
    <row r="333">
      <c r="A333" t="inlineStr">
        <is>
          <t>No</t>
        </is>
      </c>
      <c r="B333" t="inlineStr">
        <is>
          <t>HT177.B6 O36 1993</t>
        </is>
      </c>
      <c r="C333" t="inlineStr">
        <is>
          <t>0                      HT 0177000B  6                  O  36          1993</t>
        </is>
      </c>
      <c r="D333" t="inlineStr">
        <is>
          <t>Building a new Boston : politics and urban renewal, 1950-1970 / Thomas H. O'Connor.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O'Connor, Thomas H., 1922-2012.</t>
        </is>
      </c>
      <c r="L333" t="inlineStr">
        <is>
          <t>Boston : Northeastern University Press, c1993.</t>
        </is>
      </c>
      <c r="M333" t="inlineStr">
        <is>
          <t>1993</t>
        </is>
      </c>
      <c r="O333" t="inlineStr">
        <is>
          <t>eng</t>
        </is>
      </c>
      <c r="P333" t="inlineStr">
        <is>
          <t>mau</t>
        </is>
      </c>
      <c r="R333" t="inlineStr">
        <is>
          <t xml:space="preserve">HT </t>
        </is>
      </c>
      <c r="S333" t="n">
        <v>1</v>
      </c>
      <c r="T333" t="n">
        <v>1</v>
      </c>
      <c r="U333" t="inlineStr">
        <is>
          <t>2006-07-17</t>
        </is>
      </c>
      <c r="V333" t="inlineStr">
        <is>
          <t>2006-07-17</t>
        </is>
      </c>
      <c r="W333" t="inlineStr">
        <is>
          <t>1995-03-19</t>
        </is>
      </c>
      <c r="X333" t="inlineStr">
        <is>
          <t>1995-03-19</t>
        </is>
      </c>
      <c r="Y333" t="n">
        <v>296</v>
      </c>
      <c r="Z333" t="n">
        <v>266</v>
      </c>
      <c r="AA333" t="n">
        <v>274</v>
      </c>
      <c r="AB333" t="n">
        <v>2</v>
      </c>
      <c r="AC333" t="n">
        <v>2</v>
      </c>
      <c r="AD333" t="n">
        <v>17</v>
      </c>
      <c r="AE333" t="n">
        <v>17</v>
      </c>
      <c r="AF333" t="n">
        <v>7</v>
      </c>
      <c r="AG333" t="n">
        <v>7</v>
      </c>
      <c r="AH333" t="n">
        <v>5</v>
      </c>
      <c r="AI333" t="n">
        <v>5</v>
      </c>
      <c r="AJ333" t="n">
        <v>9</v>
      </c>
      <c r="AK333" t="n">
        <v>9</v>
      </c>
      <c r="AL333" t="n">
        <v>1</v>
      </c>
      <c r="AM333" t="n">
        <v>1</v>
      </c>
      <c r="AN333" t="n">
        <v>1</v>
      </c>
      <c r="AO333" t="n">
        <v>1</v>
      </c>
      <c r="AP333" t="inlineStr">
        <is>
          <t>No</t>
        </is>
      </c>
      <c r="AQ333" t="inlineStr">
        <is>
          <t>Yes</t>
        </is>
      </c>
      <c r="AR333">
        <f>HYPERLINK("http://catalog.hathitrust.org/Record/002700774","HathiTrust Record")</f>
        <v/>
      </c>
      <c r="AS333">
        <f>HYPERLINK("https://creighton-primo.hosted.exlibrisgroup.com/primo-explore/search?tab=default_tab&amp;search_scope=EVERYTHING&amp;vid=01CRU&amp;lang=en_US&amp;offset=0&amp;query=any,contains,991002117189702656","Catalog Record")</f>
        <v/>
      </c>
      <c r="AT333">
        <f>HYPERLINK("http://www.worldcat.org/oclc/27144309","WorldCat Record")</f>
        <v/>
      </c>
      <c r="AU333" t="inlineStr">
        <is>
          <t>138859776:eng</t>
        </is>
      </c>
      <c r="AV333" t="inlineStr">
        <is>
          <t>27144309</t>
        </is>
      </c>
      <c r="AW333" t="inlineStr">
        <is>
          <t>991002117189702656</t>
        </is>
      </c>
      <c r="AX333" t="inlineStr">
        <is>
          <t>991002117189702656</t>
        </is>
      </c>
      <c r="AY333" t="inlineStr">
        <is>
          <t>2254825210002656</t>
        </is>
      </c>
      <c r="AZ333" t="inlineStr">
        <is>
          <t>BOOK</t>
        </is>
      </c>
      <c r="BB333" t="inlineStr">
        <is>
          <t>9781555531614</t>
        </is>
      </c>
      <c r="BC333" t="inlineStr">
        <is>
          <t>32285002002383</t>
        </is>
      </c>
      <c r="BD333" t="inlineStr">
        <is>
          <t>893716070</t>
        </is>
      </c>
    </row>
    <row r="334">
      <c r="A334" t="inlineStr">
        <is>
          <t>No</t>
        </is>
      </c>
      <c r="B334" t="inlineStr">
        <is>
          <t>HT177.C5 C64</t>
        </is>
      </c>
      <c r="C334" t="inlineStr">
        <is>
          <t>0                      HT 0177000C  5                  C  64</t>
        </is>
      </c>
      <c r="D334" t="inlineStr">
        <is>
          <t>Chicago, 1910-29 : building, planning, and urban technology / Carl W. Condit.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Condit, Carl W.</t>
        </is>
      </c>
      <c r="L334" t="inlineStr">
        <is>
          <t>Chicago : University of Chicago Press, 1973.</t>
        </is>
      </c>
      <c r="M334" t="inlineStr">
        <is>
          <t>1973</t>
        </is>
      </c>
      <c r="O334" t="inlineStr">
        <is>
          <t>eng</t>
        </is>
      </c>
      <c r="P334" t="inlineStr">
        <is>
          <t>ilu</t>
        </is>
      </c>
      <c r="R334" t="inlineStr">
        <is>
          <t xml:space="preserve">HT </t>
        </is>
      </c>
      <c r="S334" t="n">
        <v>6</v>
      </c>
      <c r="T334" t="n">
        <v>6</v>
      </c>
      <c r="U334" t="inlineStr">
        <is>
          <t>2000-04-04</t>
        </is>
      </c>
      <c r="V334" t="inlineStr">
        <is>
          <t>2000-04-04</t>
        </is>
      </c>
      <c r="W334" t="inlineStr">
        <is>
          <t>1992-12-28</t>
        </is>
      </c>
      <c r="X334" t="inlineStr">
        <is>
          <t>1992-12-28</t>
        </is>
      </c>
      <c r="Y334" t="n">
        <v>649</v>
      </c>
      <c r="Z334" t="n">
        <v>552</v>
      </c>
      <c r="AA334" t="n">
        <v>557</v>
      </c>
      <c r="AB334" t="n">
        <v>5</v>
      </c>
      <c r="AC334" t="n">
        <v>5</v>
      </c>
      <c r="AD334" t="n">
        <v>24</v>
      </c>
      <c r="AE334" t="n">
        <v>24</v>
      </c>
      <c r="AF334" t="n">
        <v>5</v>
      </c>
      <c r="AG334" t="n">
        <v>5</v>
      </c>
      <c r="AH334" t="n">
        <v>6</v>
      </c>
      <c r="AI334" t="n">
        <v>6</v>
      </c>
      <c r="AJ334" t="n">
        <v>11</v>
      </c>
      <c r="AK334" t="n">
        <v>11</v>
      </c>
      <c r="AL334" t="n">
        <v>4</v>
      </c>
      <c r="AM334" t="n">
        <v>4</v>
      </c>
      <c r="AN334" t="n">
        <v>1</v>
      </c>
      <c r="AO334" t="n">
        <v>1</v>
      </c>
      <c r="AP334" t="inlineStr">
        <is>
          <t>No</t>
        </is>
      </c>
      <c r="AQ334" t="inlineStr">
        <is>
          <t>Yes</t>
        </is>
      </c>
      <c r="AR334">
        <f>HYPERLINK("http://catalog.hathitrust.org/Record/000451310","HathiTrust Record")</f>
        <v/>
      </c>
      <c r="AS334">
        <f>HYPERLINK("https://creighton-primo.hosted.exlibrisgroup.com/primo-explore/search?tab=default_tab&amp;search_scope=EVERYTHING&amp;vid=01CRU&amp;lang=en_US&amp;offset=0&amp;query=any,contains,991003231859702656","Catalog Record")</f>
        <v/>
      </c>
      <c r="AT334">
        <f>HYPERLINK("http://www.worldcat.org/oclc/756472","WorldCat Record")</f>
        <v/>
      </c>
      <c r="AU334" t="inlineStr">
        <is>
          <t>193590930:eng</t>
        </is>
      </c>
      <c r="AV334" t="inlineStr">
        <is>
          <t>756472</t>
        </is>
      </c>
      <c r="AW334" t="inlineStr">
        <is>
          <t>991003231859702656</t>
        </is>
      </c>
      <c r="AX334" t="inlineStr">
        <is>
          <t>991003231859702656</t>
        </is>
      </c>
      <c r="AY334" t="inlineStr">
        <is>
          <t>2271295690002656</t>
        </is>
      </c>
      <c r="AZ334" t="inlineStr">
        <is>
          <t>BOOK</t>
        </is>
      </c>
      <c r="BB334" t="inlineStr">
        <is>
          <t>9780226114569</t>
        </is>
      </c>
      <c r="BC334" t="inlineStr">
        <is>
          <t>32285001469419</t>
        </is>
      </c>
      <c r="BD334" t="inlineStr">
        <is>
          <t>893809882</t>
        </is>
      </c>
    </row>
    <row r="335">
      <c r="A335" t="inlineStr">
        <is>
          <t>No</t>
        </is>
      </c>
      <c r="B335" t="inlineStr">
        <is>
          <t>HT177.N54 K2</t>
        </is>
      </c>
      <c r="C335" t="inlineStr">
        <is>
          <t>0                      HT 0177000N  54                 K  2</t>
        </is>
      </c>
      <c r="D335" t="inlineStr">
        <is>
          <t>Urban renewal politics : slum clearance in Newark.</t>
        </is>
      </c>
      <c r="F335" t="inlineStr">
        <is>
          <t>No</t>
        </is>
      </c>
      <c r="G335" t="inlineStr">
        <is>
          <t>1</t>
        </is>
      </c>
      <c r="H335" t="inlineStr">
        <is>
          <t>Yes</t>
        </is>
      </c>
      <c r="I335" t="inlineStr">
        <is>
          <t>No</t>
        </is>
      </c>
      <c r="J335" t="inlineStr">
        <is>
          <t>0</t>
        </is>
      </c>
      <c r="K335" t="inlineStr">
        <is>
          <t>Kaplan, Harold.</t>
        </is>
      </c>
      <c r="L335" t="inlineStr">
        <is>
          <t>New York, Columbia University Press, 1963.</t>
        </is>
      </c>
      <c r="M335" t="inlineStr">
        <is>
          <t>1963</t>
        </is>
      </c>
      <c r="O335" t="inlineStr">
        <is>
          <t>eng</t>
        </is>
      </c>
      <c r="P335" t="inlineStr">
        <is>
          <t>nyu</t>
        </is>
      </c>
      <c r="Q335" t="inlineStr">
        <is>
          <t>Metropolitan politics series ; no. 1</t>
        </is>
      </c>
      <c r="R335" t="inlineStr">
        <is>
          <t xml:space="preserve">HT </t>
        </is>
      </c>
      <c r="S335" t="n">
        <v>5</v>
      </c>
      <c r="T335" t="n">
        <v>5</v>
      </c>
      <c r="U335" t="inlineStr">
        <is>
          <t>2009-10-13</t>
        </is>
      </c>
      <c r="V335" t="inlineStr">
        <is>
          <t>2009-10-13</t>
        </is>
      </c>
      <c r="W335" t="inlineStr">
        <is>
          <t>1997-08-20</t>
        </is>
      </c>
      <c r="X335" t="inlineStr">
        <is>
          <t>1999-11-19</t>
        </is>
      </c>
      <c r="Y335" t="n">
        <v>658</v>
      </c>
      <c r="Z335" t="n">
        <v>562</v>
      </c>
      <c r="AA335" t="n">
        <v>577</v>
      </c>
      <c r="AB335" t="n">
        <v>5</v>
      </c>
      <c r="AC335" t="n">
        <v>5</v>
      </c>
      <c r="AD335" t="n">
        <v>27</v>
      </c>
      <c r="AE335" t="n">
        <v>27</v>
      </c>
      <c r="AF335" t="n">
        <v>9</v>
      </c>
      <c r="AG335" t="n">
        <v>9</v>
      </c>
      <c r="AH335" t="n">
        <v>5</v>
      </c>
      <c r="AI335" t="n">
        <v>5</v>
      </c>
      <c r="AJ335" t="n">
        <v>16</v>
      </c>
      <c r="AK335" t="n">
        <v>16</v>
      </c>
      <c r="AL335" t="n">
        <v>2</v>
      </c>
      <c r="AM335" t="n">
        <v>2</v>
      </c>
      <c r="AN335" t="n">
        <v>3</v>
      </c>
      <c r="AO335" t="n">
        <v>3</v>
      </c>
      <c r="AP335" t="inlineStr">
        <is>
          <t>No</t>
        </is>
      </c>
      <c r="AQ335" t="inlineStr">
        <is>
          <t>No</t>
        </is>
      </c>
      <c r="AS335">
        <f>HYPERLINK("https://creighton-primo.hosted.exlibrisgroup.com/primo-explore/search?tab=default_tab&amp;search_scope=EVERYTHING&amp;vid=01CRU&amp;lang=en_US&amp;offset=0&amp;query=any,contains,991001620359702656","Catalog Record")</f>
        <v/>
      </c>
      <c r="AT335">
        <f>HYPERLINK("http://www.worldcat.org/oclc/261415","WorldCat Record")</f>
        <v/>
      </c>
      <c r="AU335" t="inlineStr">
        <is>
          <t>431520802:eng</t>
        </is>
      </c>
      <c r="AV335" t="inlineStr">
        <is>
          <t>261415</t>
        </is>
      </c>
      <c r="AW335" t="inlineStr">
        <is>
          <t>991001620359702656</t>
        </is>
      </c>
      <c r="AX335" t="inlineStr">
        <is>
          <t>991001620359702656</t>
        </is>
      </c>
      <c r="AY335" t="inlineStr">
        <is>
          <t>2265557540002656</t>
        </is>
      </c>
      <c r="AZ335" t="inlineStr">
        <is>
          <t>BOOK</t>
        </is>
      </c>
      <c r="BC335" t="inlineStr">
        <is>
          <t>32285003147351</t>
        </is>
      </c>
      <c r="BD335" t="inlineStr">
        <is>
          <t>893897909</t>
        </is>
      </c>
    </row>
    <row r="336">
      <c r="A336" t="inlineStr">
        <is>
          <t>No</t>
        </is>
      </c>
      <c r="B336" t="inlineStr">
        <is>
          <t>HT178.D652 S2684 2000</t>
        </is>
      </c>
      <c r="C336" t="inlineStr">
        <is>
          <t>0                      HT 0178000D  652                S  2684        2000</t>
        </is>
      </c>
      <c r="D336" t="inlineStr">
        <is>
          <t>La Ciénaga y Los Guandules : características socio-económicas y demográficas / Raúl Tejeda.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Tejeda, Raúl.</t>
        </is>
      </c>
      <c r="L336" t="inlineStr">
        <is>
          <t>[Santo Domingo, Dominican Republic] : Ciudad Alternativa, Plan Cigua, [2000]</t>
        </is>
      </c>
      <c r="M336" t="inlineStr">
        <is>
          <t>2000</t>
        </is>
      </c>
      <c r="N336" t="inlineStr">
        <is>
          <t>1. ed.</t>
        </is>
      </c>
      <c r="O336" t="inlineStr">
        <is>
          <t>spa</t>
        </is>
      </c>
      <c r="P336" t="inlineStr">
        <is>
          <t xml:space="preserve">dr </t>
        </is>
      </c>
      <c r="R336" t="inlineStr">
        <is>
          <t xml:space="preserve">HT </t>
        </is>
      </c>
      <c r="S336" t="n">
        <v>1</v>
      </c>
      <c r="T336" t="n">
        <v>1</v>
      </c>
      <c r="U336" t="inlineStr">
        <is>
          <t>2001-09-12</t>
        </is>
      </c>
      <c r="V336" t="inlineStr">
        <is>
          <t>2001-09-12</t>
        </is>
      </c>
      <c r="W336" t="inlineStr">
        <is>
          <t>2001-09-11</t>
        </is>
      </c>
      <c r="X336" t="inlineStr">
        <is>
          <t>2001-09-11</t>
        </is>
      </c>
      <c r="Y336" t="n">
        <v>9</v>
      </c>
      <c r="Z336" t="n">
        <v>9</v>
      </c>
      <c r="AA336" t="n">
        <v>15</v>
      </c>
      <c r="AB336" t="n">
        <v>1</v>
      </c>
      <c r="AC336" t="n">
        <v>1</v>
      </c>
      <c r="AD336" t="n">
        <v>1</v>
      </c>
      <c r="AE336" t="n">
        <v>1</v>
      </c>
      <c r="AF336" t="n">
        <v>0</v>
      </c>
      <c r="AG336" t="n">
        <v>0</v>
      </c>
      <c r="AH336" t="n">
        <v>1</v>
      </c>
      <c r="AI336" t="n">
        <v>1</v>
      </c>
      <c r="AJ336" t="n">
        <v>0</v>
      </c>
      <c r="AK336" t="n">
        <v>0</v>
      </c>
      <c r="AL336" t="n">
        <v>0</v>
      </c>
      <c r="AM336" t="n">
        <v>0</v>
      </c>
      <c r="AN336" t="n">
        <v>0</v>
      </c>
      <c r="AO336" t="n">
        <v>0</v>
      </c>
      <c r="AP336" t="inlineStr">
        <is>
          <t>No</t>
        </is>
      </c>
      <c r="AQ336" t="inlineStr">
        <is>
          <t>No</t>
        </is>
      </c>
      <c r="AS336">
        <f>HYPERLINK("https://creighton-primo.hosted.exlibrisgroup.com/primo-explore/search?tab=default_tab&amp;search_scope=EVERYTHING&amp;vid=01CRU&amp;lang=en_US&amp;offset=0&amp;query=any,contains,991003625959702656","Catalog Record")</f>
        <v/>
      </c>
      <c r="AT336">
        <f>HYPERLINK("http://www.worldcat.org/oclc/47733882","WorldCat Record")</f>
        <v/>
      </c>
      <c r="AU336" t="inlineStr">
        <is>
          <t>56725957:spa</t>
        </is>
      </c>
      <c r="AV336" t="inlineStr">
        <is>
          <t>47733882</t>
        </is>
      </c>
      <c r="AW336" t="inlineStr">
        <is>
          <t>991003625959702656</t>
        </is>
      </c>
      <c r="AX336" t="inlineStr">
        <is>
          <t>991003625959702656</t>
        </is>
      </c>
      <c r="AY336" t="inlineStr">
        <is>
          <t>2265442390002656</t>
        </is>
      </c>
      <c r="AZ336" t="inlineStr">
        <is>
          <t>BOOK</t>
        </is>
      </c>
      <c r="BC336" t="inlineStr">
        <is>
          <t>32285004390570</t>
        </is>
      </c>
      <c r="BD336" t="inlineStr">
        <is>
          <t>893246555</t>
        </is>
      </c>
    </row>
    <row r="337">
      <c r="A337" t="inlineStr">
        <is>
          <t>No</t>
        </is>
      </c>
      <c r="B337" t="inlineStr">
        <is>
          <t>HT206 .C443 1997</t>
        </is>
      </c>
      <c r="C337" t="inlineStr">
        <is>
          <t>0                      HT 0206000C  443         1997</t>
        </is>
      </c>
      <c r="D337" t="inlineStr">
        <is>
          <t>Children and youth : interdisciplinary perspectives / editors, Herbert J. Walberg, Olga Reyes, Roger P. Weissberg.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L337" t="inlineStr">
        <is>
          <t>Thousand Oaks : Sage Publications, c1997.</t>
        </is>
      </c>
      <c r="M337" t="inlineStr">
        <is>
          <t>1997</t>
        </is>
      </c>
      <c r="O337" t="inlineStr">
        <is>
          <t>eng</t>
        </is>
      </c>
      <c r="P337" t="inlineStr">
        <is>
          <t>cau</t>
        </is>
      </c>
      <c r="Q337" t="inlineStr">
        <is>
          <t>Issues in children's and families' lives ; v. 7</t>
        </is>
      </c>
      <c r="R337" t="inlineStr">
        <is>
          <t xml:space="preserve">HT </t>
        </is>
      </c>
      <c r="S337" t="n">
        <v>6</v>
      </c>
      <c r="T337" t="n">
        <v>6</v>
      </c>
      <c r="U337" t="inlineStr">
        <is>
          <t>2002-04-16</t>
        </is>
      </c>
      <c r="V337" t="inlineStr">
        <is>
          <t>2002-04-16</t>
        </is>
      </c>
      <c r="W337" t="inlineStr">
        <is>
          <t>1997-10-08</t>
        </is>
      </c>
      <c r="X337" t="inlineStr">
        <is>
          <t>1997-10-08</t>
        </is>
      </c>
      <c r="Y337" t="n">
        <v>280</v>
      </c>
      <c r="Z337" t="n">
        <v>216</v>
      </c>
      <c r="AA337" t="n">
        <v>223</v>
      </c>
      <c r="AB337" t="n">
        <v>2</v>
      </c>
      <c r="AC337" t="n">
        <v>2</v>
      </c>
      <c r="AD337" t="n">
        <v>13</v>
      </c>
      <c r="AE337" t="n">
        <v>13</v>
      </c>
      <c r="AF337" t="n">
        <v>4</v>
      </c>
      <c r="AG337" t="n">
        <v>4</v>
      </c>
      <c r="AH337" t="n">
        <v>4</v>
      </c>
      <c r="AI337" t="n">
        <v>4</v>
      </c>
      <c r="AJ337" t="n">
        <v>8</v>
      </c>
      <c r="AK337" t="n">
        <v>8</v>
      </c>
      <c r="AL337" t="n">
        <v>1</v>
      </c>
      <c r="AM337" t="n">
        <v>1</v>
      </c>
      <c r="AN337" t="n">
        <v>0</v>
      </c>
      <c r="AO337" t="n">
        <v>0</v>
      </c>
      <c r="AP337" t="inlineStr">
        <is>
          <t>No</t>
        </is>
      </c>
      <c r="AQ337" t="inlineStr">
        <is>
          <t>Yes</t>
        </is>
      </c>
      <c r="AR337">
        <f>HYPERLINK("http://catalog.hathitrust.org/Record/003172542","HathiTrust Record")</f>
        <v/>
      </c>
      <c r="AS337">
        <f>HYPERLINK("https://creighton-primo.hosted.exlibrisgroup.com/primo-explore/search?tab=default_tab&amp;search_scope=EVERYTHING&amp;vid=01CRU&amp;lang=en_US&amp;offset=0&amp;query=any,contains,991002753259702656","Catalog Record")</f>
        <v/>
      </c>
      <c r="AT337">
        <f>HYPERLINK("http://www.worldcat.org/oclc/36126777","WorldCat Record")</f>
        <v/>
      </c>
      <c r="AU337" t="inlineStr">
        <is>
          <t>905866503:eng</t>
        </is>
      </c>
      <c r="AV337" t="inlineStr">
        <is>
          <t>36126777</t>
        </is>
      </c>
      <c r="AW337" t="inlineStr">
        <is>
          <t>991002753259702656</t>
        </is>
      </c>
      <c r="AX337" t="inlineStr">
        <is>
          <t>991002753259702656</t>
        </is>
      </c>
      <c r="AY337" t="inlineStr">
        <is>
          <t>2266949040002656</t>
        </is>
      </c>
      <c r="AZ337" t="inlineStr">
        <is>
          <t>BOOK</t>
        </is>
      </c>
      <c r="BB337" t="inlineStr">
        <is>
          <t>9780761909064</t>
        </is>
      </c>
      <c r="BC337" t="inlineStr">
        <is>
          <t>32285003253548</t>
        </is>
      </c>
      <c r="BD337" t="inlineStr">
        <is>
          <t>893873939</t>
        </is>
      </c>
    </row>
    <row r="338">
      <c r="A338" t="inlineStr">
        <is>
          <t>No</t>
        </is>
      </c>
      <c r="B338" t="inlineStr">
        <is>
          <t>HT206 .C45</t>
        </is>
      </c>
      <c r="C338" t="inlineStr">
        <is>
          <t>0                      HT 0206000C  45</t>
        </is>
      </c>
      <c r="D338" t="inlineStr">
        <is>
          <t>The Child in the city / edited by William Michelson, Saul V. Levine, and Ellen Michelson.</t>
        </is>
      </c>
      <c r="E338" t="inlineStr">
        <is>
          <t>V.1</t>
        </is>
      </c>
      <c r="F338" t="inlineStr">
        <is>
          <t>Yes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L338" t="inlineStr">
        <is>
          <t>Toronto ; Buffalo : University of Toronto Press, c1979-</t>
        </is>
      </c>
      <c r="M338" t="inlineStr">
        <is>
          <t>1979</t>
        </is>
      </c>
      <c r="O338" t="inlineStr">
        <is>
          <t>eng</t>
        </is>
      </c>
      <c r="P338" t="inlineStr">
        <is>
          <t xml:space="preserve">xx </t>
        </is>
      </c>
      <c r="R338" t="inlineStr">
        <is>
          <t xml:space="preserve">HT </t>
        </is>
      </c>
      <c r="S338" t="n">
        <v>1</v>
      </c>
      <c r="T338" t="n">
        <v>1</v>
      </c>
      <c r="U338" t="inlineStr">
        <is>
          <t>2007-04-19</t>
        </is>
      </c>
      <c r="V338" t="inlineStr">
        <is>
          <t>2007-04-19</t>
        </is>
      </c>
      <c r="W338" t="inlineStr">
        <is>
          <t>1993-05-07</t>
        </is>
      </c>
      <c r="X338" t="inlineStr">
        <is>
          <t>1993-05-07</t>
        </is>
      </c>
      <c r="Y338" t="n">
        <v>384</v>
      </c>
      <c r="Z338" t="n">
        <v>286</v>
      </c>
      <c r="AA338" t="n">
        <v>335</v>
      </c>
      <c r="AB338" t="n">
        <v>5</v>
      </c>
      <c r="AC338" t="n">
        <v>5</v>
      </c>
      <c r="AD338" t="n">
        <v>11</v>
      </c>
      <c r="AE338" t="n">
        <v>16</v>
      </c>
      <c r="AF338" t="n">
        <v>1</v>
      </c>
      <c r="AG338" t="n">
        <v>5</v>
      </c>
      <c r="AH338" t="n">
        <v>3</v>
      </c>
      <c r="AI338" t="n">
        <v>4</v>
      </c>
      <c r="AJ338" t="n">
        <v>7</v>
      </c>
      <c r="AK338" t="n">
        <v>8</v>
      </c>
      <c r="AL338" t="n">
        <v>3</v>
      </c>
      <c r="AM338" t="n">
        <v>3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HYPERLINK("http://catalog.hathitrust.org/Record/007116129","HathiTrust Record")</f>
        <v/>
      </c>
      <c r="AS338">
        <f>HYPERLINK("https://creighton-primo.hosted.exlibrisgroup.com/primo-explore/search?tab=default_tab&amp;search_scope=EVERYTHING&amp;vid=01CRU&amp;lang=en_US&amp;offset=0&amp;query=any,contains,991004863269702656","Catalog Record")</f>
        <v/>
      </c>
      <c r="AT338">
        <f>HYPERLINK("http://www.worldcat.org/oclc/5990883","WorldCat Record")</f>
        <v/>
      </c>
      <c r="AU338" t="inlineStr">
        <is>
          <t>10567668453:eng</t>
        </is>
      </c>
      <c r="AV338" t="inlineStr">
        <is>
          <t>5990883</t>
        </is>
      </c>
      <c r="AW338" t="inlineStr">
        <is>
          <t>991004863269702656</t>
        </is>
      </c>
      <c r="AX338" t="inlineStr">
        <is>
          <t>991004863269702656</t>
        </is>
      </c>
      <c r="AY338" t="inlineStr">
        <is>
          <t>2261752520002656</t>
        </is>
      </c>
      <c r="AZ338" t="inlineStr">
        <is>
          <t>BOOK</t>
        </is>
      </c>
      <c r="BB338" t="inlineStr">
        <is>
          <t>9780802023148</t>
        </is>
      </c>
      <c r="BC338" t="inlineStr">
        <is>
          <t>32285001673838</t>
        </is>
      </c>
      <c r="BD338" t="inlineStr">
        <is>
          <t>893236008</t>
        </is>
      </c>
    </row>
    <row r="339">
      <c r="A339" t="inlineStr">
        <is>
          <t>No</t>
        </is>
      </c>
      <c r="B339" t="inlineStr">
        <is>
          <t>HT206 .C45</t>
        </is>
      </c>
      <c r="C339" t="inlineStr">
        <is>
          <t>0                      HT 0206000C  45</t>
        </is>
      </c>
      <c r="D339" t="inlineStr">
        <is>
          <t>The Child in the city / edited by William Michelson, Saul V. Levine, and Ellen Michelson.</t>
        </is>
      </c>
      <c r="E339" t="inlineStr">
        <is>
          <t>V.2</t>
        </is>
      </c>
      <c r="F339" t="inlineStr">
        <is>
          <t>Yes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L339" t="inlineStr">
        <is>
          <t>Toronto ; Buffalo : University of Toronto Press, c1979-</t>
        </is>
      </c>
      <c r="M339" t="inlineStr">
        <is>
          <t>1979</t>
        </is>
      </c>
      <c r="O339" t="inlineStr">
        <is>
          <t>eng</t>
        </is>
      </c>
      <c r="P339" t="inlineStr">
        <is>
          <t xml:space="preserve">xx </t>
        </is>
      </c>
      <c r="R339" t="inlineStr">
        <is>
          <t xml:space="preserve">HT </t>
        </is>
      </c>
      <c r="S339" t="n">
        <v>0</v>
      </c>
      <c r="T339" t="n">
        <v>1</v>
      </c>
      <c r="V339" t="inlineStr">
        <is>
          <t>2007-04-19</t>
        </is>
      </c>
      <c r="W339" t="inlineStr">
        <is>
          <t>1993-05-07</t>
        </is>
      </c>
      <c r="X339" t="inlineStr">
        <is>
          <t>1993-05-07</t>
        </is>
      </c>
      <c r="Y339" t="n">
        <v>384</v>
      </c>
      <c r="Z339" t="n">
        <v>286</v>
      </c>
      <c r="AA339" t="n">
        <v>335</v>
      </c>
      <c r="AB339" t="n">
        <v>5</v>
      </c>
      <c r="AC339" t="n">
        <v>5</v>
      </c>
      <c r="AD339" t="n">
        <v>11</v>
      </c>
      <c r="AE339" t="n">
        <v>16</v>
      </c>
      <c r="AF339" t="n">
        <v>1</v>
      </c>
      <c r="AG339" t="n">
        <v>5</v>
      </c>
      <c r="AH339" t="n">
        <v>3</v>
      </c>
      <c r="AI339" t="n">
        <v>4</v>
      </c>
      <c r="AJ339" t="n">
        <v>7</v>
      </c>
      <c r="AK339" t="n">
        <v>8</v>
      </c>
      <c r="AL339" t="n">
        <v>3</v>
      </c>
      <c r="AM339" t="n">
        <v>3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HYPERLINK("http://catalog.hathitrust.org/Record/007116129","HathiTrust Record")</f>
        <v/>
      </c>
      <c r="AS339">
        <f>HYPERLINK("https://creighton-primo.hosted.exlibrisgroup.com/primo-explore/search?tab=default_tab&amp;search_scope=EVERYTHING&amp;vid=01CRU&amp;lang=en_US&amp;offset=0&amp;query=any,contains,991004863269702656","Catalog Record")</f>
        <v/>
      </c>
      <c r="AT339">
        <f>HYPERLINK("http://www.worldcat.org/oclc/5990883","WorldCat Record")</f>
        <v/>
      </c>
      <c r="AU339" t="inlineStr">
        <is>
          <t>10567668453:eng</t>
        </is>
      </c>
      <c r="AV339" t="inlineStr">
        <is>
          <t>5990883</t>
        </is>
      </c>
      <c r="AW339" t="inlineStr">
        <is>
          <t>991004863269702656</t>
        </is>
      </c>
      <c r="AX339" t="inlineStr">
        <is>
          <t>991004863269702656</t>
        </is>
      </c>
      <c r="AY339" t="inlineStr">
        <is>
          <t>2261752520002656</t>
        </is>
      </c>
      <c r="AZ339" t="inlineStr">
        <is>
          <t>BOOK</t>
        </is>
      </c>
      <c r="BB339" t="inlineStr">
        <is>
          <t>9780802023148</t>
        </is>
      </c>
      <c r="BC339" t="inlineStr">
        <is>
          <t>32285001673846</t>
        </is>
      </c>
      <c r="BD339" t="inlineStr">
        <is>
          <t>893236007</t>
        </is>
      </c>
    </row>
    <row r="340">
      <c r="A340" t="inlineStr">
        <is>
          <t>No</t>
        </is>
      </c>
      <c r="B340" t="inlineStr">
        <is>
          <t>HT215 .E74 1996</t>
        </is>
      </c>
      <c r="C340" t="inlineStr">
        <is>
          <t>0                      HT 0215000E  74          1996</t>
        </is>
      </c>
      <c r="D340" t="inlineStr">
        <is>
          <t>EthniCity : geographic perspectives on ethnic change in modern cities / edited by Curtis C. Roseman, Hans-Dieter Laux, and Gunter Thieme.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L340" t="inlineStr">
        <is>
          <t>Lanham, MD : Rowman &amp; Littlefield Publishers, c1996.</t>
        </is>
      </c>
      <c r="M340" t="inlineStr">
        <is>
          <t>1996</t>
        </is>
      </c>
      <c r="O340" t="inlineStr">
        <is>
          <t>eng</t>
        </is>
      </c>
      <c r="P340" t="inlineStr">
        <is>
          <t>mdu</t>
        </is>
      </c>
      <c r="R340" t="inlineStr">
        <is>
          <t xml:space="preserve">HT </t>
        </is>
      </c>
      <c r="S340" t="n">
        <v>12</v>
      </c>
      <c r="T340" t="n">
        <v>12</v>
      </c>
      <c r="U340" t="inlineStr">
        <is>
          <t>2007-04-19</t>
        </is>
      </c>
      <c r="V340" t="inlineStr">
        <is>
          <t>2007-04-19</t>
        </is>
      </c>
      <c r="W340" t="inlineStr">
        <is>
          <t>1997-06-17</t>
        </is>
      </c>
      <c r="X340" t="inlineStr">
        <is>
          <t>1997-06-17</t>
        </is>
      </c>
      <c r="Y340" t="n">
        <v>456</v>
      </c>
      <c r="Z340" t="n">
        <v>352</v>
      </c>
      <c r="AA340" t="n">
        <v>361</v>
      </c>
      <c r="AB340" t="n">
        <v>3</v>
      </c>
      <c r="AC340" t="n">
        <v>3</v>
      </c>
      <c r="AD340" t="n">
        <v>13</v>
      </c>
      <c r="AE340" t="n">
        <v>13</v>
      </c>
      <c r="AF340" t="n">
        <v>4</v>
      </c>
      <c r="AG340" t="n">
        <v>4</v>
      </c>
      <c r="AH340" t="n">
        <v>4</v>
      </c>
      <c r="AI340" t="n">
        <v>4</v>
      </c>
      <c r="AJ340" t="n">
        <v>7</v>
      </c>
      <c r="AK340" t="n">
        <v>7</v>
      </c>
      <c r="AL340" t="n">
        <v>2</v>
      </c>
      <c r="AM340" t="n">
        <v>2</v>
      </c>
      <c r="AN340" t="n">
        <v>0</v>
      </c>
      <c r="AO340" t="n">
        <v>0</v>
      </c>
      <c r="AP340" t="inlineStr">
        <is>
          <t>No</t>
        </is>
      </c>
      <c r="AQ340" t="inlineStr">
        <is>
          <t>Yes</t>
        </is>
      </c>
      <c r="AR340">
        <f>HYPERLINK("http://catalog.hathitrust.org/Record/003034771","HathiTrust Record")</f>
        <v/>
      </c>
      <c r="AS340">
        <f>HYPERLINK("https://creighton-primo.hosted.exlibrisgroup.com/primo-explore/search?tab=default_tab&amp;search_scope=EVERYTHING&amp;vid=01CRU&amp;lang=en_US&amp;offset=0&amp;query=any,contains,991002520009702656","Catalog Record")</f>
        <v/>
      </c>
      <c r="AT340">
        <f>HYPERLINK("http://www.worldcat.org/oclc/32778930","WorldCat Record")</f>
        <v/>
      </c>
      <c r="AU340" t="inlineStr">
        <is>
          <t>889889731:eng</t>
        </is>
      </c>
      <c r="AV340" t="inlineStr">
        <is>
          <t>32778930</t>
        </is>
      </c>
      <c r="AW340" t="inlineStr">
        <is>
          <t>991002520009702656</t>
        </is>
      </c>
      <c r="AX340" t="inlineStr">
        <is>
          <t>991002520009702656</t>
        </is>
      </c>
      <c r="AY340" t="inlineStr">
        <is>
          <t>2260146370002656</t>
        </is>
      </c>
      <c r="AZ340" t="inlineStr">
        <is>
          <t>BOOK</t>
        </is>
      </c>
      <c r="BB340" t="inlineStr">
        <is>
          <t>9780847680320</t>
        </is>
      </c>
      <c r="BC340" t="inlineStr">
        <is>
          <t>32285002751799</t>
        </is>
      </c>
      <c r="BD340" t="inlineStr">
        <is>
          <t>893262333</t>
        </is>
      </c>
    </row>
    <row r="341">
      <c r="A341" t="inlineStr">
        <is>
          <t>No</t>
        </is>
      </c>
      <c r="B341" t="inlineStr">
        <is>
          <t>HT241 .B46 2008</t>
        </is>
      </c>
      <c r="C341" t="inlineStr">
        <is>
          <t>0                      HT 0241000B  46          2008</t>
        </is>
      </c>
      <c r="D341" t="inlineStr">
        <is>
          <t>Cities and nature / by Lisa Benton-Short and John Rennie Short.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K341" t="inlineStr">
        <is>
          <t>Benton-Short, Lisa.</t>
        </is>
      </c>
      <c r="L341" t="inlineStr">
        <is>
          <t>London ; New York : Routledge, 2008.</t>
        </is>
      </c>
      <c r="M341" t="inlineStr">
        <is>
          <t>2008</t>
        </is>
      </c>
      <c r="O341" t="inlineStr">
        <is>
          <t>eng</t>
        </is>
      </c>
      <c r="P341" t="inlineStr">
        <is>
          <t>enk</t>
        </is>
      </c>
      <c r="Q341" t="inlineStr">
        <is>
          <t>Routledge critical introductions to urbanism and the city</t>
        </is>
      </c>
      <c r="R341" t="inlineStr">
        <is>
          <t xml:space="preserve">HT </t>
        </is>
      </c>
      <c r="S341" t="n">
        <v>1</v>
      </c>
      <c r="T341" t="n">
        <v>1</v>
      </c>
      <c r="U341" t="inlineStr">
        <is>
          <t>2009-02-12</t>
        </is>
      </c>
      <c r="V341" t="inlineStr">
        <is>
          <t>2009-02-12</t>
        </is>
      </c>
      <c r="W341" t="inlineStr">
        <is>
          <t>2009-02-12</t>
        </is>
      </c>
      <c r="X341" t="inlineStr">
        <is>
          <t>2009-02-12</t>
        </is>
      </c>
      <c r="Y341" t="n">
        <v>300</v>
      </c>
      <c r="Z341" t="n">
        <v>165</v>
      </c>
      <c r="AA341" t="n">
        <v>564</v>
      </c>
      <c r="AB341" t="n">
        <v>2</v>
      </c>
      <c r="AC341" t="n">
        <v>6</v>
      </c>
      <c r="AD341" t="n">
        <v>6</v>
      </c>
      <c r="AE341" t="n">
        <v>23</v>
      </c>
      <c r="AF341" t="n">
        <v>2</v>
      </c>
      <c r="AG341" t="n">
        <v>6</v>
      </c>
      <c r="AH341" t="n">
        <v>2</v>
      </c>
      <c r="AI341" t="n">
        <v>7</v>
      </c>
      <c r="AJ341" t="n">
        <v>1</v>
      </c>
      <c r="AK341" t="n">
        <v>7</v>
      </c>
      <c r="AL341" t="n">
        <v>1</v>
      </c>
      <c r="AM341" t="n">
        <v>5</v>
      </c>
      <c r="AN341" t="n">
        <v>0</v>
      </c>
      <c r="AO341" t="n">
        <v>1</v>
      </c>
      <c r="AP341" t="inlineStr">
        <is>
          <t>No</t>
        </is>
      </c>
      <c r="AQ341" t="inlineStr">
        <is>
          <t>No</t>
        </is>
      </c>
      <c r="AS341">
        <f>HYPERLINK("https://creighton-primo.hosted.exlibrisgroup.com/primo-explore/search?tab=default_tab&amp;search_scope=EVERYTHING&amp;vid=01CRU&amp;lang=en_US&amp;offset=0&amp;query=any,contains,991005288849702656","Catalog Record")</f>
        <v/>
      </c>
      <c r="AT341">
        <f>HYPERLINK("http://www.worldcat.org/oclc/126548940","WorldCat Record")</f>
        <v/>
      </c>
      <c r="AU341" t="inlineStr">
        <is>
          <t>102834928:eng</t>
        </is>
      </c>
      <c r="AV341" t="inlineStr">
        <is>
          <t>126548940</t>
        </is>
      </c>
      <c r="AW341" t="inlineStr">
        <is>
          <t>991005288849702656</t>
        </is>
      </c>
      <c r="AX341" t="inlineStr">
        <is>
          <t>991005288849702656</t>
        </is>
      </c>
      <c r="AY341" t="inlineStr">
        <is>
          <t>2256398250002656</t>
        </is>
      </c>
      <c r="AZ341" t="inlineStr">
        <is>
          <t>BOOK</t>
        </is>
      </c>
      <c r="BB341" t="inlineStr">
        <is>
          <t>9780415355889</t>
        </is>
      </c>
      <c r="BC341" t="inlineStr">
        <is>
          <t>32285005503767</t>
        </is>
      </c>
      <c r="BD341" t="inlineStr">
        <is>
          <t>893795929</t>
        </is>
      </c>
    </row>
    <row r="342">
      <c r="A342" t="inlineStr">
        <is>
          <t>No</t>
        </is>
      </c>
      <c r="B342" t="inlineStr">
        <is>
          <t>HT241 .U726 2005</t>
        </is>
      </c>
      <c r="C342" t="inlineStr">
        <is>
          <t>0                      HT 0241000U  726         2005</t>
        </is>
      </c>
      <c r="D342" t="inlineStr">
        <is>
          <t>Urban place : reconnecting with the natural world / edited by Peggy F. Barlett.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L342" t="inlineStr">
        <is>
          <t>Cambridge, Mass. : MIT Press, c2005.</t>
        </is>
      </c>
      <c r="M342" t="inlineStr">
        <is>
          <t>2005</t>
        </is>
      </c>
      <c r="O342" t="inlineStr">
        <is>
          <t>eng</t>
        </is>
      </c>
      <c r="P342" t="inlineStr">
        <is>
          <t>mau</t>
        </is>
      </c>
      <c r="Q342" t="inlineStr">
        <is>
          <t>Urban and industrial environments</t>
        </is>
      </c>
      <c r="R342" t="inlineStr">
        <is>
          <t xml:space="preserve">HT </t>
        </is>
      </c>
      <c r="S342" t="n">
        <v>1</v>
      </c>
      <c r="T342" t="n">
        <v>1</v>
      </c>
      <c r="U342" t="inlineStr">
        <is>
          <t>2007-01-10</t>
        </is>
      </c>
      <c r="V342" t="inlineStr">
        <is>
          <t>2007-01-10</t>
        </is>
      </c>
      <c r="W342" t="inlineStr">
        <is>
          <t>2007-01-10</t>
        </is>
      </c>
      <c r="X342" t="inlineStr">
        <is>
          <t>2007-01-10</t>
        </is>
      </c>
      <c r="Y342" t="n">
        <v>535</v>
      </c>
      <c r="Z342" t="n">
        <v>404</v>
      </c>
      <c r="AA342" t="n">
        <v>410</v>
      </c>
      <c r="AB342" t="n">
        <v>2</v>
      </c>
      <c r="AC342" t="n">
        <v>2</v>
      </c>
      <c r="AD342" t="n">
        <v>18</v>
      </c>
      <c r="AE342" t="n">
        <v>18</v>
      </c>
      <c r="AF342" t="n">
        <v>6</v>
      </c>
      <c r="AG342" t="n">
        <v>6</v>
      </c>
      <c r="AH342" t="n">
        <v>5</v>
      </c>
      <c r="AI342" t="n">
        <v>5</v>
      </c>
      <c r="AJ342" t="n">
        <v>11</v>
      </c>
      <c r="AK342" t="n">
        <v>11</v>
      </c>
      <c r="AL342" t="n">
        <v>1</v>
      </c>
      <c r="AM342" t="n">
        <v>1</v>
      </c>
      <c r="AN342" t="n">
        <v>0</v>
      </c>
      <c r="AO342" t="n">
        <v>0</v>
      </c>
      <c r="AP342" t="inlineStr">
        <is>
          <t>No</t>
        </is>
      </c>
      <c r="AQ342" t="inlineStr">
        <is>
          <t>Yes</t>
        </is>
      </c>
      <c r="AR342">
        <f>HYPERLINK("http://catalog.hathitrust.org/Record/005073638","HathiTrust Record")</f>
        <v/>
      </c>
      <c r="AS342">
        <f>HYPERLINK("https://creighton-primo.hosted.exlibrisgroup.com/primo-explore/search?tab=default_tab&amp;search_scope=EVERYTHING&amp;vid=01CRU&amp;lang=en_US&amp;offset=0&amp;query=any,contains,991004991619702656","Catalog Record")</f>
        <v/>
      </c>
      <c r="AT342">
        <f>HYPERLINK("http://www.worldcat.org/oclc/58604704","WorldCat Record")</f>
        <v/>
      </c>
      <c r="AU342" t="inlineStr">
        <is>
          <t>796475002:eng</t>
        </is>
      </c>
      <c r="AV342" t="inlineStr">
        <is>
          <t>58604704</t>
        </is>
      </c>
      <c r="AW342" t="inlineStr">
        <is>
          <t>991004991619702656</t>
        </is>
      </c>
      <c r="AX342" t="inlineStr">
        <is>
          <t>991004991619702656</t>
        </is>
      </c>
      <c r="AY342" t="inlineStr">
        <is>
          <t>2259570440002656</t>
        </is>
      </c>
      <c r="AZ342" t="inlineStr">
        <is>
          <t>BOOK</t>
        </is>
      </c>
      <c r="BB342" t="inlineStr">
        <is>
          <t>9780262025867</t>
        </is>
      </c>
      <c r="BC342" t="inlineStr">
        <is>
          <t>32285005269435</t>
        </is>
      </c>
      <c r="BD342" t="inlineStr">
        <is>
          <t>893344487</t>
        </is>
      </c>
    </row>
    <row r="343">
      <c r="A343" t="inlineStr">
        <is>
          <t>No</t>
        </is>
      </c>
      <c r="B343" t="inlineStr">
        <is>
          <t>HT321 .B55 2001</t>
        </is>
      </c>
      <c r="C343" t="inlineStr">
        <is>
          <t>0                      HT 0321000B  55          2001</t>
        </is>
      </c>
      <c r="D343" t="inlineStr">
        <is>
          <t>The economies of central-city neighborhoods / Richard D. Bingham, Zhongcai Zhang.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K343" t="inlineStr">
        <is>
          <t>Bingham, Richard D.</t>
        </is>
      </c>
      <c r="L343" t="inlineStr">
        <is>
          <t>Boulder, Colo. : Westview Press, 2001.</t>
        </is>
      </c>
      <c r="M343" t="inlineStr">
        <is>
          <t>2001</t>
        </is>
      </c>
      <c r="O343" t="inlineStr">
        <is>
          <t>eng</t>
        </is>
      </c>
      <c r="P343" t="inlineStr">
        <is>
          <t>cou</t>
        </is>
      </c>
      <c r="R343" t="inlineStr">
        <is>
          <t xml:space="preserve">HT </t>
        </is>
      </c>
      <c r="S343" t="n">
        <v>2</v>
      </c>
      <c r="T343" t="n">
        <v>2</v>
      </c>
      <c r="U343" t="inlineStr">
        <is>
          <t>2001-11-13</t>
        </is>
      </c>
      <c r="V343" t="inlineStr">
        <is>
          <t>2001-11-13</t>
        </is>
      </c>
      <c r="W343" t="inlineStr">
        <is>
          <t>2001-11-12</t>
        </is>
      </c>
      <c r="X343" t="inlineStr">
        <is>
          <t>2001-11-12</t>
        </is>
      </c>
      <c r="Y343" t="n">
        <v>282</v>
      </c>
      <c r="Z343" t="n">
        <v>246</v>
      </c>
      <c r="AA343" t="n">
        <v>310</v>
      </c>
      <c r="AB343" t="n">
        <v>3</v>
      </c>
      <c r="AC343" t="n">
        <v>3</v>
      </c>
      <c r="AD343" t="n">
        <v>10</v>
      </c>
      <c r="AE343" t="n">
        <v>11</v>
      </c>
      <c r="AF343" t="n">
        <v>4</v>
      </c>
      <c r="AG343" t="n">
        <v>4</v>
      </c>
      <c r="AH343" t="n">
        <v>3</v>
      </c>
      <c r="AI343" t="n">
        <v>3</v>
      </c>
      <c r="AJ343" t="n">
        <v>7</v>
      </c>
      <c r="AK343" t="n">
        <v>8</v>
      </c>
      <c r="AL343" t="n">
        <v>2</v>
      </c>
      <c r="AM343" t="n">
        <v>2</v>
      </c>
      <c r="AN343" t="n">
        <v>0</v>
      </c>
      <c r="AO343" t="n">
        <v>0</v>
      </c>
      <c r="AP343" t="inlineStr">
        <is>
          <t>No</t>
        </is>
      </c>
      <c r="AQ343" t="inlineStr">
        <is>
          <t>Yes</t>
        </is>
      </c>
      <c r="AR343">
        <f>HYPERLINK("http://catalog.hathitrust.org/Record/004167853","HathiTrust Record")</f>
        <v/>
      </c>
      <c r="AS343">
        <f>HYPERLINK("https://creighton-primo.hosted.exlibrisgroup.com/primo-explore/search?tab=default_tab&amp;search_scope=EVERYTHING&amp;vid=01CRU&amp;lang=en_US&amp;offset=0&amp;query=any,contains,991003647029702656","Catalog Record")</f>
        <v/>
      </c>
      <c r="AT343">
        <f>HYPERLINK("http://www.worldcat.org/oclc/45388561","WorldCat Record")</f>
        <v/>
      </c>
      <c r="AU343" t="inlineStr">
        <is>
          <t>20799502:eng</t>
        </is>
      </c>
      <c r="AV343" t="inlineStr">
        <is>
          <t>45388561</t>
        </is>
      </c>
      <c r="AW343" t="inlineStr">
        <is>
          <t>991003647029702656</t>
        </is>
      </c>
      <c r="AX343" t="inlineStr">
        <is>
          <t>991003647029702656</t>
        </is>
      </c>
      <c r="AY343" t="inlineStr">
        <is>
          <t>2262030280002656</t>
        </is>
      </c>
      <c r="AZ343" t="inlineStr">
        <is>
          <t>BOOK</t>
        </is>
      </c>
      <c r="BB343" t="inlineStr">
        <is>
          <t>9780813397719</t>
        </is>
      </c>
      <c r="BC343" t="inlineStr">
        <is>
          <t>32285004410410</t>
        </is>
      </c>
      <c r="BD343" t="inlineStr">
        <is>
          <t>893435238</t>
        </is>
      </c>
    </row>
    <row r="344">
      <c r="A344" t="inlineStr">
        <is>
          <t>No</t>
        </is>
      </c>
      <c r="B344" t="inlineStr">
        <is>
          <t>HT321 .F57 2002</t>
        </is>
      </c>
      <c r="C344" t="inlineStr">
        <is>
          <t>0                      HT 0321000F  57          2002</t>
        </is>
      </c>
      <c r="D344" t="inlineStr">
        <is>
          <t>Economic revitalization : cases and strategies for city and suburb / Joan Fitzgerald, Nancey Green Leigh.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Fitzgerald, Joan, Ph. D.</t>
        </is>
      </c>
      <c r="L344" t="inlineStr">
        <is>
          <t>Thousand Oaks, Calif. : Sage Publications, c2002.</t>
        </is>
      </c>
      <c r="M344" t="inlineStr">
        <is>
          <t>2002</t>
        </is>
      </c>
      <c r="O344" t="inlineStr">
        <is>
          <t>eng</t>
        </is>
      </c>
      <c r="P344" t="inlineStr">
        <is>
          <t>cau</t>
        </is>
      </c>
      <c r="R344" t="inlineStr">
        <is>
          <t xml:space="preserve">HT </t>
        </is>
      </c>
      <c r="S344" t="n">
        <v>5</v>
      </c>
      <c r="T344" t="n">
        <v>5</v>
      </c>
      <c r="U344" t="inlineStr">
        <is>
          <t>2008-02-05</t>
        </is>
      </c>
      <c r="V344" t="inlineStr">
        <is>
          <t>2008-02-05</t>
        </is>
      </c>
      <c r="W344" t="inlineStr">
        <is>
          <t>2002-09-09</t>
        </is>
      </c>
      <c r="X344" t="inlineStr">
        <is>
          <t>2002-09-09</t>
        </is>
      </c>
      <c r="Y344" t="n">
        <v>293</v>
      </c>
      <c r="Z344" t="n">
        <v>229</v>
      </c>
      <c r="AA344" t="n">
        <v>345</v>
      </c>
      <c r="AB344" t="n">
        <v>2</v>
      </c>
      <c r="AC344" t="n">
        <v>4</v>
      </c>
      <c r="AD344" t="n">
        <v>8</v>
      </c>
      <c r="AE344" t="n">
        <v>15</v>
      </c>
      <c r="AF344" t="n">
        <v>4</v>
      </c>
      <c r="AG344" t="n">
        <v>7</v>
      </c>
      <c r="AH344" t="n">
        <v>2</v>
      </c>
      <c r="AI344" t="n">
        <v>4</v>
      </c>
      <c r="AJ344" t="n">
        <v>4</v>
      </c>
      <c r="AK344" t="n">
        <v>5</v>
      </c>
      <c r="AL344" t="n">
        <v>1</v>
      </c>
      <c r="AM344" t="n">
        <v>3</v>
      </c>
      <c r="AN344" t="n">
        <v>0</v>
      </c>
      <c r="AO344" t="n">
        <v>0</v>
      </c>
      <c r="AP344" t="inlineStr">
        <is>
          <t>No</t>
        </is>
      </c>
      <c r="AQ344" t="inlineStr">
        <is>
          <t>No</t>
        </is>
      </c>
      <c r="AS344">
        <f>HYPERLINK("https://creighton-primo.hosted.exlibrisgroup.com/primo-explore/search?tab=default_tab&amp;search_scope=EVERYTHING&amp;vid=01CRU&amp;lang=en_US&amp;offset=0&amp;query=any,contains,991003851729702656","Catalog Record")</f>
        <v/>
      </c>
      <c r="AT344">
        <f>HYPERLINK("http://www.worldcat.org/oclc/48176941","WorldCat Record")</f>
        <v/>
      </c>
      <c r="AU344" t="inlineStr">
        <is>
          <t>837084036:eng</t>
        </is>
      </c>
      <c r="AV344" t="inlineStr">
        <is>
          <t>48176941</t>
        </is>
      </c>
      <c r="AW344" t="inlineStr">
        <is>
          <t>991003851729702656</t>
        </is>
      </c>
      <c r="AX344" t="inlineStr">
        <is>
          <t>991003851729702656</t>
        </is>
      </c>
      <c r="AY344" t="inlineStr">
        <is>
          <t>2256216830002656</t>
        </is>
      </c>
      <c r="AZ344" t="inlineStr">
        <is>
          <t>BOOK</t>
        </is>
      </c>
      <c r="BB344" t="inlineStr">
        <is>
          <t>9780761916550</t>
        </is>
      </c>
      <c r="BC344" t="inlineStr">
        <is>
          <t>32285004646104</t>
        </is>
      </c>
      <c r="BD344" t="inlineStr">
        <is>
          <t>893252881</t>
        </is>
      </c>
    </row>
    <row r="345">
      <c r="A345" t="inlineStr">
        <is>
          <t>No</t>
        </is>
      </c>
      <c r="B345" t="inlineStr">
        <is>
          <t>HT330 .J66 1990</t>
        </is>
      </c>
      <c r="C345" t="inlineStr">
        <is>
          <t>0                      HT 0330000J  66          1990</t>
        </is>
      </c>
      <c r="D345" t="inlineStr">
        <is>
          <t>Metropolis / Emrys Jones.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Jones, Emrys, 1920-2006.</t>
        </is>
      </c>
      <c r="L345" t="inlineStr">
        <is>
          <t>Oxford ; New York : Oxford University Press, 1990.</t>
        </is>
      </c>
      <c r="M345" t="inlineStr">
        <is>
          <t>1990</t>
        </is>
      </c>
      <c r="O345" t="inlineStr">
        <is>
          <t>eng</t>
        </is>
      </c>
      <c r="P345" t="inlineStr">
        <is>
          <t>enk</t>
        </is>
      </c>
      <c r="R345" t="inlineStr">
        <is>
          <t xml:space="preserve">HT </t>
        </is>
      </c>
      <c r="S345" t="n">
        <v>1</v>
      </c>
      <c r="T345" t="n">
        <v>1</v>
      </c>
      <c r="U345" t="inlineStr">
        <is>
          <t>1994-12-05</t>
        </is>
      </c>
      <c r="V345" t="inlineStr">
        <is>
          <t>1994-12-05</t>
        </is>
      </c>
      <c r="W345" t="inlineStr">
        <is>
          <t>1990-09-07</t>
        </is>
      </c>
      <c r="X345" t="inlineStr">
        <is>
          <t>1990-09-07</t>
        </is>
      </c>
      <c r="Y345" t="n">
        <v>507</v>
      </c>
      <c r="Z345" t="n">
        <v>327</v>
      </c>
      <c r="AA345" t="n">
        <v>331</v>
      </c>
      <c r="AB345" t="n">
        <v>4</v>
      </c>
      <c r="AC345" t="n">
        <v>4</v>
      </c>
      <c r="AD345" t="n">
        <v>16</v>
      </c>
      <c r="AE345" t="n">
        <v>16</v>
      </c>
      <c r="AF345" t="n">
        <v>4</v>
      </c>
      <c r="AG345" t="n">
        <v>4</v>
      </c>
      <c r="AH345" t="n">
        <v>4</v>
      </c>
      <c r="AI345" t="n">
        <v>4</v>
      </c>
      <c r="AJ345" t="n">
        <v>10</v>
      </c>
      <c r="AK345" t="n">
        <v>10</v>
      </c>
      <c r="AL345" t="n">
        <v>3</v>
      </c>
      <c r="AM345" t="n">
        <v>3</v>
      </c>
      <c r="AN345" t="n">
        <v>0</v>
      </c>
      <c r="AO345" t="n">
        <v>0</v>
      </c>
      <c r="AP345" t="inlineStr">
        <is>
          <t>No</t>
        </is>
      </c>
      <c r="AQ345" t="inlineStr">
        <is>
          <t>Yes</t>
        </is>
      </c>
      <c r="AR345">
        <f>HYPERLINK("http://catalog.hathitrust.org/Record/001946314","HathiTrust Record")</f>
        <v/>
      </c>
      <c r="AS345">
        <f>HYPERLINK("https://creighton-primo.hosted.exlibrisgroup.com/primo-explore/search?tab=default_tab&amp;search_scope=EVERYTHING&amp;vid=01CRU&amp;lang=en_US&amp;offset=0&amp;query=any,contains,991001556609702656","Catalog Record")</f>
        <v/>
      </c>
      <c r="AT345">
        <f>HYPERLINK("http://www.worldcat.org/oclc/20265287","WorldCat Record")</f>
        <v/>
      </c>
      <c r="AU345" t="inlineStr">
        <is>
          <t>114574110:eng</t>
        </is>
      </c>
      <c r="AV345" t="inlineStr">
        <is>
          <t>20265287</t>
        </is>
      </c>
      <c r="AW345" t="inlineStr">
        <is>
          <t>991001556609702656</t>
        </is>
      </c>
      <c r="AX345" t="inlineStr">
        <is>
          <t>991001556609702656</t>
        </is>
      </c>
      <c r="AY345" t="inlineStr">
        <is>
          <t>2263520150002656</t>
        </is>
      </c>
      <c r="AZ345" t="inlineStr">
        <is>
          <t>BOOK</t>
        </is>
      </c>
      <c r="BB345" t="inlineStr">
        <is>
          <t>9780192825780</t>
        </is>
      </c>
      <c r="BC345" t="inlineStr">
        <is>
          <t>32285000276344</t>
        </is>
      </c>
      <c r="BD345" t="inlineStr">
        <is>
          <t>893590432</t>
        </is>
      </c>
    </row>
    <row r="346">
      <c r="A346" t="inlineStr">
        <is>
          <t>No</t>
        </is>
      </c>
      <c r="B346" t="inlineStr">
        <is>
          <t>HT330 .M45 1988</t>
        </is>
      </c>
      <c r="C346" t="inlineStr">
        <is>
          <t>0                      HT 0330000M  45          1988</t>
        </is>
      </c>
      <c r="D346" t="inlineStr">
        <is>
          <t>The Metropolis era / editors, Mattei Dogan, John D. Kasarda.</t>
        </is>
      </c>
      <c r="E346" t="inlineStr">
        <is>
          <t>V.1</t>
        </is>
      </c>
      <c r="F346" t="inlineStr">
        <is>
          <t>Yes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L346" t="inlineStr">
        <is>
          <t>Newbury Park, Calif. : Sage Publications, c1988.</t>
        </is>
      </c>
      <c r="M346" t="inlineStr">
        <is>
          <t>1987</t>
        </is>
      </c>
      <c r="O346" t="inlineStr">
        <is>
          <t>eng</t>
        </is>
      </c>
      <c r="P346" t="inlineStr">
        <is>
          <t>cau</t>
        </is>
      </c>
      <c r="R346" t="inlineStr">
        <is>
          <t xml:space="preserve">HT </t>
        </is>
      </c>
      <c r="S346" t="n">
        <v>6</v>
      </c>
      <c r="T346" t="n">
        <v>11</v>
      </c>
      <c r="U346" t="inlineStr">
        <is>
          <t>1997-11-06</t>
        </is>
      </c>
      <c r="V346" t="inlineStr">
        <is>
          <t>1997-11-06</t>
        </is>
      </c>
      <c r="W346" t="inlineStr">
        <is>
          <t>1993-05-07</t>
        </is>
      </c>
      <c r="X346" t="inlineStr">
        <is>
          <t>1993-05-07</t>
        </is>
      </c>
      <c r="Y346" t="n">
        <v>582</v>
      </c>
      <c r="Z346" t="n">
        <v>441</v>
      </c>
      <c r="AA346" t="n">
        <v>447</v>
      </c>
      <c r="AB346" t="n">
        <v>2</v>
      </c>
      <c r="AC346" t="n">
        <v>2</v>
      </c>
      <c r="AD346" t="n">
        <v>18</v>
      </c>
      <c r="AE346" t="n">
        <v>19</v>
      </c>
      <c r="AF346" t="n">
        <v>7</v>
      </c>
      <c r="AG346" t="n">
        <v>8</v>
      </c>
      <c r="AH346" t="n">
        <v>7</v>
      </c>
      <c r="AI346" t="n">
        <v>7</v>
      </c>
      <c r="AJ346" t="n">
        <v>6</v>
      </c>
      <c r="AK346" t="n">
        <v>7</v>
      </c>
      <c r="AL346" t="n">
        <v>1</v>
      </c>
      <c r="AM346" t="n">
        <v>1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HYPERLINK("http://catalog.hathitrust.org/Record/000843544","HathiTrust Record")</f>
        <v/>
      </c>
      <c r="AS346">
        <f>HYPERLINK("https://creighton-primo.hosted.exlibrisgroup.com/primo-explore/search?tab=default_tab&amp;search_scope=EVERYTHING&amp;vid=01CRU&amp;lang=en_US&amp;offset=0&amp;query=any,contains,991001114579702656","Catalog Record")</f>
        <v/>
      </c>
      <c r="AT346">
        <f>HYPERLINK("http://www.worldcat.org/oclc/16524541","WorldCat Record")</f>
        <v/>
      </c>
      <c r="AU346" t="inlineStr">
        <is>
          <t>2908621894:eng</t>
        </is>
      </c>
      <c r="AV346" t="inlineStr">
        <is>
          <t>16524541</t>
        </is>
      </c>
      <c r="AW346" t="inlineStr">
        <is>
          <t>991001114579702656</t>
        </is>
      </c>
      <c r="AX346" t="inlineStr">
        <is>
          <t>991001114579702656</t>
        </is>
      </c>
      <c r="AY346" t="inlineStr">
        <is>
          <t>2259346270002656</t>
        </is>
      </c>
      <c r="AZ346" t="inlineStr">
        <is>
          <t>BOOK</t>
        </is>
      </c>
      <c r="BB346" t="inlineStr">
        <is>
          <t>9780803926035</t>
        </is>
      </c>
      <c r="BC346" t="inlineStr">
        <is>
          <t>32285001673887</t>
        </is>
      </c>
      <c r="BD346" t="inlineStr">
        <is>
          <t>893690354</t>
        </is>
      </c>
    </row>
    <row r="347">
      <c r="A347" t="inlineStr">
        <is>
          <t>No</t>
        </is>
      </c>
      <c r="B347" t="inlineStr">
        <is>
          <t>HT330 .M45 1988</t>
        </is>
      </c>
      <c r="C347" t="inlineStr">
        <is>
          <t>0                      HT 0330000M  45          1988</t>
        </is>
      </c>
      <c r="D347" t="inlineStr">
        <is>
          <t>The Metropolis era / editors, Mattei Dogan, John D. Kasarda.</t>
        </is>
      </c>
      <c r="E347" t="inlineStr">
        <is>
          <t>V.2</t>
        </is>
      </c>
      <c r="F347" t="inlineStr">
        <is>
          <t>Yes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L347" t="inlineStr">
        <is>
          <t>Newbury Park, Calif. : Sage Publications, c1988.</t>
        </is>
      </c>
      <c r="M347" t="inlineStr">
        <is>
          <t>1987</t>
        </is>
      </c>
      <c r="O347" t="inlineStr">
        <is>
          <t>eng</t>
        </is>
      </c>
      <c r="P347" t="inlineStr">
        <is>
          <t>cau</t>
        </is>
      </c>
      <c r="R347" t="inlineStr">
        <is>
          <t xml:space="preserve">HT </t>
        </is>
      </c>
      <c r="S347" t="n">
        <v>5</v>
      </c>
      <c r="T347" t="n">
        <v>11</v>
      </c>
      <c r="U347" t="inlineStr">
        <is>
          <t>1997-11-06</t>
        </is>
      </c>
      <c r="V347" t="inlineStr">
        <is>
          <t>1997-11-06</t>
        </is>
      </c>
      <c r="W347" t="inlineStr">
        <is>
          <t>1993-05-07</t>
        </is>
      </c>
      <c r="X347" t="inlineStr">
        <is>
          <t>1993-05-07</t>
        </is>
      </c>
      <c r="Y347" t="n">
        <v>582</v>
      </c>
      <c r="Z347" t="n">
        <v>441</v>
      </c>
      <c r="AA347" t="n">
        <v>447</v>
      </c>
      <c r="AB347" t="n">
        <v>2</v>
      </c>
      <c r="AC347" t="n">
        <v>2</v>
      </c>
      <c r="AD347" t="n">
        <v>18</v>
      </c>
      <c r="AE347" t="n">
        <v>19</v>
      </c>
      <c r="AF347" t="n">
        <v>7</v>
      </c>
      <c r="AG347" t="n">
        <v>8</v>
      </c>
      <c r="AH347" t="n">
        <v>7</v>
      </c>
      <c r="AI347" t="n">
        <v>7</v>
      </c>
      <c r="AJ347" t="n">
        <v>6</v>
      </c>
      <c r="AK347" t="n">
        <v>7</v>
      </c>
      <c r="AL347" t="n">
        <v>1</v>
      </c>
      <c r="AM347" t="n">
        <v>1</v>
      </c>
      <c r="AN347" t="n">
        <v>0</v>
      </c>
      <c r="AO347" t="n">
        <v>0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HYPERLINK("http://catalog.hathitrust.org/Record/000843544","HathiTrust Record")</f>
        <v/>
      </c>
      <c r="AS347">
        <f>HYPERLINK("https://creighton-primo.hosted.exlibrisgroup.com/primo-explore/search?tab=default_tab&amp;search_scope=EVERYTHING&amp;vid=01CRU&amp;lang=en_US&amp;offset=0&amp;query=any,contains,991001114579702656","Catalog Record")</f>
        <v/>
      </c>
      <c r="AT347">
        <f>HYPERLINK("http://www.worldcat.org/oclc/16524541","WorldCat Record")</f>
        <v/>
      </c>
      <c r="AU347" t="inlineStr">
        <is>
          <t>2908621894:eng</t>
        </is>
      </c>
      <c r="AV347" t="inlineStr">
        <is>
          <t>16524541</t>
        </is>
      </c>
      <c r="AW347" t="inlineStr">
        <is>
          <t>991001114579702656</t>
        </is>
      </c>
      <c r="AX347" t="inlineStr">
        <is>
          <t>991001114579702656</t>
        </is>
      </c>
      <c r="AY347" t="inlineStr">
        <is>
          <t>2259346270002656</t>
        </is>
      </c>
      <c r="AZ347" t="inlineStr">
        <is>
          <t>BOOK</t>
        </is>
      </c>
      <c r="BB347" t="inlineStr">
        <is>
          <t>9780803926035</t>
        </is>
      </c>
      <c r="BC347" t="inlineStr">
        <is>
          <t>32285001673895</t>
        </is>
      </c>
      <c r="BD347" t="inlineStr">
        <is>
          <t>893690353</t>
        </is>
      </c>
    </row>
    <row r="348">
      <c r="A348" t="inlineStr">
        <is>
          <t>No</t>
        </is>
      </c>
      <c r="B348" t="inlineStr">
        <is>
          <t>HT334.U5 A56 2007</t>
        </is>
      </c>
      <c r="C348" t="inlineStr">
        <is>
          <t>0                      HT 0334000U  5                  A  56          2007</t>
        </is>
      </c>
      <c r="D348" t="inlineStr">
        <is>
          <t>Urban America in the modern age : 1920 to the present / Carl Abbott.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K348" t="inlineStr">
        <is>
          <t>Abbott, Carl, 1944-</t>
        </is>
      </c>
      <c r="L348" t="inlineStr">
        <is>
          <t>Wheeling, Ill. : Harlan Davidson, c2007.</t>
        </is>
      </c>
      <c r="M348" t="inlineStr">
        <is>
          <t>2007</t>
        </is>
      </c>
      <c r="N348" t="inlineStr">
        <is>
          <t>2nd ed.</t>
        </is>
      </c>
      <c r="O348" t="inlineStr">
        <is>
          <t>eng</t>
        </is>
      </c>
      <c r="P348" t="inlineStr">
        <is>
          <t>ilu</t>
        </is>
      </c>
      <c r="Q348" t="inlineStr">
        <is>
          <t>The American history series</t>
        </is>
      </c>
      <c r="R348" t="inlineStr">
        <is>
          <t xml:space="preserve">HT </t>
        </is>
      </c>
      <c r="S348" t="n">
        <v>1</v>
      </c>
      <c r="T348" t="n">
        <v>1</v>
      </c>
      <c r="U348" t="inlineStr">
        <is>
          <t>2007-10-29</t>
        </is>
      </c>
      <c r="V348" t="inlineStr">
        <is>
          <t>2007-10-29</t>
        </is>
      </c>
      <c r="W348" t="inlineStr">
        <is>
          <t>2007-10-29</t>
        </is>
      </c>
      <c r="X348" t="inlineStr">
        <is>
          <t>2007-10-29</t>
        </is>
      </c>
      <c r="Y348" t="n">
        <v>126</v>
      </c>
      <c r="Z348" t="n">
        <v>97</v>
      </c>
      <c r="AA348" t="n">
        <v>260</v>
      </c>
      <c r="AB348" t="n">
        <v>2</v>
      </c>
      <c r="AC348" t="n">
        <v>2</v>
      </c>
      <c r="AD348" t="n">
        <v>5</v>
      </c>
      <c r="AE348" t="n">
        <v>12</v>
      </c>
      <c r="AF348" t="n">
        <v>3</v>
      </c>
      <c r="AG348" t="n">
        <v>7</v>
      </c>
      <c r="AH348" t="n">
        <v>3</v>
      </c>
      <c r="AI348" t="n">
        <v>4</v>
      </c>
      <c r="AJ348" t="n">
        <v>2</v>
      </c>
      <c r="AK348" t="n">
        <v>7</v>
      </c>
      <c r="AL348" t="n">
        <v>0</v>
      </c>
      <c r="AM348" t="n">
        <v>0</v>
      </c>
      <c r="AN348" t="n">
        <v>0</v>
      </c>
      <c r="AO348" t="n">
        <v>0</v>
      </c>
      <c r="AP348" t="inlineStr">
        <is>
          <t>No</t>
        </is>
      </c>
      <c r="AQ348" t="inlineStr">
        <is>
          <t>No</t>
        </is>
      </c>
      <c r="AS348">
        <f>HYPERLINK("https://creighton-primo.hosted.exlibrisgroup.com/primo-explore/search?tab=default_tab&amp;search_scope=EVERYTHING&amp;vid=01CRU&amp;lang=en_US&amp;offset=0&amp;query=any,contains,991005122209702656","Catalog Record")</f>
        <v/>
      </c>
      <c r="AT348">
        <f>HYPERLINK("http://www.worldcat.org/oclc/64595859","WorldCat Record")</f>
        <v/>
      </c>
      <c r="AU348" t="inlineStr">
        <is>
          <t>3372748283:eng</t>
        </is>
      </c>
      <c r="AV348" t="inlineStr">
        <is>
          <t>64595859</t>
        </is>
      </c>
      <c r="AW348" t="inlineStr">
        <is>
          <t>991005122209702656</t>
        </is>
      </c>
      <c r="AX348" t="inlineStr">
        <is>
          <t>991005122209702656</t>
        </is>
      </c>
      <c r="AY348" t="inlineStr">
        <is>
          <t>2272251190002656</t>
        </is>
      </c>
      <c r="AZ348" t="inlineStr">
        <is>
          <t>BOOK</t>
        </is>
      </c>
      <c r="BB348" t="inlineStr">
        <is>
          <t>9780882952475</t>
        </is>
      </c>
      <c r="BC348" t="inlineStr">
        <is>
          <t>32285005362156</t>
        </is>
      </c>
      <c r="BD348" t="inlineStr">
        <is>
          <t>893628558</t>
        </is>
      </c>
    </row>
    <row r="349">
      <c r="A349" t="inlineStr">
        <is>
          <t>No</t>
        </is>
      </c>
      <c r="B349" t="inlineStr">
        <is>
          <t>HT334.U5 C5 1965</t>
        </is>
      </c>
      <c r="C349" t="inlineStr">
        <is>
          <t>0                      HT 0334000U  5                  C  5           1965</t>
        </is>
      </c>
      <c r="D349" t="inlineStr">
        <is>
          <t>City and suburb; the economics of metropolitan growth.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K349" t="inlineStr">
        <is>
          <t>Chinitz, Benjamin, editor.</t>
        </is>
      </c>
      <c r="L349" t="inlineStr">
        <is>
          <t>Englewood Cliffs, N.J., Prentice-Hall [1965, c1964]</t>
        </is>
      </c>
      <c r="M349" t="inlineStr">
        <is>
          <t>1965</t>
        </is>
      </c>
      <c r="O349" t="inlineStr">
        <is>
          <t>eng</t>
        </is>
      </c>
      <c r="P349" t="inlineStr">
        <is>
          <t>nju</t>
        </is>
      </c>
      <c r="Q349" t="inlineStr">
        <is>
          <t>A Spectrum book</t>
        </is>
      </c>
      <c r="R349" t="inlineStr">
        <is>
          <t xml:space="preserve">HT </t>
        </is>
      </c>
      <c r="S349" t="n">
        <v>3</v>
      </c>
      <c r="T349" t="n">
        <v>3</v>
      </c>
      <c r="U349" t="inlineStr">
        <is>
          <t>2006-05-01</t>
        </is>
      </c>
      <c r="V349" t="inlineStr">
        <is>
          <t>2006-05-01</t>
        </is>
      </c>
      <c r="W349" t="inlineStr">
        <is>
          <t>1997-08-18</t>
        </is>
      </c>
      <c r="X349" t="inlineStr">
        <is>
          <t>1997-08-18</t>
        </is>
      </c>
      <c r="Y349" t="n">
        <v>680</v>
      </c>
      <c r="Z349" t="n">
        <v>624</v>
      </c>
      <c r="AA349" t="n">
        <v>716</v>
      </c>
      <c r="AB349" t="n">
        <v>4</v>
      </c>
      <c r="AC349" t="n">
        <v>4</v>
      </c>
      <c r="AD349" t="n">
        <v>32</v>
      </c>
      <c r="AE349" t="n">
        <v>33</v>
      </c>
      <c r="AF349" t="n">
        <v>12</v>
      </c>
      <c r="AG349" t="n">
        <v>13</v>
      </c>
      <c r="AH349" t="n">
        <v>8</v>
      </c>
      <c r="AI349" t="n">
        <v>8</v>
      </c>
      <c r="AJ349" t="n">
        <v>20</v>
      </c>
      <c r="AK349" t="n">
        <v>20</v>
      </c>
      <c r="AL349" t="n">
        <v>3</v>
      </c>
      <c r="AM349" t="n">
        <v>3</v>
      </c>
      <c r="AN349" t="n">
        <v>1</v>
      </c>
      <c r="AO349" t="n">
        <v>1</v>
      </c>
      <c r="AP349" t="inlineStr">
        <is>
          <t>No</t>
        </is>
      </c>
      <c r="AQ349" t="inlineStr">
        <is>
          <t>Yes</t>
        </is>
      </c>
      <c r="AR349">
        <f>HYPERLINK("http://catalog.hathitrust.org/Record/000003785","HathiTrust Record")</f>
        <v/>
      </c>
      <c r="AS349">
        <f>HYPERLINK("https://creighton-primo.hosted.exlibrisgroup.com/primo-explore/search?tab=default_tab&amp;search_scope=EVERYTHING&amp;vid=01CRU&amp;lang=en_US&amp;offset=0&amp;query=any,contains,991002050729702656","Catalog Record")</f>
        <v/>
      </c>
      <c r="AT349">
        <f>HYPERLINK("http://www.worldcat.org/oclc/261684","WorldCat Record")</f>
        <v/>
      </c>
      <c r="AU349" t="inlineStr">
        <is>
          <t>868710696:eng</t>
        </is>
      </c>
      <c r="AV349" t="inlineStr">
        <is>
          <t>261684</t>
        </is>
      </c>
      <c r="AW349" t="inlineStr">
        <is>
          <t>991002050729702656</t>
        </is>
      </c>
      <c r="AX349" t="inlineStr">
        <is>
          <t>991002050729702656</t>
        </is>
      </c>
      <c r="AY349" t="inlineStr">
        <is>
          <t>2266711910002656</t>
        </is>
      </c>
      <c r="AZ349" t="inlineStr">
        <is>
          <t>BOOK</t>
        </is>
      </c>
      <c r="BC349" t="inlineStr">
        <is>
          <t>32285003147484</t>
        </is>
      </c>
      <c r="BD349" t="inlineStr">
        <is>
          <t>893408633</t>
        </is>
      </c>
    </row>
    <row r="350">
      <c r="A350" t="inlineStr">
        <is>
          <t>No</t>
        </is>
      </c>
      <c r="B350" t="inlineStr">
        <is>
          <t>HT334.U5 F66 1986</t>
        </is>
      </c>
      <c r="C350" t="inlineStr">
        <is>
          <t>0                      HT 0334000U  5                  F  66          1986</t>
        </is>
      </c>
      <c r="D350" t="inlineStr">
        <is>
          <t>Metropolitan America : urban life and urban policy in the United States, 1940-1980 / Kenneth Fox.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Fox, Kenneth.</t>
        </is>
      </c>
      <c r="L350" t="inlineStr">
        <is>
          <t>Jackson : University Press of Mississippi, 1986.</t>
        </is>
      </c>
      <c r="M350" t="inlineStr">
        <is>
          <t>1986</t>
        </is>
      </c>
      <c r="O350" t="inlineStr">
        <is>
          <t>eng</t>
        </is>
      </c>
      <c r="P350" t="inlineStr">
        <is>
          <t>msu</t>
        </is>
      </c>
      <c r="R350" t="inlineStr">
        <is>
          <t xml:space="preserve">HT </t>
        </is>
      </c>
      <c r="S350" t="n">
        <v>4</v>
      </c>
      <c r="T350" t="n">
        <v>4</v>
      </c>
      <c r="U350" t="inlineStr">
        <is>
          <t>2003-07-08</t>
        </is>
      </c>
      <c r="V350" t="inlineStr">
        <is>
          <t>2003-07-08</t>
        </is>
      </c>
      <c r="W350" t="inlineStr">
        <is>
          <t>1993-05-07</t>
        </is>
      </c>
      <c r="X350" t="inlineStr">
        <is>
          <t>1993-05-07</t>
        </is>
      </c>
      <c r="Y350" t="n">
        <v>438</v>
      </c>
      <c r="Z350" t="n">
        <v>386</v>
      </c>
      <c r="AA350" t="n">
        <v>483</v>
      </c>
      <c r="AB350" t="n">
        <v>2</v>
      </c>
      <c r="AC350" t="n">
        <v>3</v>
      </c>
      <c r="AD350" t="n">
        <v>16</v>
      </c>
      <c r="AE350" t="n">
        <v>24</v>
      </c>
      <c r="AF350" t="n">
        <v>5</v>
      </c>
      <c r="AG350" t="n">
        <v>7</v>
      </c>
      <c r="AH350" t="n">
        <v>4</v>
      </c>
      <c r="AI350" t="n">
        <v>5</v>
      </c>
      <c r="AJ350" t="n">
        <v>9</v>
      </c>
      <c r="AK350" t="n">
        <v>15</v>
      </c>
      <c r="AL350" t="n">
        <v>1</v>
      </c>
      <c r="AM350" t="n">
        <v>2</v>
      </c>
      <c r="AN350" t="n">
        <v>0</v>
      </c>
      <c r="AO350" t="n">
        <v>1</v>
      </c>
      <c r="AP350" t="inlineStr">
        <is>
          <t>No</t>
        </is>
      </c>
      <c r="AQ350" t="inlineStr">
        <is>
          <t>Yes</t>
        </is>
      </c>
      <c r="AR350">
        <f>HYPERLINK("http://catalog.hathitrust.org/Record/000383029","HathiTrust Record")</f>
        <v/>
      </c>
      <c r="AS350">
        <f>HYPERLINK("https://creighton-primo.hosted.exlibrisgroup.com/primo-explore/search?tab=default_tab&amp;search_scope=EVERYTHING&amp;vid=01CRU&amp;lang=en_US&amp;offset=0&amp;query=any,contains,991000655749702656","Catalog Record")</f>
        <v/>
      </c>
      <c r="AT350">
        <f>HYPERLINK("http://www.worldcat.org/oclc/12215164","WorldCat Record")</f>
        <v/>
      </c>
      <c r="AU350" t="inlineStr">
        <is>
          <t>836661260:eng</t>
        </is>
      </c>
      <c r="AV350" t="inlineStr">
        <is>
          <t>12215164</t>
        </is>
      </c>
      <c r="AW350" t="inlineStr">
        <is>
          <t>991000655749702656</t>
        </is>
      </c>
      <c r="AX350" t="inlineStr">
        <is>
          <t>991000655749702656</t>
        </is>
      </c>
      <c r="AY350" t="inlineStr">
        <is>
          <t>2266728690002656</t>
        </is>
      </c>
      <c r="AZ350" t="inlineStr">
        <is>
          <t>BOOK</t>
        </is>
      </c>
      <c r="BB350" t="inlineStr">
        <is>
          <t>9780878052837</t>
        </is>
      </c>
      <c r="BC350" t="inlineStr">
        <is>
          <t>32285001673903</t>
        </is>
      </c>
      <c r="BD350" t="inlineStr">
        <is>
          <t>893884612</t>
        </is>
      </c>
    </row>
    <row r="351">
      <c r="A351" t="inlineStr">
        <is>
          <t>No</t>
        </is>
      </c>
      <c r="B351" t="inlineStr">
        <is>
          <t>HT334.U5 G37 1991</t>
        </is>
      </c>
      <c r="C351" t="inlineStr">
        <is>
          <t>0                      HT 0334000U  5                  G  37          1991</t>
        </is>
      </c>
      <c r="D351" t="inlineStr">
        <is>
          <t>Edge city : life on the new frontier / Joel Garreau.</t>
        </is>
      </c>
      <c r="F351" t="inlineStr">
        <is>
          <t>No</t>
        </is>
      </c>
      <c r="G351" t="inlineStr">
        <is>
          <t>1</t>
        </is>
      </c>
      <c r="H351" t="inlineStr">
        <is>
          <t>Yes</t>
        </is>
      </c>
      <c r="I351" t="inlineStr">
        <is>
          <t>No</t>
        </is>
      </c>
      <c r="J351" t="inlineStr">
        <is>
          <t>0</t>
        </is>
      </c>
      <c r="K351" t="inlineStr">
        <is>
          <t>Garreau, Joel.</t>
        </is>
      </c>
      <c r="L351" t="inlineStr">
        <is>
          <t>New York : Doubleday, 1991.</t>
        </is>
      </c>
      <c r="M351" t="inlineStr">
        <is>
          <t>1991</t>
        </is>
      </c>
      <c r="N351" t="inlineStr">
        <is>
          <t>1st ed.</t>
        </is>
      </c>
      <c r="O351" t="inlineStr">
        <is>
          <t>eng</t>
        </is>
      </c>
      <c r="P351" t="inlineStr">
        <is>
          <t>nyu</t>
        </is>
      </c>
      <c r="R351" t="inlineStr">
        <is>
          <t xml:space="preserve">HT </t>
        </is>
      </c>
      <c r="S351" t="n">
        <v>6</v>
      </c>
      <c r="T351" t="n">
        <v>8</v>
      </c>
      <c r="U351" t="inlineStr">
        <is>
          <t>1996-01-05</t>
        </is>
      </c>
      <c r="V351" t="inlineStr">
        <is>
          <t>2001-12-04</t>
        </is>
      </c>
      <c r="W351" t="inlineStr">
        <is>
          <t>1991-10-10</t>
        </is>
      </c>
      <c r="X351" t="inlineStr">
        <is>
          <t>1991-10-29</t>
        </is>
      </c>
      <c r="Y351" t="n">
        <v>1009</v>
      </c>
      <c r="Z351" t="n">
        <v>912</v>
      </c>
      <c r="AA351" t="n">
        <v>1274</v>
      </c>
      <c r="AB351" t="n">
        <v>6</v>
      </c>
      <c r="AC351" t="n">
        <v>11</v>
      </c>
      <c r="AD351" t="n">
        <v>29</v>
      </c>
      <c r="AE351" t="n">
        <v>49</v>
      </c>
      <c r="AF351" t="n">
        <v>10</v>
      </c>
      <c r="AG351" t="n">
        <v>20</v>
      </c>
      <c r="AH351" t="n">
        <v>8</v>
      </c>
      <c r="AI351" t="n">
        <v>11</v>
      </c>
      <c r="AJ351" t="n">
        <v>14</v>
      </c>
      <c r="AK351" t="n">
        <v>21</v>
      </c>
      <c r="AL351" t="n">
        <v>3</v>
      </c>
      <c r="AM351" t="n">
        <v>8</v>
      </c>
      <c r="AN351" t="n">
        <v>1</v>
      </c>
      <c r="AO351" t="n">
        <v>2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HYPERLINK("http://catalog.hathitrust.org/Record/002487661","HathiTrust Record")</f>
        <v/>
      </c>
      <c r="AS351">
        <f>HYPERLINK("https://creighton-primo.hosted.exlibrisgroup.com/primo-explore/search?tab=default_tab&amp;search_scope=EVERYTHING&amp;vid=01CRU&amp;lang=en_US&amp;offset=0&amp;query=any,contains,991001648279702656","Catalog Record")</f>
        <v/>
      </c>
      <c r="AT351">
        <f>HYPERLINK("http://www.worldcat.org/oclc/23216043","WorldCat Record")</f>
        <v/>
      </c>
      <c r="AU351" t="inlineStr">
        <is>
          <t>24954931:eng</t>
        </is>
      </c>
      <c r="AV351" t="inlineStr">
        <is>
          <t>23216043</t>
        </is>
      </c>
      <c r="AW351" t="inlineStr">
        <is>
          <t>991001648279702656</t>
        </is>
      </c>
      <c r="AX351" t="inlineStr">
        <is>
          <t>991001648279702656</t>
        </is>
      </c>
      <c r="AY351" t="inlineStr">
        <is>
          <t>2261295530002656</t>
        </is>
      </c>
      <c r="AZ351" t="inlineStr">
        <is>
          <t>BOOK</t>
        </is>
      </c>
      <c r="BB351" t="inlineStr">
        <is>
          <t>9780385262491</t>
        </is>
      </c>
      <c r="BC351" t="inlineStr">
        <is>
          <t>32285000725852</t>
        </is>
      </c>
      <c r="BD351" t="inlineStr">
        <is>
          <t>893803771</t>
        </is>
      </c>
    </row>
    <row r="352">
      <c r="A352" t="inlineStr">
        <is>
          <t>No</t>
        </is>
      </c>
      <c r="B352" t="inlineStr">
        <is>
          <t>HT334.U5 L36 2003</t>
        </is>
      </c>
      <c r="C352" t="inlineStr">
        <is>
          <t>0                      HT 0334000U  5                  L  36          2003</t>
        </is>
      </c>
      <c r="D352" t="inlineStr">
        <is>
          <t>Edgeless cities : exploring the elusive metropolis / Robert E. Lang.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Lang, Robert, 1959-</t>
        </is>
      </c>
      <c r="L352" t="inlineStr">
        <is>
          <t>Washington, D.C. : Brookings Institution Press, c2003.</t>
        </is>
      </c>
      <c r="M352" t="inlineStr">
        <is>
          <t>2003</t>
        </is>
      </c>
      <c r="O352" t="inlineStr">
        <is>
          <t>eng</t>
        </is>
      </c>
      <c r="P352" t="inlineStr">
        <is>
          <t>dcu</t>
        </is>
      </c>
      <c r="Q352" t="inlineStr">
        <is>
          <t>Brookings metro series</t>
        </is>
      </c>
      <c r="R352" t="inlineStr">
        <is>
          <t xml:space="preserve">HT </t>
        </is>
      </c>
      <c r="S352" t="n">
        <v>7</v>
      </c>
      <c r="T352" t="n">
        <v>7</v>
      </c>
      <c r="U352" t="inlineStr">
        <is>
          <t>2009-11-01</t>
        </is>
      </c>
      <c r="V352" t="inlineStr">
        <is>
          <t>2009-11-01</t>
        </is>
      </c>
      <c r="W352" t="inlineStr">
        <is>
          <t>2003-04-02</t>
        </is>
      </c>
      <c r="X352" t="inlineStr">
        <is>
          <t>2003-04-02</t>
        </is>
      </c>
      <c r="Y352" t="n">
        <v>478</v>
      </c>
      <c r="Z352" t="n">
        <v>387</v>
      </c>
      <c r="AA352" t="n">
        <v>1226</v>
      </c>
      <c r="AB352" t="n">
        <v>3</v>
      </c>
      <c r="AC352" t="n">
        <v>7</v>
      </c>
      <c r="AD352" t="n">
        <v>20</v>
      </c>
      <c r="AE352" t="n">
        <v>39</v>
      </c>
      <c r="AF352" t="n">
        <v>9</v>
      </c>
      <c r="AG352" t="n">
        <v>17</v>
      </c>
      <c r="AH352" t="n">
        <v>6</v>
      </c>
      <c r="AI352" t="n">
        <v>8</v>
      </c>
      <c r="AJ352" t="n">
        <v>10</v>
      </c>
      <c r="AK352" t="n">
        <v>15</v>
      </c>
      <c r="AL352" t="n">
        <v>2</v>
      </c>
      <c r="AM352" t="n">
        <v>6</v>
      </c>
      <c r="AN352" t="n">
        <v>1</v>
      </c>
      <c r="AO352" t="n">
        <v>2</v>
      </c>
      <c r="AP352" t="inlineStr">
        <is>
          <t>No</t>
        </is>
      </c>
      <c r="AQ352" t="inlineStr">
        <is>
          <t>No</t>
        </is>
      </c>
      <c r="AS352">
        <f>HYPERLINK("https://creighton-primo.hosted.exlibrisgroup.com/primo-explore/search?tab=default_tab&amp;search_scope=EVERYTHING&amp;vid=01CRU&amp;lang=en_US&amp;offset=0&amp;query=any,contains,991004036449702656","Catalog Record")</f>
        <v/>
      </c>
      <c r="AT352">
        <f>HYPERLINK("http://www.worldcat.org/oclc/50802692","WorldCat Record")</f>
        <v/>
      </c>
      <c r="AU352" t="inlineStr">
        <is>
          <t>800683048:eng</t>
        </is>
      </c>
      <c r="AV352" t="inlineStr">
        <is>
          <t>50802692</t>
        </is>
      </c>
      <c r="AW352" t="inlineStr">
        <is>
          <t>991004036449702656</t>
        </is>
      </c>
      <c r="AX352" t="inlineStr">
        <is>
          <t>991004036449702656</t>
        </is>
      </c>
      <c r="AY352" t="inlineStr">
        <is>
          <t>2270271040002656</t>
        </is>
      </c>
      <c r="AZ352" t="inlineStr">
        <is>
          <t>BOOK</t>
        </is>
      </c>
      <c r="BB352" t="inlineStr">
        <is>
          <t>9780815706113</t>
        </is>
      </c>
      <c r="BC352" t="inlineStr">
        <is>
          <t>32285004689401</t>
        </is>
      </c>
      <c r="BD352" t="inlineStr">
        <is>
          <t>893618147</t>
        </is>
      </c>
    </row>
    <row r="353">
      <c r="A353" t="inlineStr">
        <is>
          <t>No</t>
        </is>
      </c>
      <c r="B353" t="inlineStr">
        <is>
          <t>HT334.U5 O72 2002</t>
        </is>
      </c>
      <c r="C353" t="inlineStr">
        <is>
          <t>0                      HT 0334000U  5                  O  72          2002</t>
        </is>
      </c>
      <c r="D353" t="inlineStr">
        <is>
          <t>American metropolitics : the new suburban reality / Myron Orfield.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Orfield, Myron.</t>
        </is>
      </c>
      <c r="L353" t="inlineStr">
        <is>
          <t>Washington, D.C. : Brookings Institution Press, c2002.</t>
        </is>
      </c>
      <c r="M353" t="inlineStr">
        <is>
          <t>2002</t>
        </is>
      </c>
      <c r="O353" t="inlineStr">
        <is>
          <t>eng</t>
        </is>
      </c>
      <c r="P353" t="inlineStr">
        <is>
          <t>dcu</t>
        </is>
      </c>
      <c r="R353" t="inlineStr">
        <is>
          <t xml:space="preserve">HT </t>
        </is>
      </c>
      <c r="S353" t="n">
        <v>10</v>
      </c>
      <c r="T353" t="n">
        <v>10</v>
      </c>
      <c r="U353" t="inlineStr">
        <is>
          <t>2008-02-05</t>
        </is>
      </c>
      <c r="V353" t="inlineStr">
        <is>
          <t>2008-02-05</t>
        </is>
      </c>
      <c r="W353" t="inlineStr">
        <is>
          <t>2002-06-25</t>
        </is>
      </c>
      <c r="X353" t="inlineStr">
        <is>
          <t>2002-06-25</t>
        </is>
      </c>
      <c r="Y353" t="n">
        <v>626</v>
      </c>
      <c r="Z353" t="n">
        <v>562</v>
      </c>
      <c r="AA353" t="n">
        <v>742</v>
      </c>
      <c r="AB353" t="n">
        <v>4</v>
      </c>
      <c r="AC353" t="n">
        <v>4</v>
      </c>
      <c r="AD353" t="n">
        <v>30</v>
      </c>
      <c r="AE353" t="n">
        <v>40</v>
      </c>
      <c r="AF353" t="n">
        <v>12</v>
      </c>
      <c r="AG353" t="n">
        <v>17</v>
      </c>
      <c r="AH353" t="n">
        <v>7</v>
      </c>
      <c r="AI353" t="n">
        <v>10</v>
      </c>
      <c r="AJ353" t="n">
        <v>15</v>
      </c>
      <c r="AK353" t="n">
        <v>19</v>
      </c>
      <c r="AL353" t="n">
        <v>3</v>
      </c>
      <c r="AM353" t="n">
        <v>3</v>
      </c>
      <c r="AN353" t="n">
        <v>3</v>
      </c>
      <c r="AO353" t="n">
        <v>3</v>
      </c>
      <c r="AP353" t="inlineStr">
        <is>
          <t>No</t>
        </is>
      </c>
      <c r="AQ353" t="inlineStr">
        <is>
          <t>No</t>
        </is>
      </c>
      <c r="AS353">
        <f>HYPERLINK("https://creighton-primo.hosted.exlibrisgroup.com/primo-explore/search?tab=default_tab&amp;search_scope=EVERYTHING&amp;vid=01CRU&amp;lang=en_US&amp;offset=0&amp;query=any,contains,991003832139702656","Catalog Record")</f>
        <v/>
      </c>
      <c r="AT353">
        <f>HYPERLINK("http://www.worldcat.org/oclc/48536745","WorldCat Record")</f>
        <v/>
      </c>
      <c r="AU353" t="inlineStr">
        <is>
          <t>345831843:eng</t>
        </is>
      </c>
      <c r="AV353" t="inlineStr">
        <is>
          <t>48536745</t>
        </is>
      </c>
      <c r="AW353" t="inlineStr">
        <is>
          <t>991003832139702656</t>
        </is>
      </c>
      <c r="AX353" t="inlineStr">
        <is>
          <t>991003832139702656</t>
        </is>
      </c>
      <c r="AY353" t="inlineStr">
        <is>
          <t>2269387220002656</t>
        </is>
      </c>
      <c r="AZ353" t="inlineStr">
        <is>
          <t>BOOK</t>
        </is>
      </c>
      <c r="BB353" t="inlineStr">
        <is>
          <t>9780815702481</t>
        </is>
      </c>
      <c r="BC353" t="inlineStr">
        <is>
          <t>32285004495619</t>
        </is>
      </c>
      <c r="BD353" t="inlineStr">
        <is>
          <t>893228527</t>
        </is>
      </c>
    </row>
    <row r="354">
      <c r="A354" t="inlineStr">
        <is>
          <t>No</t>
        </is>
      </c>
      <c r="B354" t="inlineStr">
        <is>
          <t>HT334.U5 O74 1997</t>
        </is>
      </c>
      <c r="C354" t="inlineStr">
        <is>
          <t>0                      HT 0334000U  5                  O  74          1997</t>
        </is>
      </c>
      <c r="D354" t="inlineStr">
        <is>
          <t>Metropolitics : a regional agenda for community and stability / Myron Orfield.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Orfield, Myron.</t>
        </is>
      </c>
      <c r="L354" t="inlineStr">
        <is>
          <t>Washington, D.C. : Brookings Institution Press ; Cambridge, Mass. : Lincoln Institute of Land Policy, c1997.</t>
        </is>
      </c>
      <c r="M354" t="inlineStr">
        <is>
          <t>1997</t>
        </is>
      </c>
      <c r="O354" t="inlineStr">
        <is>
          <t>eng</t>
        </is>
      </c>
      <c r="P354" t="inlineStr">
        <is>
          <t>dcu</t>
        </is>
      </c>
      <c r="R354" t="inlineStr">
        <is>
          <t xml:space="preserve">HT </t>
        </is>
      </c>
      <c r="S354" t="n">
        <v>5</v>
      </c>
      <c r="T354" t="n">
        <v>5</v>
      </c>
      <c r="U354" t="inlineStr">
        <is>
          <t>1999-11-18</t>
        </is>
      </c>
      <c r="V354" t="inlineStr">
        <is>
          <t>1999-11-18</t>
        </is>
      </c>
      <c r="W354" t="inlineStr">
        <is>
          <t>1997-03-26</t>
        </is>
      </c>
      <c r="X354" t="inlineStr">
        <is>
          <t>1997-03-26</t>
        </is>
      </c>
      <c r="Y354" t="n">
        <v>689</v>
      </c>
      <c r="Z354" t="n">
        <v>606</v>
      </c>
      <c r="AA354" t="n">
        <v>1344</v>
      </c>
      <c r="AB354" t="n">
        <v>6</v>
      </c>
      <c r="AC354" t="n">
        <v>7</v>
      </c>
      <c r="AD354" t="n">
        <v>36</v>
      </c>
      <c r="AE354" t="n">
        <v>44</v>
      </c>
      <c r="AF354" t="n">
        <v>10</v>
      </c>
      <c r="AG354" t="n">
        <v>16</v>
      </c>
      <c r="AH354" t="n">
        <v>7</v>
      </c>
      <c r="AI354" t="n">
        <v>8</v>
      </c>
      <c r="AJ354" t="n">
        <v>15</v>
      </c>
      <c r="AK354" t="n">
        <v>15</v>
      </c>
      <c r="AL354" t="n">
        <v>5</v>
      </c>
      <c r="AM354" t="n">
        <v>6</v>
      </c>
      <c r="AN354" t="n">
        <v>7</v>
      </c>
      <c r="AO354" t="n">
        <v>8</v>
      </c>
      <c r="AP354" t="inlineStr">
        <is>
          <t>No</t>
        </is>
      </c>
      <c r="AQ354" t="inlineStr">
        <is>
          <t>No</t>
        </is>
      </c>
      <c r="AS354">
        <f>HYPERLINK("https://creighton-primo.hosted.exlibrisgroup.com/primo-explore/search?tab=default_tab&amp;search_scope=EVERYTHING&amp;vid=01CRU&amp;lang=en_US&amp;offset=0&amp;query=any,contains,991002725639702656","Catalog Record")</f>
        <v/>
      </c>
      <c r="AT354">
        <f>HYPERLINK("http://www.worldcat.org/oclc/35750460","WorldCat Record")</f>
        <v/>
      </c>
      <c r="AU354" t="inlineStr">
        <is>
          <t>35905127:eng</t>
        </is>
      </c>
      <c r="AV354" t="inlineStr">
        <is>
          <t>35750460</t>
        </is>
      </c>
      <c r="AW354" t="inlineStr">
        <is>
          <t>991002725639702656</t>
        </is>
      </c>
      <c r="AX354" t="inlineStr">
        <is>
          <t>991002725639702656</t>
        </is>
      </c>
      <c r="AY354" t="inlineStr">
        <is>
          <t>2266962030002656</t>
        </is>
      </c>
      <c r="AZ354" t="inlineStr">
        <is>
          <t>BOOK</t>
        </is>
      </c>
      <c r="BB354" t="inlineStr">
        <is>
          <t>9780815766391</t>
        </is>
      </c>
      <c r="BC354" t="inlineStr">
        <is>
          <t>32285002476314</t>
        </is>
      </c>
      <c r="BD354" t="inlineStr">
        <is>
          <t>893530374</t>
        </is>
      </c>
    </row>
    <row r="355">
      <c r="A355" t="inlineStr">
        <is>
          <t>No</t>
        </is>
      </c>
      <c r="B355" t="inlineStr">
        <is>
          <t>HT351 .F575 1987</t>
        </is>
      </c>
      <c r="C355" t="inlineStr">
        <is>
          <t>0                      HT 0351000F  575         1987</t>
        </is>
      </c>
      <c r="D355" t="inlineStr">
        <is>
          <t>Bourgeois utopias : the rise and fall of suburbia / Robert Fishman.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Fishman, Robert, 1946-</t>
        </is>
      </c>
      <c r="L355" t="inlineStr">
        <is>
          <t>New York : Basic Books, c1987.</t>
        </is>
      </c>
      <c r="M355" t="inlineStr">
        <is>
          <t>1987</t>
        </is>
      </c>
      <c r="O355" t="inlineStr">
        <is>
          <t>eng</t>
        </is>
      </c>
      <c r="P355" t="inlineStr">
        <is>
          <t>nyu</t>
        </is>
      </c>
      <c r="R355" t="inlineStr">
        <is>
          <t xml:space="preserve">HT </t>
        </is>
      </c>
      <c r="S355" t="n">
        <v>6</v>
      </c>
      <c r="T355" t="n">
        <v>6</v>
      </c>
      <c r="U355" t="inlineStr">
        <is>
          <t>2009-01-06</t>
        </is>
      </c>
      <c r="V355" t="inlineStr">
        <is>
          <t>2009-01-06</t>
        </is>
      </c>
      <c r="W355" t="inlineStr">
        <is>
          <t>1993-05-07</t>
        </is>
      </c>
      <c r="X355" t="inlineStr">
        <is>
          <t>1993-05-07</t>
        </is>
      </c>
      <c r="Y355" t="n">
        <v>924</v>
      </c>
      <c r="Z355" t="n">
        <v>750</v>
      </c>
      <c r="AA355" t="n">
        <v>816</v>
      </c>
      <c r="AB355" t="n">
        <v>4</v>
      </c>
      <c r="AC355" t="n">
        <v>5</v>
      </c>
      <c r="AD355" t="n">
        <v>38</v>
      </c>
      <c r="AE355" t="n">
        <v>42</v>
      </c>
      <c r="AF355" t="n">
        <v>14</v>
      </c>
      <c r="AG355" t="n">
        <v>14</v>
      </c>
      <c r="AH355" t="n">
        <v>8</v>
      </c>
      <c r="AI355" t="n">
        <v>10</v>
      </c>
      <c r="AJ355" t="n">
        <v>20</v>
      </c>
      <c r="AK355" t="n">
        <v>21</v>
      </c>
      <c r="AL355" t="n">
        <v>3</v>
      </c>
      <c r="AM355" t="n">
        <v>4</v>
      </c>
      <c r="AN355" t="n">
        <v>3</v>
      </c>
      <c r="AO355" t="n">
        <v>4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HYPERLINK("https://creighton-primo.hosted.exlibrisgroup.com/primo-explore/search?tab=default_tab&amp;search_scope=EVERYTHING&amp;vid=01CRU&amp;lang=en_US&amp;offset=0&amp;query=any,contains,991001081879702656","Catalog Record")</f>
        <v/>
      </c>
      <c r="AT355">
        <f>HYPERLINK("http://www.worldcat.org/oclc/16089315","WorldCat Record")</f>
        <v/>
      </c>
      <c r="AU355" t="inlineStr">
        <is>
          <t>364325179:eng</t>
        </is>
      </c>
      <c r="AV355" t="inlineStr">
        <is>
          <t>16089315</t>
        </is>
      </c>
      <c r="AW355" t="inlineStr">
        <is>
          <t>991001081879702656</t>
        </is>
      </c>
      <c r="AX355" t="inlineStr">
        <is>
          <t>991001081879702656</t>
        </is>
      </c>
      <c r="AY355" t="inlineStr">
        <is>
          <t>2256517830002656</t>
        </is>
      </c>
      <c r="AZ355" t="inlineStr">
        <is>
          <t>BOOK</t>
        </is>
      </c>
      <c r="BB355" t="inlineStr">
        <is>
          <t>9780465007486</t>
        </is>
      </c>
      <c r="BC355" t="inlineStr">
        <is>
          <t>32285001673960</t>
        </is>
      </c>
      <c r="BD355" t="inlineStr">
        <is>
          <t>893797271</t>
        </is>
      </c>
    </row>
    <row r="356">
      <c r="A356" t="inlineStr">
        <is>
          <t>No</t>
        </is>
      </c>
      <c r="B356" t="inlineStr">
        <is>
          <t>HT351 .S84 1988</t>
        </is>
      </c>
      <c r="C356" t="inlineStr">
        <is>
          <t>0                      HT 0351000S  84          1988</t>
        </is>
      </c>
      <c r="D356" t="inlineStr">
        <is>
          <t>Borderland : origins of the American suburb, 1820-1939 / John R. Stilgoe.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K356" t="inlineStr">
        <is>
          <t>Stilgoe, John R., 1949-</t>
        </is>
      </c>
      <c r="L356" t="inlineStr">
        <is>
          <t>New Haven : Yale University Press, c1988.</t>
        </is>
      </c>
      <c r="M356" t="inlineStr">
        <is>
          <t>1988</t>
        </is>
      </c>
      <c r="O356" t="inlineStr">
        <is>
          <t>eng</t>
        </is>
      </c>
      <c r="P356" t="inlineStr">
        <is>
          <t>ctu</t>
        </is>
      </c>
      <c r="R356" t="inlineStr">
        <is>
          <t xml:space="preserve">HT </t>
        </is>
      </c>
      <c r="S356" t="n">
        <v>4</v>
      </c>
      <c r="T356" t="n">
        <v>4</v>
      </c>
      <c r="U356" t="inlineStr">
        <is>
          <t>2008-10-26</t>
        </is>
      </c>
      <c r="V356" t="inlineStr">
        <is>
          <t>2008-10-26</t>
        </is>
      </c>
      <c r="W356" t="inlineStr">
        <is>
          <t>1993-05-07</t>
        </is>
      </c>
      <c r="X356" t="inlineStr">
        <is>
          <t>1993-05-07</t>
        </is>
      </c>
      <c r="Y356" t="n">
        <v>1092</v>
      </c>
      <c r="Z356" t="n">
        <v>930</v>
      </c>
      <c r="AA356" t="n">
        <v>932</v>
      </c>
      <c r="AB356" t="n">
        <v>5</v>
      </c>
      <c r="AC356" t="n">
        <v>5</v>
      </c>
      <c r="AD356" t="n">
        <v>37</v>
      </c>
      <c r="AE356" t="n">
        <v>37</v>
      </c>
      <c r="AF356" t="n">
        <v>15</v>
      </c>
      <c r="AG356" t="n">
        <v>15</v>
      </c>
      <c r="AH356" t="n">
        <v>9</v>
      </c>
      <c r="AI356" t="n">
        <v>9</v>
      </c>
      <c r="AJ356" t="n">
        <v>17</v>
      </c>
      <c r="AK356" t="n">
        <v>17</v>
      </c>
      <c r="AL356" t="n">
        <v>4</v>
      </c>
      <c r="AM356" t="n">
        <v>4</v>
      </c>
      <c r="AN356" t="n">
        <v>1</v>
      </c>
      <c r="AO356" t="n">
        <v>1</v>
      </c>
      <c r="AP356" t="inlineStr">
        <is>
          <t>No</t>
        </is>
      </c>
      <c r="AQ356" t="inlineStr">
        <is>
          <t>No</t>
        </is>
      </c>
      <c r="AS356">
        <f>HYPERLINK("https://creighton-primo.hosted.exlibrisgroup.com/primo-explore/search?tab=default_tab&amp;search_scope=EVERYTHING&amp;vid=01CRU&amp;lang=en_US&amp;offset=0&amp;query=any,contains,991001272539702656","Catalog Record")</f>
        <v/>
      </c>
      <c r="AT356">
        <f>HYPERLINK("http://www.worldcat.org/oclc/17842021","WorldCat Record")</f>
        <v/>
      </c>
      <c r="AU356" t="inlineStr">
        <is>
          <t>16990011:eng</t>
        </is>
      </c>
      <c r="AV356" t="inlineStr">
        <is>
          <t>17842021</t>
        </is>
      </c>
      <c r="AW356" t="inlineStr">
        <is>
          <t>991001272539702656</t>
        </is>
      </c>
      <c r="AX356" t="inlineStr">
        <is>
          <t>991001272539702656</t>
        </is>
      </c>
      <c r="AY356" t="inlineStr">
        <is>
          <t>2260561380002656</t>
        </is>
      </c>
      <c r="AZ356" t="inlineStr">
        <is>
          <t>BOOK</t>
        </is>
      </c>
      <c r="BB356" t="inlineStr">
        <is>
          <t>9780300042573</t>
        </is>
      </c>
      <c r="BC356" t="inlineStr">
        <is>
          <t>32285001673994</t>
        </is>
      </c>
      <c r="BD356" t="inlineStr">
        <is>
          <t>893496968</t>
        </is>
      </c>
    </row>
    <row r="357">
      <c r="A357" t="inlineStr">
        <is>
          <t>No</t>
        </is>
      </c>
      <c r="B357" t="inlineStr">
        <is>
          <t>HT351 .W6</t>
        </is>
      </c>
      <c r="C357" t="inlineStr">
        <is>
          <t>0                      HT 0351000W  6</t>
        </is>
      </c>
      <c r="D357" t="inlineStr">
        <is>
          <t>Suburbia : its people and their politics / by Robert C. Wood.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Wood, Robert Coldwell, 1923-2005.</t>
        </is>
      </c>
      <c r="L357" t="inlineStr">
        <is>
          <t>Boston : Houghton Mifflin, c1958.</t>
        </is>
      </c>
      <c r="M357" t="inlineStr">
        <is>
          <t>1958</t>
        </is>
      </c>
      <c r="O357" t="inlineStr">
        <is>
          <t>eng</t>
        </is>
      </c>
      <c r="P357" t="inlineStr">
        <is>
          <t>mau</t>
        </is>
      </c>
      <c r="R357" t="inlineStr">
        <is>
          <t xml:space="preserve">HT </t>
        </is>
      </c>
      <c r="S357" t="n">
        <v>4</v>
      </c>
      <c r="T357" t="n">
        <v>4</v>
      </c>
      <c r="U357" t="inlineStr">
        <is>
          <t>2008-10-26</t>
        </is>
      </c>
      <c r="V357" t="inlineStr">
        <is>
          <t>2008-10-26</t>
        </is>
      </c>
      <c r="W357" t="inlineStr">
        <is>
          <t>1992-04-01</t>
        </is>
      </c>
      <c r="X357" t="inlineStr">
        <is>
          <t>1992-04-01</t>
        </is>
      </c>
      <c r="Y357" t="n">
        <v>378</v>
      </c>
      <c r="Z357" t="n">
        <v>294</v>
      </c>
      <c r="AA357" t="n">
        <v>954</v>
      </c>
      <c r="AB357" t="n">
        <v>2</v>
      </c>
      <c r="AC357" t="n">
        <v>4</v>
      </c>
      <c r="AD357" t="n">
        <v>17</v>
      </c>
      <c r="AE357" t="n">
        <v>43</v>
      </c>
      <c r="AF357" t="n">
        <v>9</v>
      </c>
      <c r="AG357" t="n">
        <v>19</v>
      </c>
      <c r="AH357" t="n">
        <v>1</v>
      </c>
      <c r="AI357" t="n">
        <v>7</v>
      </c>
      <c r="AJ357" t="n">
        <v>8</v>
      </c>
      <c r="AK357" t="n">
        <v>21</v>
      </c>
      <c r="AL357" t="n">
        <v>1</v>
      </c>
      <c r="AM357" t="n">
        <v>3</v>
      </c>
      <c r="AN357" t="n">
        <v>0</v>
      </c>
      <c r="AO357" t="n">
        <v>3</v>
      </c>
      <c r="AP357" t="inlineStr">
        <is>
          <t>No</t>
        </is>
      </c>
      <c r="AQ357" t="inlineStr">
        <is>
          <t>Yes</t>
        </is>
      </c>
      <c r="AR357">
        <f>HYPERLINK("http://catalog.hathitrust.org/Record/003311040","HathiTrust Record")</f>
        <v/>
      </c>
      <c r="AS357">
        <f>HYPERLINK("https://creighton-primo.hosted.exlibrisgroup.com/primo-explore/search?tab=default_tab&amp;search_scope=EVERYTHING&amp;vid=01CRU&amp;lang=en_US&amp;offset=0&amp;query=any,contains,991005039019702656","Catalog Record")</f>
        <v/>
      </c>
      <c r="AT357">
        <f>HYPERLINK("http://www.worldcat.org/oclc/6783046","WorldCat Record")</f>
        <v/>
      </c>
      <c r="AU357" t="inlineStr">
        <is>
          <t>24297567:eng</t>
        </is>
      </c>
      <c r="AV357" t="inlineStr">
        <is>
          <t>6783046</t>
        </is>
      </c>
      <c r="AW357" t="inlineStr">
        <is>
          <t>991005039019702656</t>
        </is>
      </c>
      <c r="AX357" t="inlineStr">
        <is>
          <t>991005039019702656</t>
        </is>
      </c>
      <c r="AY357" t="inlineStr">
        <is>
          <t>2259623330002656</t>
        </is>
      </c>
      <c r="AZ357" t="inlineStr">
        <is>
          <t>BOOK</t>
        </is>
      </c>
      <c r="BC357" t="inlineStr">
        <is>
          <t>32285001050672</t>
        </is>
      </c>
      <c r="BD357" t="inlineStr">
        <is>
          <t>893895776</t>
        </is>
      </c>
    </row>
    <row r="358">
      <c r="A358" t="inlineStr">
        <is>
          <t>No</t>
        </is>
      </c>
      <c r="B358" t="inlineStr">
        <is>
          <t>HT352.U6 L39 2001</t>
        </is>
      </c>
      <c r="C358" t="inlineStr">
        <is>
          <t>0                      HT 0352000U  6                  L  39          2001</t>
        </is>
      </c>
      <c r="D358" t="inlineStr">
        <is>
          <t>America's undeclared war : what's killing our cities and how to stop it / Daniel Lazare.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K358" t="inlineStr">
        <is>
          <t>Lazare, Daniel.</t>
        </is>
      </c>
      <c r="L358" t="inlineStr">
        <is>
          <t>New York : Harcourt, c2001.</t>
        </is>
      </c>
      <c r="M358" t="inlineStr">
        <is>
          <t>2001</t>
        </is>
      </c>
      <c r="N358" t="inlineStr">
        <is>
          <t>1st ed.</t>
        </is>
      </c>
      <c r="O358" t="inlineStr">
        <is>
          <t>eng</t>
        </is>
      </c>
      <c r="P358" t="inlineStr">
        <is>
          <t>nyu</t>
        </is>
      </c>
      <c r="R358" t="inlineStr">
        <is>
          <t xml:space="preserve">HT </t>
        </is>
      </c>
      <c r="S358" t="n">
        <v>8</v>
      </c>
      <c r="T358" t="n">
        <v>8</v>
      </c>
      <c r="U358" t="inlineStr">
        <is>
          <t>2006-02-27</t>
        </is>
      </c>
      <c r="V358" t="inlineStr">
        <is>
          <t>2006-02-27</t>
        </is>
      </c>
      <c r="W358" t="inlineStr">
        <is>
          <t>2001-04-25</t>
        </is>
      </c>
      <c r="X358" t="inlineStr">
        <is>
          <t>2001-04-25</t>
        </is>
      </c>
      <c r="Y358" t="n">
        <v>712</v>
      </c>
      <c r="Z358" t="n">
        <v>671</v>
      </c>
      <c r="AA358" t="n">
        <v>705</v>
      </c>
      <c r="AB358" t="n">
        <v>8</v>
      </c>
      <c r="AC358" t="n">
        <v>8</v>
      </c>
      <c r="AD358" t="n">
        <v>30</v>
      </c>
      <c r="AE358" t="n">
        <v>31</v>
      </c>
      <c r="AF358" t="n">
        <v>13</v>
      </c>
      <c r="AG358" t="n">
        <v>13</v>
      </c>
      <c r="AH358" t="n">
        <v>7</v>
      </c>
      <c r="AI358" t="n">
        <v>7</v>
      </c>
      <c r="AJ358" t="n">
        <v>12</v>
      </c>
      <c r="AK358" t="n">
        <v>13</v>
      </c>
      <c r="AL358" t="n">
        <v>6</v>
      </c>
      <c r="AM358" t="n">
        <v>6</v>
      </c>
      <c r="AN358" t="n">
        <v>0</v>
      </c>
      <c r="AO358" t="n">
        <v>0</v>
      </c>
      <c r="AP358" t="inlineStr">
        <is>
          <t>No</t>
        </is>
      </c>
      <c r="AQ358" t="inlineStr">
        <is>
          <t>Yes</t>
        </is>
      </c>
      <c r="AR358">
        <f>HYPERLINK("http://catalog.hathitrust.org/Record/004167848","HathiTrust Record")</f>
        <v/>
      </c>
      <c r="AS358">
        <f>HYPERLINK("https://creighton-primo.hosted.exlibrisgroup.com/primo-explore/search?tab=default_tab&amp;search_scope=EVERYTHING&amp;vid=01CRU&amp;lang=en_US&amp;offset=0&amp;query=any,contains,991003491599702656","Catalog Record")</f>
        <v/>
      </c>
      <c r="AT358">
        <f>HYPERLINK("http://www.worldcat.org/oclc/45137656","WorldCat Record")</f>
        <v/>
      </c>
      <c r="AU358" t="inlineStr">
        <is>
          <t>199042697:eng</t>
        </is>
      </c>
      <c r="AV358" t="inlineStr">
        <is>
          <t>45137656</t>
        </is>
      </c>
      <c r="AW358" t="inlineStr">
        <is>
          <t>991003491599702656</t>
        </is>
      </c>
      <c r="AX358" t="inlineStr">
        <is>
          <t>991003491599702656</t>
        </is>
      </c>
      <c r="AY358" t="inlineStr">
        <is>
          <t>2255829220002656</t>
        </is>
      </c>
      <c r="AZ358" t="inlineStr">
        <is>
          <t>BOOK</t>
        </is>
      </c>
      <c r="BB358" t="inlineStr">
        <is>
          <t>9780151005529</t>
        </is>
      </c>
      <c r="BC358" t="inlineStr">
        <is>
          <t>32285004314901</t>
        </is>
      </c>
      <c r="BD358" t="inlineStr">
        <is>
          <t>893787378</t>
        </is>
      </c>
    </row>
    <row r="359">
      <c r="A359" t="inlineStr">
        <is>
          <t>No</t>
        </is>
      </c>
      <c r="B359" t="inlineStr">
        <is>
          <t>HT352.U6 T43 2008</t>
        </is>
      </c>
      <c r="C359" t="inlineStr">
        <is>
          <t>0                      HT 0352000U  6                  T  43          2008</t>
        </is>
      </c>
      <c r="D359" t="inlineStr">
        <is>
          <t>The American suburb : the basics / Jon C. Teaford.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K359" t="inlineStr">
        <is>
          <t>Teaford, Jon C.</t>
        </is>
      </c>
      <c r="L359" t="inlineStr">
        <is>
          <t>New York : Routledge, c2008.</t>
        </is>
      </c>
      <c r="M359" t="inlineStr">
        <is>
          <t>2008</t>
        </is>
      </c>
      <c r="O359" t="inlineStr">
        <is>
          <t>eng</t>
        </is>
      </c>
      <c r="P359" t="inlineStr">
        <is>
          <t>nyu</t>
        </is>
      </c>
      <c r="R359" t="inlineStr">
        <is>
          <t xml:space="preserve">HT </t>
        </is>
      </c>
      <c r="S359" t="n">
        <v>1</v>
      </c>
      <c r="T359" t="n">
        <v>1</v>
      </c>
      <c r="U359" t="inlineStr">
        <is>
          <t>2007-12-04</t>
        </is>
      </c>
      <c r="V359" t="inlineStr">
        <is>
          <t>2007-12-04</t>
        </is>
      </c>
      <c r="W359" t="inlineStr">
        <is>
          <t>2007-12-04</t>
        </is>
      </c>
      <c r="X359" t="inlineStr">
        <is>
          <t>2007-12-04</t>
        </is>
      </c>
      <c r="Y359" t="n">
        <v>350</v>
      </c>
      <c r="Z359" t="n">
        <v>288</v>
      </c>
      <c r="AA359" t="n">
        <v>307</v>
      </c>
      <c r="AB359" t="n">
        <v>3</v>
      </c>
      <c r="AC359" t="n">
        <v>3</v>
      </c>
      <c r="AD359" t="n">
        <v>9</v>
      </c>
      <c r="AE359" t="n">
        <v>9</v>
      </c>
      <c r="AF359" t="n">
        <v>3</v>
      </c>
      <c r="AG359" t="n">
        <v>3</v>
      </c>
      <c r="AH359" t="n">
        <v>3</v>
      </c>
      <c r="AI359" t="n">
        <v>3</v>
      </c>
      <c r="AJ359" t="n">
        <v>4</v>
      </c>
      <c r="AK359" t="n">
        <v>4</v>
      </c>
      <c r="AL359" t="n">
        <v>2</v>
      </c>
      <c r="AM359" t="n">
        <v>2</v>
      </c>
      <c r="AN359" t="n">
        <v>0</v>
      </c>
      <c r="AO359" t="n">
        <v>0</v>
      </c>
      <c r="AP359" t="inlineStr">
        <is>
          <t>No</t>
        </is>
      </c>
      <c r="AQ359" t="inlineStr">
        <is>
          <t>Yes</t>
        </is>
      </c>
      <c r="AR359">
        <f>HYPERLINK("http://catalog.hathitrust.org/Record/005583724","HathiTrust Record")</f>
        <v/>
      </c>
      <c r="AS359">
        <f>HYPERLINK("https://creighton-primo.hosted.exlibrisgroup.com/primo-explore/search?tab=default_tab&amp;search_scope=EVERYTHING&amp;vid=01CRU&amp;lang=en_US&amp;offset=0&amp;query=any,contains,991005144269702656","Catalog Record")</f>
        <v/>
      </c>
      <c r="AT359">
        <f>HYPERLINK("http://www.worldcat.org/oclc/76794700","WorldCat Record")</f>
        <v/>
      </c>
      <c r="AU359" t="inlineStr">
        <is>
          <t>197076750:eng</t>
        </is>
      </c>
      <c r="AV359" t="inlineStr">
        <is>
          <t>76794700</t>
        </is>
      </c>
      <c r="AW359" t="inlineStr">
        <is>
          <t>991005144269702656</t>
        </is>
      </c>
      <c r="AX359" t="inlineStr">
        <is>
          <t>991005144269702656</t>
        </is>
      </c>
      <c r="AY359" t="inlineStr">
        <is>
          <t>2257829780002656</t>
        </is>
      </c>
      <c r="AZ359" t="inlineStr">
        <is>
          <t>BOOK</t>
        </is>
      </c>
      <c r="BB359" t="inlineStr">
        <is>
          <t>9780415951647</t>
        </is>
      </c>
      <c r="BC359" t="inlineStr">
        <is>
          <t>32285005369565</t>
        </is>
      </c>
      <c r="BD359" t="inlineStr">
        <is>
          <t>893789511</t>
        </is>
      </c>
    </row>
    <row r="360">
      <c r="A360" t="inlineStr">
        <is>
          <t>No</t>
        </is>
      </c>
      <c r="B360" t="inlineStr">
        <is>
          <t>HT371 .A25</t>
        </is>
      </c>
      <c r="C360" t="inlineStr">
        <is>
          <t>0                      HT 0371000A  25</t>
        </is>
      </c>
      <c r="D360" t="inlineStr">
        <is>
          <t>The new urban America : growth and politics in sunbelt cities / Carl Abbott.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Abbott, Carl, 1944-</t>
        </is>
      </c>
      <c r="L360" t="inlineStr">
        <is>
          <t>Chapel Hill : University of North Carolina Press, c1981.</t>
        </is>
      </c>
      <c r="M360" t="inlineStr">
        <is>
          <t>1981</t>
        </is>
      </c>
      <c r="O360" t="inlineStr">
        <is>
          <t>eng</t>
        </is>
      </c>
      <c r="P360" t="inlineStr">
        <is>
          <t>ncu</t>
        </is>
      </c>
      <c r="R360" t="inlineStr">
        <is>
          <t xml:space="preserve">HT </t>
        </is>
      </c>
      <c r="S360" t="n">
        <v>2</v>
      </c>
      <c r="T360" t="n">
        <v>2</v>
      </c>
      <c r="U360" t="inlineStr">
        <is>
          <t>2001-09-24</t>
        </is>
      </c>
      <c r="V360" t="inlineStr">
        <is>
          <t>2001-09-24</t>
        </is>
      </c>
      <c r="W360" t="inlineStr">
        <is>
          <t>1993-05-07</t>
        </is>
      </c>
      <c r="X360" t="inlineStr">
        <is>
          <t>1993-05-07</t>
        </is>
      </c>
      <c r="Y360" t="n">
        <v>652</v>
      </c>
      <c r="Z360" t="n">
        <v>560</v>
      </c>
      <c r="AA360" t="n">
        <v>691</v>
      </c>
      <c r="AB360" t="n">
        <v>3</v>
      </c>
      <c r="AC360" t="n">
        <v>4</v>
      </c>
      <c r="AD360" t="n">
        <v>25</v>
      </c>
      <c r="AE360" t="n">
        <v>30</v>
      </c>
      <c r="AF360" t="n">
        <v>9</v>
      </c>
      <c r="AG360" t="n">
        <v>12</v>
      </c>
      <c r="AH360" t="n">
        <v>6</v>
      </c>
      <c r="AI360" t="n">
        <v>6</v>
      </c>
      <c r="AJ360" t="n">
        <v>14</v>
      </c>
      <c r="AK360" t="n">
        <v>18</v>
      </c>
      <c r="AL360" t="n">
        <v>2</v>
      </c>
      <c r="AM360" t="n">
        <v>3</v>
      </c>
      <c r="AN360" t="n">
        <v>1</v>
      </c>
      <c r="AO360" t="n">
        <v>1</v>
      </c>
      <c r="AP360" t="inlineStr">
        <is>
          <t>No</t>
        </is>
      </c>
      <c r="AQ360" t="inlineStr">
        <is>
          <t>No</t>
        </is>
      </c>
      <c r="AS360">
        <f>HYPERLINK("https://creighton-primo.hosted.exlibrisgroup.com/primo-explore/search?tab=default_tab&amp;search_scope=EVERYTHING&amp;vid=01CRU&amp;lang=en_US&amp;offset=0&amp;query=any,contains,991005039939702656","Catalog Record")</f>
        <v/>
      </c>
      <c r="AT360">
        <f>HYPERLINK("http://www.worldcat.org/oclc/6789491","WorldCat Record")</f>
        <v/>
      </c>
      <c r="AU360" t="inlineStr">
        <is>
          <t>465397:eng</t>
        </is>
      </c>
      <c r="AV360" t="inlineStr">
        <is>
          <t>6789491</t>
        </is>
      </c>
      <c r="AW360" t="inlineStr">
        <is>
          <t>991005039939702656</t>
        </is>
      </c>
      <c r="AX360" t="inlineStr">
        <is>
          <t>991005039939702656</t>
        </is>
      </c>
      <c r="AY360" t="inlineStr">
        <is>
          <t>2263928090002656</t>
        </is>
      </c>
      <c r="AZ360" t="inlineStr">
        <is>
          <t>BOOK</t>
        </is>
      </c>
      <c r="BB360" t="inlineStr">
        <is>
          <t>9780807814642</t>
        </is>
      </c>
      <c r="BC360" t="inlineStr">
        <is>
          <t>32285001674026</t>
        </is>
      </c>
      <c r="BD360" t="inlineStr">
        <is>
          <t>893782940</t>
        </is>
      </c>
    </row>
    <row r="361">
      <c r="A361" t="inlineStr">
        <is>
          <t>No</t>
        </is>
      </c>
      <c r="B361" t="inlineStr">
        <is>
          <t>HT371 .B72</t>
        </is>
      </c>
      <c r="C361" t="inlineStr">
        <is>
          <t>0                      HT 0371000B  72</t>
        </is>
      </c>
      <c r="D361" t="inlineStr">
        <is>
          <t>The city in newly developing countries: readings on urbanism and urbanization. Edited by Gerald Breese.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Breese, Gerald William compiler.</t>
        </is>
      </c>
      <c r="L361" t="inlineStr">
        <is>
          <t>Englewood Cliffs, N.J., Prentice-Hall [1969]</t>
        </is>
      </c>
      <c r="M361" t="inlineStr">
        <is>
          <t>1969</t>
        </is>
      </c>
      <c r="O361" t="inlineStr">
        <is>
          <t>eng</t>
        </is>
      </c>
      <c r="P361" t="inlineStr">
        <is>
          <t>nju</t>
        </is>
      </c>
      <c r="Q361" t="inlineStr">
        <is>
          <t>Modernization of traditional societies series</t>
        </is>
      </c>
      <c r="R361" t="inlineStr">
        <is>
          <t xml:space="preserve">HT </t>
        </is>
      </c>
      <c r="S361" t="n">
        <v>2</v>
      </c>
      <c r="T361" t="n">
        <v>2</v>
      </c>
      <c r="U361" t="inlineStr">
        <is>
          <t>1998-02-15</t>
        </is>
      </c>
      <c r="V361" t="inlineStr">
        <is>
          <t>1998-02-15</t>
        </is>
      </c>
      <c r="W361" t="inlineStr">
        <is>
          <t>1997-08-18</t>
        </is>
      </c>
      <c r="X361" t="inlineStr">
        <is>
          <t>1997-08-18</t>
        </is>
      </c>
      <c r="Y361" t="n">
        <v>738</v>
      </c>
      <c r="Z361" t="n">
        <v>504</v>
      </c>
      <c r="AA361" t="n">
        <v>513</v>
      </c>
      <c r="AB361" t="n">
        <v>3</v>
      </c>
      <c r="AC361" t="n">
        <v>3</v>
      </c>
      <c r="AD361" t="n">
        <v>21</v>
      </c>
      <c r="AE361" t="n">
        <v>21</v>
      </c>
      <c r="AF361" t="n">
        <v>7</v>
      </c>
      <c r="AG361" t="n">
        <v>7</v>
      </c>
      <c r="AH361" t="n">
        <v>5</v>
      </c>
      <c r="AI361" t="n">
        <v>5</v>
      </c>
      <c r="AJ361" t="n">
        <v>12</v>
      </c>
      <c r="AK361" t="n">
        <v>12</v>
      </c>
      <c r="AL361" t="n">
        <v>2</v>
      </c>
      <c r="AM361" t="n">
        <v>2</v>
      </c>
      <c r="AN361" t="n">
        <v>1</v>
      </c>
      <c r="AO361" t="n">
        <v>1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HYPERLINK("http://catalog.hathitrust.org/Record/001741656","HathiTrust Record")</f>
        <v/>
      </c>
      <c r="AS361">
        <f>HYPERLINK("https://creighton-primo.hosted.exlibrisgroup.com/primo-explore/search?tab=default_tab&amp;search_scope=EVERYTHING&amp;vid=01CRU&amp;lang=en_US&amp;offset=0&amp;query=any,contains,991005435899702656","Catalog Record")</f>
        <v/>
      </c>
      <c r="AT361">
        <f>HYPERLINK("http://www.worldcat.org/oclc/4026","WorldCat Record")</f>
        <v/>
      </c>
      <c r="AU361" t="inlineStr">
        <is>
          <t>795053513:eng</t>
        </is>
      </c>
      <c r="AV361" t="inlineStr">
        <is>
          <t>4026</t>
        </is>
      </c>
      <c r="AW361" t="inlineStr">
        <is>
          <t>991005435899702656</t>
        </is>
      </c>
      <c r="AX361" t="inlineStr">
        <is>
          <t>991005435899702656</t>
        </is>
      </c>
      <c r="AY361" t="inlineStr">
        <is>
          <t>2266249770002656</t>
        </is>
      </c>
      <c r="AZ361" t="inlineStr">
        <is>
          <t>BOOK</t>
        </is>
      </c>
      <c r="BC361" t="inlineStr">
        <is>
          <t>32285003147591</t>
        </is>
      </c>
      <c r="BD361" t="inlineStr">
        <is>
          <t>893890235</t>
        </is>
      </c>
    </row>
    <row r="362">
      <c r="A362" t="inlineStr">
        <is>
          <t>No</t>
        </is>
      </c>
      <c r="B362" t="inlineStr">
        <is>
          <t>HT371 .S43 1977</t>
        </is>
      </c>
      <c r="C362" t="inlineStr">
        <is>
          <t>0                      HT 0371000S  43          1977</t>
        </is>
      </c>
      <c r="D362" t="inlineStr">
        <is>
          <t>City growth in the United States, England, and Wales, 1820-1861 : the effects of location, size, and economic structure on inter-urban variations in demographic growth / John Burk Sharpless II.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K362" t="inlineStr">
        <is>
          <t>Sharpless, John Burk.</t>
        </is>
      </c>
      <c r="L362" t="inlineStr">
        <is>
          <t>New York : Arno Press, 1977, c1976.</t>
        </is>
      </c>
      <c r="M362" t="inlineStr">
        <is>
          <t>1977</t>
        </is>
      </c>
      <c r="O362" t="inlineStr">
        <is>
          <t>eng</t>
        </is>
      </c>
      <c r="P362" t="inlineStr">
        <is>
          <t>nyu</t>
        </is>
      </c>
      <c r="Q362" t="inlineStr">
        <is>
          <t>Dissertations in American economic history</t>
        </is>
      </c>
      <c r="R362" t="inlineStr">
        <is>
          <t xml:space="preserve">HT </t>
        </is>
      </c>
      <c r="S362" t="n">
        <v>4</v>
      </c>
      <c r="T362" t="n">
        <v>4</v>
      </c>
      <c r="U362" t="inlineStr">
        <is>
          <t>1997-02-06</t>
        </is>
      </c>
      <c r="V362" t="inlineStr">
        <is>
          <t>1997-02-06</t>
        </is>
      </c>
      <c r="W362" t="inlineStr">
        <is>
          <t>1993-05-07</t>
        </is>
      </c>
      <c r="X362" t="inlineStr">
        <is>
          <t>1993-05-07</t>
        </is>
      </c>
      <c r="Y362" t="n">
        <v>123</v>
      </c>
      <c r="Z362" t="n">
        <v>94</v>
      </c>
      <c r="AA362" t="n">
        <v>103</v>
      </c>
      <c r="AB362" t="n">
        <v>1</v>
      </c>
      <c r="AC362" t="n">
        <v>1</v>
      </c>
      <c r="AD362" t="n">
        <v>4</v>
      </c>
      <c r="AE362" t="n">
        <v>4</v>
      </c>
      <c r="AF362" t="n">
        <v>0</v>
      </c>
      <c r="AG362" t="n">
        <v>0</v>
      </c>
      <c r="AH362" t="n">
        <v>1</v>
      </c>
      <c r="AI362" t="n">
        <v>1</v>
      </c>
      <c r="AJ362" t="n">
        <v>3</v>
      </c>
      <c r="AK362" t="n">
        <v>3</v>
      </c>
      <c r="AL362" t="n">
        <v>0</v>
      </c>
      <c r="AM362" t="n">
        <v>0</v>
      </c>
      <c r="AN362" t="n">
        <v>0</v>
      </c>
      <c r="AO362" t="n">
        <v>0</v>
      </c>
      <c r="AP362" t="inlineStr">
        <is>
          <t>No</t>
        </is>
      </c>
      <c r="AQ362" t="inlineStr">
        <is>
          <t>No</t>
        </is>
      </c>
      <c r="AS362">
        <f>HYPERLINK("https://creighton-primo.hosted.exlibrisgroup.com/primo-explore/search?tab=default_tab&amp;search_scope=EVERYTHING&amp;vid=01CRU&amp;lang=en_US&amp;offset=0&amp;query=any,contains,991004190689702656","Catalog Record")</f>
        <v/>
      </c>
      <c r="AT362">
        <f>HYPERLINK("http://www.worldcat.org/oclc/2632542","WorldCat Record")</f>
        <v/>
      </c>
      <c r="AU362" t="inlineStr">
        <is>
          <t>195138904:eng</t>
        </is>
      </c>
      <c r="AV362" t="inlineStr">
        <is>
          <t>2632542</t>
        </is>
      </c>
      <c r="AW362" t="inlineStr">
        <is>
          <t>991004190689702656</t>
        </is>
      </c>
      <c r="AX362" t="inlineStr">
        <is>
          <t>991004190689702656</t>
        </is>
      </c>
      <c r="AY362" t="inlineStr">
        <is>
          <t>2271679970002656</t>
        </is>
      </c>
      <c r="AZ362" t="inlineStr">
        <is>
          <t>BOOK</t>
        </is>
      </c>
      <c r="BB362" t="inlineStr">
        <is>
          <t>9780405099267</t>
        </is>
      </c>
      <c r="BC362" t="inlineStr">
        <is>
          <t>32285001674042</t>
        </is>
      </c>
      <c r="BD362" t="inlineStr">
        <is>
          <t>893417346</t>
        </is>
      </c>
    </row>
    <row r="363">
      <c r="A363" t="inlineStr">
        <is>
          <t>No</t>
        </is>
      </c>
      <c r="B363" t="inlineStr">
        <is>
          <t>HT381 .W65 1999</t>
        </is>
      </c>
      <c r="C363" t="inlineStr">
        <is>
          <t>0                      HT 0381000W  65          1999</t>
        </is>
      </c>
      <c r="D363" t="inlineStr">
        <is>
          <t>Hot towns : the future of the fastest growing communities in America / Peter Wolf.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Wolf, Peter M.</t>
        </is>
      </c>
      <c r="L363" t="inlineStr">
        <is>
          <t>New Brunswick, N.J. : Rutgers University Press, c1999.</t>
        </is>
      </c>
      <c r="M363" t="inlineStr">
        <is>
          <t>1999</t>
        </is>
      </c>
      <c r="O363" t="inlineStr">
        <is>
          <t>eng</t>
        </is>
      </c>
      <c r="P363" t="inlineStr">
        <is>
          <t>nju</t>
        </is>
      </c>
      <c r="R363" t="inlineStr">
        <is>
          <t xml:space="preserve">HT </t>
        </is>
      </c>
      <c r="S363" t="n">
        <v>1</v>
      </c>
      <c r="T363" t="n">
        <v>1</v>
      </c>
      <c r="U363" t="inlineStr">
        <is>
          <t>2001-03-14</t>
        </is>
      </c>
      <c r="V363" t="inlineStr">
        <is>
          <t>2001-03-14</t>
        </is>
      </c>
      <c r="W363" t="inlineStr">
        <is>
          <t>2001-03-14</t>
        </is>
      </c>
      <c r="X363" t="inlineStr">
        <is>
          <t>2001-03-14</t>
        </is>
      </c>
      <c r="Y363" t="n">
        <v>500</v>
      </c>
      <c r="Z363" t="n">
        <v>445</v>
      </c>
      <c r="AA363" t="n">
        <v>455</v>
      </c>
      <c r="AB363" t="n">
        <v>4</v>
      </c>
      <c r="AC363" t="n">
        <v>4</v>
      </c>
      <c r="AD363" t="n">
        <v>21</v>
      </c>
      <c r="AE363" t="n">
        <v>22</v>
      </c>
      <c r="AF363" t="n">
        <v>7</v>
      </c>
      <c r="AG363" t="n">
        <v>8</v>
      </c>
      <c r="AH363" t="n">
        <v>5</v>
      </c>
      <c r="AI363" t="n">
        <v>5</v>
      </c>
      <c r="AJ363" t="n">
        <v>7</v>
      </c>
      <c r="AK363" t="n">
        <v>7</v>
      </c>
      <c r="AL363" t="n">
        <v>3</v>
      </c>
      <c r="AM363" t="n">
        <v>3</v>
      </c>
      <c r="AN363" t="n">
        <v>2</v>
      </c>
      <c r="AO363" t="n">
        <v>2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HYPERLINK("https://creighton-primo.hosted.exlibrisgroup.com/primo-explore/search?tab=default_tab&amp;search_scope=EVERYTHING&amp;vid=01CRU&amp;lang=en_US&amp;offset=0&amp;query=any,contains,991003480009702656","Catalog Record")</f>
        <v/>
      </c>
      <c r="AT363">
        <f>HYPERLINK("http://www.worldcat.org/oclc/40610586","WorldCat Record")</f>
        <v/>
      </c>
      <c r="AU363" t="inlineStr">
        <is>
          <t>23694441:eng</t>
        </is>
      </c>
      <c r="AV363" t="inlineStr">
        <is>
          <t>40610586</t>
        </is>
      </c>
      <c r="AW363" t="inlineStr">
        <is>
          <t>991003480009702656</t>
        </is>
      </c>
      <c r="AX363" t="inlineStr">
        <is>
          <t>991003480009702656</t>
        </is>
      </c>
      <c r="AY363" t="inlineStr">
        <is>
          <t>2267776160002656</t>
        </is>
      </c>
      <c r="AZ363" t="inlineStr">
        <is>
          <t>BOOK</t>
        </is>
      </c>
      <c r="BB363" t="inlineStr">
        <is>
          <t>9780813526966</t>
        </is>
      </c>
      <c r="BC363" t="inlineStr">
        <is>
          <t>32285004305438</t>
        </is>
      </c>
      <c r="BD363" t="inlineStr">
        <is>
          <t>893342591</t>
        </is>
      </c>
    </row>
    <row r="364">
      <c r="A364" t="inlineStr">
        <is>
          <t>No</t>
        </is>
      </c>
      <c r="B364" t="inlineStr">
        <is>
          <t>HT384.C37 U695 1997</t>
        </is>
      </c>
      <c r="C364" t="inlineStr">
        <is>
          <t>0                      HT 0384000C  37                 U  695         1997</t>
        </is>
      </c>
      <c r="D364" t="inlineStr">
        <is>
          <t>The Urban Caribbean : transition to the new global economy / edited by Alejandro Portes, Carlos Dore-Cabral, and Patricia Landolt.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L364" t="inlineStr">
        <is>
          <t>Baltimore, Md. : Johns Hopkins University, [1997]</t>
        </is>
      </c>
      <c r="M364" t="inlineStr">
        <is>
          <t>1997</t>
        </is>
      </c>
      <c r="O364" t="inlineStr">
        <is>
          <t>eng</t>
        </is>
      </c>
      <c r="P364" t="inlineStr">
        <is>
          <t>mdu</t>
        </is>
      </c>
      <c r="R364" t="inlineStr">
        <is>
          <t xml:space="preserve">HT </t>
        </is>
      </c>
      <c r="S364" t="n">
        <v>4</v>
      </c>
      <c r="T364" t="n">
        <v>4</v>
      </c>
      <c r="U364" t="inlineStr">
        <is>
          <t>2008-12-12</t>
        </is>
      </c>
      <c r="V364" t="inlineStr">
        <is>
          <t>2008-12-12</t>
        </is>
      </c>
      <c r="W364" t="inlineStr">
        <is>
          <t>1997-07-22</t>
        </is>
      </c>
      <c r="X364" t="inlineStr">
        <is>
          <t>1997-07-22</t>
        </is>
      </c>
      <c r="Y364" t="n">
        <v>398</v>
      </c>
      <c r="Z364" t="n">
        <v>323</v>
      </c>
      <c r="AA364" t="n">
        <v>330</v>
      </c>
      <c r="AB364" t="n">
        <v>3</v>
      </c>
      <c r="AC364" t="n">
        <v>3</v>
      </c>
      <c r="AD364" t="n">
        <v>16</v>
      </c>
      <c r="AE364" t="n">
        <v>16</v>
      </c>
      <c r="AF364" t="n">
        <v>5</v>
      </c>
      <c r="AG364" t="n">
        <v>5</v>
      </c>
      <c r="AH364" t="n">
        <v>4</v>
      </c>
      <c r="AI364" t="n">
        <v>4</v>
      </c>
      <c r="AJ364" t="n">
        <v>9</v>
      </c>
      <c r="AK364" t="n">
        <v>9</v>
      </c>
      <c r="AL364" t="n">
        <v>2</v>
      </c>
      <c r="AM364" t="n">
        <v>2</v>
      </c>
      <c r="AN364" t="n">
        <v>0</v>
      </c>
      <c r="AO364" t="n">
        <v>0</v>
      </c>
      <c r="AP364" t="inlineStr">
        <is>
          <t>No</t>
        </is>
      </c>
      <c r="AQ364" t="inlineStr">
        <is>
          <t>Yes</t>
        </is>
      </c>
      <c r="AR364">
        <f>HYPERLINK("http://catalog.hathitrust.org/Record/003172307","HathiTrust Record")</f>
        <v/>
      </c>
      <c r="AS364">
        <f>HYPERLINK("https://creighton-primo.hosted.exlibrisgroup.com/primo-explore/search?tab=default_tab&amp;search_scope=EVERYTHING&amp;vid=01CRU&amp;lang=en_US&amp;offset=0&amp;query=any,contains,991002709579702656","Catalog Record")</f>
        <v/>
      </c>
      <c r="AT364">
        <f>HYPERLINK("http://www.worldcat.org/oclc/35521534","WorldCat Record")</f>
        <v/>
      </c>
      <c r="AU364" t="inlineStr">
        <is>
          <t>837012190:eng</t>
        </is>
      </c>
      <c r="AV364" t="inlineStr">
        <is>
          <t>35521534</t>
        </is>
      </c>
      <c r="AW364" t="inlineStr">
        <is>
          <t>991002709579702656</t>
        </is>
      </c>
      <c r="AX364" t="inlineStr">
        <is>
          <t>991002709579702656</t>
        </is>
      </c>
      <c r="AY364" t="inlineStr">
        <is>
          <t>2256782990002656</t>
        </is>
      </c>
      <c r="AZ364" t="inlineStr">
        <is>
          <t>BOOK</t>
        </is>
      </c>
      <c r="BB364" t="inlineStr">
        <is>
          <t>9780801855177</t>
        </is>
      </c>
      <c r="BC364" t="inlineStr">
        <is>
          <t>32285002883832</t>
        </is>
      </c>
      <c r="BD364" t="inlineStr">
        <is>
          <t>893323277</t>
        </is>
      </c>
    </row>
    <row r="365">
      <c r="A365" t="inlineStr">
        <is>
          <t>No</t>
        </is>
      </c>
      <c r="B365" t="inlineStr">
        <is>
          <t>HT384.G7 F54 2003</t>
        </is>
      </c>
      <c r="C365" t="inlineStr">
        <is>
          <t>0                      HT 0384000G  7                  F  54          2003</t>
        </is>
      </c>
      <c r="D365" t="inlineStr">
        <is>
          <t>Flee to the fields : the founding papers of the Catholic land movement / by John McQuillan ... [et al.] ; with a preface by Hilaire Belloc.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L365" t="inlineStr">
        <is>
          <t>Norfolk, VA : IHS Press, 2003.</t>
        </is>
      </c>
      <c r="M365" t="inlineStr">
        <is>
          <t>2003</t>
        </is>
      </c>
      <c r="O365" t="inlineStr">
        <is>
          <t>eng</t>
        </is>
      </c>
      <c r="P365" t="inlineStr">
        <is>
          <t>vau</t>
        </is>
      </c>
      <c r="R365" t="inlineStr">
        <is>
          <t xml:space="preserve">HT </t>
        </is>
      </c>
      <c r="S365" t="n">
        <v>1</v>
      </c>
      <c r="T365" t="n">
        <v>1</v>
      </c>
      <c r="U365" t="inlineStr">
        <is>
          <t>2010-12-13</t>
        </is>
      </c>
      <c r="V365" t="inlineStr">
        <is>
          <t>2010-12-13</t>
        </is>
      </c>
      <c r="W365" t="inlineStr">
        <is>
          <t>2003-11-17</t>
        </is>
      </c>
      <c r="X365" t="inlineStr">
        <is>
          <t>2003-11-17</t>
        </is>
      </c>
      <c r="Y365" t="n">
        <v>57</v>
      </c>
      <c r="Z365" t="n">
        <v>49</v>
      </c>
      <c r="AA365" t="n">
        <v>435</v>
      </c>
      <c r="AB365" t="n">
        <v>2</v>
      </c>
      <c r="AC365" t="n">
        <v>4</v>
      </c>
      <c r="AD365" t="n">
        <v>5</v>
      </c>
      <c r="AE365" t="n">
        <v>8</v>
      </c>
      <c r="AF365" t="n">
        <v>3</v>
      </c>
      <c r="AG365" t="n">
        <v>4</v>
      </c>
      <c r="AH365" t="n">
        <v>2</v>
      </c>
      <c r="AI365" t="n">
        <v>2</v>
      </c>
      <c r="AJ365" t="n">
        <v>2</v>
      </c>
      <c r="AK365" t="n">
        <v>3</v>
      </c>
      <c r="AL365" t="n">
        <v>0</v>
      </c>
      <c r="AM365" t="n">
        <v>2</v>
      </c>
      <c r="AN365" t="n">
        <v>0</v>
      </c>
      <c r="AO365" t="n">
        <v>0</v>
      </c>
      <c r="AP365" t="inlineStr">
        <is>
          <t>No</t>
        </is>
      </c>
      <c r="AQ365" t="inlineStr">
        <is>
          <t>Yes</t>
        </is>
      </c>
      <c r="AR365">
        <f>HYPERLINK("http://catalog.hathitrust.org/Record/004354387","HathiTrust Record")</f>
        <v/>
      </c>
      <c r="AS365">
        <f>HYPERLINK("https://creighton-primo.hosted.exlibrisgroup.com/primo-explore/search?tab=default_tab&amp;search_scope=EVERYTHING&amp;vid=01CRU&amp;lang=en_US&amp;offset=0&amp;query=any,contains,991004173429702656","Catalog Record")</f>
        <v/>
      </c>
      <c r="AT365">
        <f>HYPERLINK("http://www.worldcat.org/oclc/51306226","WorldCat Record")</f>
        <v/>
      </c>
      <c r="AU365" t="inlineStr">
        <is>
          <t>794203113:eng</t>
        </is>
      </c>
      <c r="AV365" t="inlineStr">
        <is>
          <t>51306226</t>
        </is>
      </c>
      <c r="AW365" t="inlineStr">
        <is>
          <t>991004173429702656</t>
        </is>
      </c>
      <c r="AX365" t="inlineStr">
        <is>
          <t>991004173429702656</t>
        </is>
      </c>
      <c r="AY365" t="inlineStr">
        <is>
          <t>2270538010002656</t>
        </is>
      </c>
      <c r="AZ365" t="inlineStr">
        <is>
          <t>BOOK</t>
        </is>
      </c>
      <c r="BB365" t="inlineStr">
        <is>
          <t>9780971828605</t>
        </is>
      </c>
      <c r="BC365" t="inlineStr">
        <is>
          <t>32285004798236</t>
        </is>
      </c>
      <c r="BD365" t="inlineStr">
        <is>
          <t>893618342</t>
        </is>
      </c>
    </row>
    <row r="366">
      <c r="A366" t="inlineStr">
        <is>
          <t>No</t>
        </is>
      </c>
      <c r="B366" t="inlineStr">
        <is>
          <t>HT384.L29 G54 1994</t>
        </is>
      </c>
      <c r="C366" t="inlineStr">
        <is>
          <t>0                      HT 0384000L  29                 G  54          1994</t>
        </is>
      </c>
      <c r="D366" t="inlineStr">
        <is>
          <t>The Latin American city / Alan Gilbert.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K366" t="inlineStr">
        <is>
          <t>Gilbert, Alan, 1944-</t>
        </is>
      </c>
      <c r="L366" t="inlineStr">
        <is>
          <t>London : LAB ; New York, NY : Distribution in North America by Monthly Review Press, 1994.</t>
        </is>
      </c>
      <c r="M366" t="inlineStr">
        <is>
          <t>1994</t>
        </is>
      </c>
      <c r="O366" t="inlineStr">
        <is>
          <t>eng</t>
        </is>
      </c>
      <c r="P366" t="inlineStr">
        <is>
          <t>enk</t>
        </is>
      </c>
      <c r="R366" t="inlineStr">
        <is>
          <t xml:space="preserve">HT </t>
        </is>
      </c>
      <c r="S366" t="n">
        <v>10</v>
      </c>
      <c r="T366" t="n">
        <v>10</v>
      </c>
      <c r="U366" t="inlineStr">
        <is>
          <t>2003-02-15</t>
        </is>
      </c>
      <c r="V366" t="inlineStr">
        <is>
          <t>2003-02-15</t>
        </is>
      </c>
      <c r="W366" t="inlineStr">
        <is>
          <t>1994-10-21</t>
        </is>
      </c>
      <c r="X366" t="inlineStr">
        <is>
          <t>1994-10-21</t>
        </is>
      </c>
      <c r="Y366" t="n">
        <v>339</v>
      </c>
      <c r="Z366" t="n">
        <v>222</v>
      </c>
      <c r="AA366" t="n">
        <v>351</v>
      </c>
      <c r="AB366" t="n">
        <v>2</v>
      </c>
      <c r="AC366" t="n">
        <v>2</v>
      </c>
      <c r="AD366" t="n">
        <v>13</v>
      </c>
      <c r="AE366" t="n">
        <v>25</v>
      </c>
      <c r="AF366" t="n">
        <v>4</v>
      </c>
      <c r="AG366" t="n">
        <v>12</v>
      </c>
      <c r="AH366" t="n">
        <v>5</v>
      </c>
      <c r="AI366" t="n">
        <v>7</v>
      </c>
      <c r="AJ366" t="n">
        <v>8</v>
      </c>
      <c r="AK366" t="n">
        <v>13</v>
      </c>
      <c r="AL366" t="n">
        <v>1</v>
      </c>
      <c r="AM366" t="n">
        <v>1</v>
      </c>
      <c r="AN366" t="n">
        <v>0</v>
      </c>
      <c r="AO366" t="n">
        <v>0</v>
      </c>
      <c r="AP366" t="inlineStr">
        <is>
          <t>No</t>
        </is>
      </c>
      <c r="AQ366" t="inlineStr">
        <is>
          <t>Yes</t>
        </is>
      </c>
      <c r="AR366">
        <f>HYPERLINK("http://catalog.hathitrust.org/Record/002856408","HathiTrust Record")</f>
        <v/>
      </c>
      <c r="AS366">
        <f>HYPERLINK("https://creighton-primo.hosted.exlibrisgroup.com/primo-explore/search?tab=default_tab&amp;search_scope=EVERYTHING&amp;vid=01CRU&amp;lang=en_US&amp;offset=0&amp;query=any,contains,991002293269702656","Catalog Record")</f>
        <v/>
      </c>
      <c r="AT366">
        <f>HYPERLINK("http://www.worldcat.org/oclc/29733572","WorldCat Record")</f>
        <v/>
      </c>
      <c r="AU366" t="inlineStr">
        <is>
          <t>32205361:eng</t>
        </is>
      </c>
      <c r="AV366" t="inlineStr">
        <is>
          <t>29733572</t>
        </is>
      </c>
      <c r="AW366" t="inlineStr">
        <is>
          <t>991002293269702656</t>
        </is>
      </c>
      <c r="AX366" t="inlineStr">
        <is>
          <t>991002293269702656</t>
        </is>
      </c>
      <c r="AY366" t="inlineStr">
        <is>
          <t>2269311960002656</t>
        </is>
      </c>
      <c r="AZ366" t="inlineStr">
        <is>
          <t>BOOK</t>
        </is>
      </c>
      <c r="BB366" t="inlineStr">
        <is>
          <t>9780906156827</t>
        </is>
      </c>
      <c r="BC366" t="inlineStr">
        <is>
          <t>32285001949972</t>
        </is>
      </c>
      <c r="BD366" t="inlineStr">
        <is>
          <t>893347330</t>
        </is>
      </c>
    </row>
    <row r="367">
      <c r="A367" t="inlineStr">
        <is>
          <t>No</t>
        </is>
      </c>
      <c r="B367" t="inlineStr">
        <is>
          <t>HT384.M62 M483 1994</t>
        </is>
      </c>
      <c r="C367" t="inlineStr">
        <is>
          <t>0                      HT 0384000M  62                 M  483         1994</t>
        </is>
      </c>
      <c r="D367" t="inlineStr">
        <is>
          <t>Urban leviathan : Mexico City in the twentieth century / Diane E. Davis.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Davis, Diane E., 1953-</t>
        </is>
      </c>
      <c r="L367" t="inlineStr">
        <is>
          <t>Philadelphia : Temple University Press, 1994.</t>
        </is>
      </c>
      <c r="M367" t="inlineStr">
        <is>
          <t>1994</t>
        </is>
      </c>
      <c r="O367" t="inlineStr">
        <is>
          <t>eng</t>
        </is>
      </c>
      <c r="P367" t="inlineStr">
        <is>
          <t>pau</t>
        </is>
      </c>
      <c r="R367" t="inlineStr">
        <is>
          <t xml:space="preserve">HT </t>
        </is>
      </c>
      <c r="S367" t="n">
        <v>11</v>
      </c>
      <c r="T367" t="n">
        <v>11</v>
      </c>
      <c r="U367" t="inlineStr">
        <is>
          <t>2001-11-18</t>
        </is>
      </c>
      <c r="V367" t="inlineStr">
        <is>
          <t>2001-11-18</t>
        </is>
      </c>
      <c r="W367" t="inlineStr">
        <is>
          <t>1996-02-09</t>
        </is>
      </c>
      <c r="X367" t="inlineStr">
        <is>
          <t>1996-02-09</t>
        </is>
      </c>
      <c r="Y367" t="n">
        <v>562</v>
      </c>
      <c r="Z367" t="n">
        <v>481</v>
      </c>
      <c r="AA367" t="n">
        <v>667</v>
      </c>
      <c r="AB367" t="n">
        <v>2</v>
      </c>
      <c r="AC367" t="n">
        <v>3</v>
      </c>
      <c r="AD367" t="n">
        <v>22</v>
      </c>
      <c r="AE367" t="n">
        <v>30</v>
      </c>
      <c r="AF367" t="n">
        <v>8</v>
      </c>
      <c r="AG367" t="n">
        <v>14</v>
      </c>
      <c r="AH367" t="n">
        <v>7</v>
      </c>
      <c r="AI367" t="n">
        <v>9</v>
      </c>
      <c r="AJ367" t="n">
        <v>15</v>
      </c>
      <c r="AK367" t="n">
        <v>16</v>
      </c>
      <c r="AL367" t="n">
        <v>1</v>
      </c>
      <c r="AM367" t="n">
        <v>2</v>
      </c>
      <c r="AN367" t="n">
        <v>0</v>
      </c>
      <c r="AO367" t="n">
        <v>0</v>
      </c>
      <c r="AP367" t="inlineStr">
        <is>
          <t>No</t>
        </is>
      </c>
      <c r="AQ367" t="inlineStr">
        <is>
          <t>No</t>
        </is>
      </c>
      <c r="AS367">
        <f>HYPERLINK("https://creighton-primo.hosted.exlibrisgroup.com/primo-explore/search?tab=default_tab&amp;search_scope=EVERYTHING&amp;vid=01CRU&amp;lang=en_US&amp;offset=0&amp;query=any,contains,991002199199702656","Catalog Record")</f>
        <v/>
      </c>
      <c r="AT367">
        <f>HYPERLINK("http://www.worldcat.org/oclc/28291626","WorldCat Record")</f>
        <v/>
      </c>
      <c r="AU367" t="inlineStr">
        <is>
          <t>797303744:eng</t>
        </is>
      </c>
      <c r="AV367" t="inlineStr">
        <is>
          <t>28291626</t>
        </is>
      </c>
      <c r="AW367" t="inlineStr">
        <is>
          <t>991002199199702656</t>
        </is>
      </c>
      <c r="AX367" t="inlineStr">
        <is>
          <t>991002199199702656</t>
        </is>
      </c>
      <c r="AY367" t="inlineStr">
        <is>
          <t>2257980750002656</t>
        </is>
      </c>
      <c r="AZ367" t="inlineStr">
        <is>
          <t>BOOK</t>
        </is>
      </c>
      <c r="BB367" t="inlineStr">
        <is>
          <t>9781566391504</t>
        </is>
      </c>
      <c r="BC367" t="inlineStr">
        <is>
          <t>32285002128634</t>
        </is>
      </c>
      <c r="BD367" t="inlineStr">
        <is>
          <t>893529665</t>
        </is>
      </c>
    </row>
    <row r="368">
      <c r="A368" t="inlineStr">
        <is>
          <t>No</t>
        </is>
      </c>
      <c r="B368" t="inlineStr">
        <is>
          <t>HT384.U5 F64 1999</t>
        </is>
      </c>
      <c r="C368" t="inlineStr">
        <is>
          <t>0                      HT 0384000U  5                  F  64          1999</t>
        </is>
      </c>
      <c r="D368" t="inlineStr">
        <is>
          <t>Better not bigger : how to take control of urban growth and improve your community / Eben Fodor.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Fodor, Eben, 1956-</t>
        </is>
      </c>
      <c r="L368" t="inlineStr">
        <is>
          <t>Gabriola Island, B.C. ; Stony Creek, CT : New Society Publishers, c1999.</t>
        </is>
      </c>
      <c r="M368" t="inlineStr">
        <is>
          <t>1999</t>
        </is>
      </c>
      <c r="O368" t="inlineStr">
        <is>
          <t>eng</t>
        </is>
      </c>
      <c r="P368" t="inlineStr">
        <is>
          <t>bcc</t>
        </is>
      </c>
      <c r="R368" t="inlineStr">
        <is>
          <t xml:space="preserve">HT </t>
        </is>
      </c>
      <c r="S368" t="n">
        <v>12</v>
      </c>
      <c r="T368" t="n">
        <v>12</v>
      </c>
      <c r="U368" t="inlineStr">
        <is>
          <t>2007-02-01</t>
        </is>
      </c>
      <c r="V368" t="inlineStr">
        <is>
          <t>2007-02-01</t>
        </is>
      </c>
      <c r="W368" t="inlineStr">
        <is>
          <t>1999-03-16</t>
        </is>
      </c>
      <c r="X368" t="inlineStr">
        <is>
          <t>1999-03-16</t>
        </is>
      </c>
      <c r="Y368" t="n">
        <v>412</v>
      </c>
      <c r="Z368" t="n">
        <v>339</v>
      </c>
      <c r="AA368" t="n">
        <v>743</v>
      </c>
      <c r="AB368" t="n">
        <v>4</v>
      </c>
      <c r="AC368" t="n">
        <v>7</v>
      </c>
      <c r="AD368" t="n">
        <v>9</v>
      </c>
      <c r="AE368" t="n">
        <v>29</v>
      </c>
      <c r="AF368" t="n">
        <v>1</v>
      </c>
      <c r="AG368" t="n">
        <v>9</v>
      </c>
      <c r="AH368" t="n">
        <v>2</v>
      </c>
      <c r="AI368" t="n">
        <v>7</v>
      </c>
      <c r="AJ368" t="n">
        <v>4</v>
      </c>
      <c r="AK368" t="n">
        <v>11</v>
      </c>
      <c r="AL368" t="n">
        <v>2</v>
      </c>
      <c r="AM368" t="n">
        <v>5</v>
      </c>
      <c r="AN368" t="n">
        <v>1</v>
      </c>
      <c r="AO368" t="n">
        <v>2</v>
      </c>
      <c r="AP368" t="inlineStr">
        <is>
          <t>No</t>
        </is>
      </c>
      <c r="AQ368" t="inlineStr">
        <is>
          <t>Yes</t>
        </is>
      </c>
      <c r="AR368">
        <f>HYPERLINK("http://catalog.hathitrust.org/Record/004020150","HathiTrust Record")</f>
        <v/>
      </c>
      <c r="AS368">
        <f>HYPERLINK("https://creighton-primo.hosted.exlibrisgroup.com/primo-explore/search?tab=default_tab&amp;search_scope=EVERYTHING&amp;vid=01CRU&amp;lang=en_US&amp;offset=0&amp;query=any,contains,991002980539702656","Catalog Record")</f>
        <v/>
      </c>
      <c r="AT368">
        <f>HYPERLINK("http://www.worldcat.org/oclc/40074068","WorldCat Record")</f>
        <v/>
      </c>
      <c r="AU368" t="inlineStr">
        <is>
          <t>793958023:eng</t>
        </is>
      </c>
      <c r="AV368" t="inlineStr">
        <is>
          <t>40074068</t>
        </is>
      </c>
      <c r="AW368" t="inlineStr">
        <is>
          <t>991002980539702656</t>
        </is>
      </c>
      <c r="AX368" t="inlineStr">
        <is>
          <t>991002980539702656</t>
        </is>
      </c>
      <c r="AY368" t="inlineStr">
        <is>
          <t>2262651120002656</t>
        </is>
      </c>
      <c r="AZ368" t="inlineStr">
        <is>
          <t>BOOK</t>
        </is>
      </c>
      <c r="BB368" t="inlineStr">
        <is>
          <t>9780865713864</t>
        </is>
      </c>
      <c r="BC368" t="inlineStr">
        <is>
          <t>32285003532776</t>
        </is>
      </c>
      <c r="BD368" t="inlineStr">
        <is>
          <t>893352626</t>
        </is>
      </c>
    </row>
    <row r="369">
      <c r="A369" t="inlineStr">
        <is>
          <t>No</t>
        </is>
      </c>
      <c r="B369" t="inlineStr">
        <is>
          <t>HT384.U52 J357 1994</t>
        </is>
      </c>
      <c r="C369" t="inlineStr">
        <is>
          <t>0                      HT 0384000U  52                 J  357         1994</t>
        </is>
      </c>
      <c r="D369" t="inlineStr">
        <is>
          <t>Local attachments : the making of an American urban neighborhood, 1850 to 1920 / Alexander von Hoffman.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Von Hoffman, Alexander.</t>
        </is>
      </c>
      <c r="L369" t="inlineStr">
        <is>
          <t>Baltimore : Johns Hopkins University Press, c1994.</t>
        </is>
      </c>
      <c r="M369" t="inlineStr">
        <is>
          <t>1994</t>
        </is>
      </c>
      <c r="O369" t="inlineStr">
        <is>
          <t>eng</t>
        </is>
      </c>
      <c r="P369" t="inlineStr">
        <is>
          <t>mdu</t>
        </is>
      </c>
      <c r="Q369" t="inlineStr">
        <is>
          <t>Creating the North American landscape</t>
        </is>
      </c>
      <c r="R369" t="inlineStr">
        <is>
          <t xml:space="preserve">HT </t>
        </is>
      </c>
      <c r="S369" t="n">
        <v>2</v>
      </c>
      <c r="T369" t="n">
        <v>2</v>
      </c>
      <c r="U369" t="inlineStr">
        <is>
          <t>1998-11-23</t>
        </is>
      </c>
      <c r="V369" t="inlineStr">
        <is>
          <t>1998-11-23</t>
        </is>
      </c>
      <c r="W369" t="inlineStr">
        <is>
          <t>1994-11-07</t>
        </is>
      </c>
      <c r="X369" t="inlineStr">
        <is>
          <t>1994-11-07</t>
        </is>
      </c>
      <c r="Y369" t="n">
        <v>374</v>
      </c>
      <c r="Z369" t="n">
        <v>330</v>
      </c>
      <c r="AA369" t="n">
        <v>377</v>
      </c>
      <c r="AB369" t="n">
        <v>3</v>
      </c>
      <c r="AC369" t="n">
        <v>3</v>
      </c>
      <c r="AD369" t="n">
        <v>18</v>
      </c>
      <c r="AE369" t="n">
        <v>20</v>
      </c>
      <c r="AF369" t="n">
        <v>5</v>
      </c>
      <c r="AG369" t="n">
        <v>6</v>
      </c>
      <c r="AH369" t="n">
        <v>6</v>
      </c>
      <c r="AI369" t="n">
        <v>6</v>
      </c>
      <c r="AJ369" t="n">
        <v>12</v>
      </c>
      <c r="AK369" t="n">
        <v>14</v>
      </c>
      <c r="AL369" t="n">
        <v>2</v>
      </c>
      <c r="AM369" t="n">
        <v>2</v>
      </c>
      <c r="AN369" t="n">
        <v>0</v>
      </c>
      <c r="AO369" t="n">
        <v>0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HYPERLINK("http://catalog.hathitrust.org/Record/002866836","HathiTrust Record")</f>
        <v/>
      </c>
      <c r="AS369">
        <f>HYPERLINK("https://creighton-primo.hosted.exlibrisgroup.com/primo-explore/search?tab=default_tab&amp;search_scope=EVERYTHING&amp;vid=01CRU&amp;lang=en_US&amp;offset=0&amp;query=any,contains,991002246209702656","Catalog Record")</f>
        <v/>
      </c>
      <c r="AT369">
        <f>HYPERLINK("http://www.worldcat.org/oclc/28965333","WorldCat Record")</f>
        <v/>
      </c>
      <c r="AU369" t="inlineStr">
        <is>
          <t>31104399:eng</t>
        </is>
      </c>
      <c r="AV369" t="inlineStr">
        <is>
          <t>28965333</t>
        </is>
      </c>
      <c r="AW369" t="inlineStr">
        <is>
          <t>991002246209702656</t>
        </is>
      </c>
      <c r="AX369" t="inlineStr">
        <is>
          <t>991002246209702656</t>
        </is>
      </c>
      <c r="AY369" t="inlineStr">
        <is>
          <t>2256685150002656</t>
        </is>
      </c>
      <c r="AZ369" t="inlineStr">
        <is>
          <t>BOOK</t>
        </is>
      </c>
      <c r="BB369" t="inlineStr">
        <is>
          <t>9780801847103</t>
        </is>
      </c>
      <c r="BC369" t="inlineStr">
        <is>
          <t>32285001956423</t>
        </is>
      </c>
      <c r="BD369" t="inlineStr">
        <is>
          <t>893433665</t>
        </is>
      </c>
    </row>
    <row r="370">
      <c r="A370" t="inlineStr">
        <is>
          <t>No</t>
        </is>
      </c>
      <c r="B370" t="inlineStr">
        <is>
          <t>HT388 .P88 2003</t>
        </is>
      </c>
      <c r="C370" t="inlineStr">
        <is>
          <t>0                      HT 0388000P  88          2003</t>
        </is>
      </c>
      <c r="D370" t="inlineStr">
        <is>
          <t>Mathematical location and land use theory : an introduction / Tönu Puu.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Puu, Tönu, 1936-</t>
        </is>
      </c>
      <c r="L370" t="inlineStr">
        <is>
          <t>Berlin ; New York : Springer, c2003.</t>
        </is>
      </c>
      <c r="M370" t="inlineStr">
        <is>
          <t>2003</t>
        </is>
      </c>
      <c r="N370" t="inlineStr">
        <is>
          <t>2nd rev. and enl. ed.</t>
        </is>
      </c>
      <c r="O370" t="inlineStr">
        <is>
          <t>eng</t>
        </is>
      </c>
      <c r="P370" t="inlineStr">
        <is>
          <t xml:space="preserve">gw </t>
        </is>
      </c>
      <c r="Q370" t="inlineStr">
        <is>
          <t>Advances in spatial science</t>
        </is>
      </c>
      <c r="R370" t="inlineStr">
        <is>
          <t xml:space="preserve">HT </t>
        </is>
      </c>
      <c r="S370" t="n">
        <v>1</v>
      </c>
      <c r="T370" t="n">
        <v>1</v>
      </c>
      <c r="U370" t="inlineStr">
        <is>
          <t>2003-10-09</t>
        </is>
      </c>
      <c r="V370" t="inlineStr">
        <is>
          <t>2003-10-09</t>
        </is>
      </c>
      <c r="W370" t="inlineStr">
        <is>
          <t>2003-09-15</t>
        </is>
      </c>
      <c r="X370" t="inlineStr">
        <is>
          <t>2003-09-15</t>
        </is>
      </c>
      <c r="Y370" t="n">
        <v>103</v>
      </c>
      <c r="Z370" t="n">
        <v>68</v>
      </c>
      <c r="AA370" t="n">
        <v>129</v>
      </c>
      <c r="AB370" t="n">
        <v>2</v>
      </c>
      <c r="AC370" t="n">
        <v>2</v>
      </c>
      <c r="AD370" t="n">
        <v>2</v>
      </c>
      <c r="AE370" t="n">
        <v>3</v>
      </c>
      <c r="AF370" t="n">
        <v>0</v>
      </c>
      <c r="AG370" t="n">
        <v>1</v>
      </c>
      <c r="AH370" t="n">
        <v>1</v>
      </c>
      <c r="AI370" t="n">
        <v>2</v>
      </c>
      <c r="AJ370" t="n">
        <v>1</v>
      </c>
      <c r="AK370" t="n">
        <v>1</v>
      </c>
      <c r="AL370" t="n">
        <v>1</v>
      </c>
      <c r="AM370" t="n">
        <v>1</v>
      </c>
      <c r="AN370" t="n">
        <v>0</v>
      </c>
      <c r="AO370" t="n">
        <v>0</v>
      </c>
      <c r="AP370" t="inlineStr">
        <is>
          <t>No</t>
        </is>
      </c>
      <c r="AQ370" t="inlineStr">
        <is>
          <t>No</t>
        </is>
      </c>
      <c r="AS370">
        <f>HYPERLINK("https://creighton-primo.hosted.exlibrisgroup.com/primo-explore/search?tab=default_tab&amp;search_scope=EVERYTHING&amp;vid=01CRU&amp;lang=en_US&amp;offset=0&amp;query=any,contains,991004124809702656","Catalog Record")</f>
        <v/>
      </c>
      <c r="AT370">
        <f>HYPERLINK("http://www.worldcat.org/oclc/51944423","WorldCat Record")</f>
        <v/>
      </c>
      <c r="AU370" t="inlineStr">
        <is>
          <t>807099163:eng</t>
        </is>
      </c>
      <c r="AV370" t="inlineStr">
        <is>
          <t>51944423</t>
        </is>
      </c>
      <c r="AW370" t="inlineStr">
        <is>
          <t>991004124809702656</t>
        </is>
      </c>
      <c r="AX370" t="inlineStr">
        <is>
          <t>991004124809702656</t>
        </is>
      </c>
      <c r="AY370" t="inlineStr">
        <is>
          <t>2262503600002656</t>
        </is>
      </c>
      <c r="AZ370" t="inlineStr">
        <is>
          <t>BOOK</t>
        </is>
      </c>
      <c r="BB370" t="inlineStr">
        <is>
          <t>9783540009313</t>
        </is>
      </c>
      <c r="BC370" t="inlineStr">
        <is>
          <t>32285004787809</t>
        </is>
      </c>
      <c r="BD370" t="inlineStr">
        <is>
          <t>893712183</t>
        </is>
      </c>
    </row>
    <row r="371">
      <c r="A371" t="inlineStr">
        <is>
          <t>No</t>
        </is>
      </c>
      <c r="B371" t="inlineStr">
        <is>
          <t>HT391 .R29</t>
        </is>
      </c>
      <c r="C371" t="inlineStr">
        <is>
          <t>0                      HT 0391000R  29</t>
        </is>
      </c>
      <c r="D371" t="inlineStr">
        <is>
          <t>Regional analysis / edited by Carol A. Smith. --</t>
        </is>
      </c>
      <c r="E371" t="inlineStr">
        <is>
          <t>V.1</t>
        </is>
      </c>
      <c r="F371" t="inlineStr">
        <is>
          <t>Yes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L371" t="inlineStr">
        <is>
          <t>New York : Academic Press, 1976.</t>
        </is>
      </c>
      <c r="M371" t="inlineStr">
        <is>
          <t>1976</t>
        </is>
      </c>
      <c r="O371" t="inlineStr">
        <is>
          <t>eng</t>
        </is>
      </c>
      <c r="P371" t="inlineStr">
        <is>
          <t>nyu</t>
        </is>
      </c>
      <c r="Q371" t="inlineStr">
        <is>
          <t>Studies in anthropology</t>
        </is>
      </c>
      <c r="R371" t="inlineStr">
        <is>
          <t xml:space="preserve">HT </t>
        </is>
      </c>
      <c r="S371" t="n">
        <v>10</v>
      </c>
      <c r="T371" t="n">
        <v>10</v>
      </c>
      <c r="U371" t="inlineStr">
        <is>
          <t>2003-09-05</t>
        </is>
      </c>
      <c r="V371" t="inlineStr">
        <is>
          <t>2003-09-05</t>
        </is>
      </c>
      <c r="W371" t="inlineStr">
        <is>
          <t>1993-05-07</t>
        </is>
      </c>
      <c r="X371" t="inlineStr">
        <is>
          <t>1993-05-07</t>
        </is>
      </c>
      <c r="Y371" t="n">
        <v>550</v>
      </c>
      <c r="Z371" t="n">
        <v>410</v>
      </c>
      <c r="AA371" t="n">
        <v>426</v>
      </c>
      <c r="AB371" t="n">
        <v>2</v>
      </c>
      <c r="AC371" t="n">
        <v>2</v>
      </c>
      <c r="AD371" t="n">
        <v>15</v>
      </c>
      <c r="AE371" t="n">
        <v>17</v>
      </c>
      <c r="AF371" t="n">
        <v>4</v>
      </c>
      <c r="AG371" t="n">
        <v>5</v>
      </c>
      <c r="AH371" t="n">
        <v>3</v>
      </c>
      <c r="AI371" t="n">
        <v>4</v>
      </c>
      <c r="AJ371" t="n">
        <v>10</v>
      </c>
      <c r="AK371" t="n">
        <v>10</v>
      </c>
      <c r="AL371" t="n">
        <v>1</v>
      </c>
      <c r="AM371" t="n">
        <v>1</v>
      </c>
      <c r="AN371" t="n">
        <v>0</v>
      </c>
      <c r="AO371" t="n">
        <v>0</v>
      </c>
      <c r="AP371" t="inlineStr">
        <is>
          <t>No</t>
        </is>
      </c>
      <c r="AQ371" t="inlineStr">
        <is>
          <t>Yes</t>
        </is>
      </c>
      <c r="AR371">
        <f>HYPERLINK("http://catalog.hathitrust.org/Record/000743893","HathiTrust Record")</f>
        <v/>
      </c>
      <c r="AS371">
        <f>HYPERLINK("https://creighton-primo.hosted.exlibrisgroup.com/primo-explore/search?tab=default_tab&amp;search_scope=EVERYTHING&amp;vid=01CRU&amp;lang=en_US&amp;offset=0&amp;query=any,contains,991005369719702656","Catalog Record")</f>
        <v/>
      </c>
      <c r="AT371">
        <f>HYPERLINK("http://www.worldcat.org/oclc/2413543","WorldCat Record")</f>
        <v/>
      </c>
      <c r="AU371" t="inlineStr">
        <is>
          <t>5610773973:eng</t>
        </is>
      </c>
      <c r="AV371" t="inlineStr">
        <is>
          <t>2413543</t>
        </is>
      </c>
      <c r="AW371" t="inlineStr">
        <is>
          <t>991005369719702656</t>
        </is>
      </c>
      <c r="AX371" t="inlineStr">
        <is>
          <t>991005369719702656</t>
        </is>
      </c>
      <c r="AY371" t="inlineStr">
        <is>
          <t>2268663910002656</t>
        </is>
      </c>
      <c r="AZ371" t="inlineStr">
        <is>
          <t>BOOK</t>
        </is>
      </c>
      <c r="BB371" t="inlineStr">
        <is>
          <t>9780126521016</t>
        </is>
      </c>
      <c r="BC371" t="inlineStr">
        <is>
          <t>32285001674109</t>
        </is>
      </c>
      <c r="BD371" t="inlineStr">
        <is>
          <t>893689094</t>
        </is>
      </c>
    </row>
    <row r="372">
      <c r="A372" t="inlineStr">
        <is>
          <t>No</t>
        </is>
      </c>
      <c r="B372" t="inlineStr">
        <is>
          <t>HT391 .R29</t>
        </is>
      </c>
      <c r="C372" t="inlineStr">
        <is>
          <t>0                      HT 0391000R  29</t>
        </is>
      </c>
      <c r="D372" t="inlineStr">
        <is>
          <t>Regional analysis / edited by Carol A. Smith. --</t>
        </is>
      </c>
      <c r="E372" t="inlineStr">
        <is>
          <t>V.2</t>
        </is>
      </c>
      <c r="F372" t="inlineStr">
        <is>
          <t>Yes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L372" t="inlineStr">
        <is>
          <t>New York : Academic Press, 1976.</t>
        </is>
      </c>
      <c r="M372" t="inlineStr">
        <is>
          <t>1976</t>
        </is>
      </c>
      <c r="O372" t="inlineStr">
        <is>
          <t>eng</t>
        </is>
      </c>
      <c r="P372" t="inlineStr">
        <is>
          <t>nyu</t>
        </is>
      </c>
      <c r="Q372" t="inlineStr">
        <is>
          <t>Studies in anthropology</t>
        </is>
      </c>
      <c r="R372" t="inlineStr">
        <is>
          <t xml:space="preserve">HT </t>
        </is>
      </c>
      <c r="S372" t="n">
        <v>0</v>
      </c>
      <c r="T372" t="n">
        <v>10</v>
      </c>
      <c r="V372" t="inlineStr">
        <is>
          <t>2003-09-05</t>
        </is>
      </c>
      <c r="W372" t="inlineStr">
        <is>
          <t>1993-05-07</t>
        </is>
      </c>
      <c r="X372" t="inlineStr">
        <is>
          <t>1993-05-07</t>
        </is>
      </c>
      <c r="Y372" t="n">
        <v>550</v>
      </c>
      <c r="Z372" t="n">
        <v>410</v>
      </c>
      <c r="AA372" t="n">
        <v>426</v>
      </c>
      <c r="AB372" t="n">
        <v>2</v>
      </c>
      <c r="AC372" t="n">
        <v>2</v>
      </c>
      <c r="AD372" t="n">
        <v>15</v>
      </c>
      <c r="AE372" t="n">
        <v>17</v>
      </c>
      <c r="AF372" t="n">
        <v>4</v>
      </c>
      <c r="AG372" t="n">
        <v>5</v>
      </c>
      <c r="AH372" t="n">
        <v>3</v>
      </c>
      <c r="AI372" t="n">
        <v>4</v>
      </c>
      <c r="AJ372" t="n">
        <v>10</v>
      </c>
      <c r="AK372" t="n">
        <v>10</v>
      </c>
      <c r="AL372" t="n">
        <v>1</v>
      </c>
      <c r="AM372" t="n">
        <v>1</v>
      </c>
      <c r="AN372" t="n">
        <v>0</v>
      </c>
      <c r="AO372" t="n">
        <v>0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HYPERLINK("http://catalog.hathitrust.org/Record/000743893","HathiTrust Record")</f>
        <v/>
      </c>
      <c r="AS372">
        <f>HYPERLINK("https://creighton-primo.hosted.exlibrisgroup.com/primo-explore/search?tab=default_tab&amp;search_scope=EVERYTHING&amp;vid=01CRU&amp;lang=en_US&amp;offset=0&amp;query=any,contains,991005369719702656","Catalog Record")</f>
        <v/>
      </c>
      <c r="AT372">
        <f>HYPERLINK("http://www.worldcat.org/oclc/2413543","WorldCat Record")</f>
        <v/>
      </c>
      <c r="AU372" t="inlineStr">
        <is>
          <t>5610773973:eng</t>
        </is>
      </c>
      <c r="AV372" t="inlineStr">
        <is>
          <t>2413543</t>
        </is>
      </c>
      <c r="AW372" t="inlineStr">
        <is>
          <t>991005369719702656</t>
        </is>
      </c>
      <c r="AX372" t="inlineStr">
        <is>
          <t>991005369719702656</t>
        </is>
      </c>
      <c r="AY372" t="inlineStr">
        <is>
          <t>2268663910002656</t>
        </is>
      </c>
      <c r="AZ372" t="inlineStr">
        <is>
          <t>BOOK</t>
        </is>
      </c>
      <c r="BB372" t="inlineStr">
        <is>
          <t>9780126521016</t>
        </is>
      </c>
      <c r="BC372" t="inlineStr">
        <is>
          <t>32285001674117</t>
        </is>
      </c>
      <c r="BD372" t="inlineStr">
        <is>
          <t>893689093</t>
        </is>
      </c>
    </row>
    <row r="373">
      <c r="A373" t="inlineStr">
        <is>
          <t>No</t>
        </is>
      </c>
      <c r="B373" t="inlineStr">
        <is>
          <t>HT391 .R48</t>
        </is>
      </c>
      <c r="C373" t="inlineStr">
        <is>
          <t>0                      HT 0391000R  48</t>
        </is>
      </c>
      <c r="D373" t="inlineStr">
        <is>
          <t>Regional economics / Harry W. Richardson.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Yes</t>
        </is>
      </c>
      <c r="J373" t="inlineStr">
        <is>
          <t>0</t>
        </is>
      </c>
      <c r="K373" t="inlineStr">
        <is>
          <t>Richardson, Harry W., 1938-</t>
        </is>
      </c>
      <c r="L373" t="inlineStr">
        <is>
          <t>Urbana : University of Illinois Press, c1979.</t>
        </is>
      </c>
      <c r="M373" t="inlineStr">
        <is>
          <t>1979</t>
        </is>
      </c>
      <c r="O373" t="inlineStr">
        <is>
          <t>eng</t>
        </is>
      </c>
      <c r="P373" t="inlineStr">
        <is>
          <t>ilu</t>
        </is>
      </c>
      <c r="R373" t="inlineStr">
        <is>
          <t xml:space="preserve">HT </t>
        </is>
      </c>
      <c r="S373" t="n">
        <v>4</v>
      </c>
      <c r="T373" t="n">
        <v>4</v>
      </c>
      <c r="U373" t="inlineStr">
        <is>
          <t>2002-06-06</t>
        </is>
      </c>
      <c r="V373" t="inlineStr">
        <is>
          <t>2002-06-06</t>
        </is>
      </c>
      <c r="W373" t="inlineStr">
        <is>
          <t>1992-02-01</t>
        </is>
      </c>
      <c r="X373" t="inlineStr">
        <is>
          <t>1992-02-01</t>
        </is>
      </c>
      <c r="Y373" t="n">
        <v>454</v>
      </c>
      <c r="Z373" t="n">
        <v>357</v>
      </c>
      <c r="AA373" t="n">
        <v>632</v>
      </c>
      <c r="AB373" t="n">
        <v>4</v>
      </c>
      <c r="AC373" t="n">
        <v>5</v>
      </c>
      <c r="AD373" t="n">
        <v>18</v>
      </c>
      <c r="AE373" t="n">
        <v>31</v>
      </c>
      <c r="AF373" t="n">
        <v>5</v>
      </c>
      <c r="AG373" t="n">
        <v>12</v>
      </c>
      <c r="AH373" t="n">
        <v>4</v>
      </c>
      <c r="AI373" t="n">
        <v>10</v>
      </c>
      <c r="AJ373" t="n">
        <v>11</v>
      </c>
      <c r="AK373" t="n">
        <v>17</v>
      </c>
      <c r="AL373" t="n">
        <v>3</v>
      </c>
      <c r="AM373" t="n">
        <v>4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HYPERLINK("http://catalog.hathitrust.org/Record/000298904","HathiTrust Record")</f>
        <v/>
      </c>
      <c r="AS373">
        <f>HYPERLINK("https://creighton-primo.hosted.exlibrisgroup.com/primo-explore/search?tab=default_tab&amp;search_scope=EVERYTHING&amp;vid=01CRU&amp;lang=en_US&amp;offset=0&amp;query=any,contains,991004728589702656","Catalog Record")</f>
        <v/>
      </c>
      <c r="AT373">
        <f>HYPERLINK("http://www.worldcat.org/oclc/4832131","WorldCat Record")</f>
        <v/>
      </c>
      <c r="AU373" t="inlineStr">
        <is>
          <t>4820373078:eng</t>
        </is>
      </c>
      <c r="AV373" t="inlineStr">
        <is>
          <t>4832131</t>
        </is>
      </c>
      <c r="AW373" t="inlineStr">
        <is>
          <t>991004728589702656</t>
        </is>
      </c>
      <c r="AX373" t="inlineStr">
        <is>
          <t>991004728589702656</t>
        </is>
      </c>
      <c r="AY373" t="inlineStr">
        <is>
          <t>2268642170002656</t>
        </is>
      </c>
      <c r="AZ373" t="inlineStr">
        <is>
          <t>BOOK</t>
        </is>
      </c>
      <c r="BB373" t="inlineStr">
        <is>
          <t>9780252007484</t>
        </is>
      </c>
      <c r="BC373" t="inlineStr">
        <is>
          <t>32285000932995</t>
        </is>
      </c>
      <c r="BD373" t="inlineStr">
        <is>
          <t>893331977</t>
        </is>
      </c>
    </row>
    <row r="374">
      <c r="A374" t="inlineStr">
        <is>
          <t>No</t>
        </is>
      </c>
      <c r="B374" t="inlineStr">
        <is>
          <t>HT391 .R52 1969b</t>
        </is>
      </c>
      <c r="C374" t="inlineStr">
        <is>
          <t>0                      HT 0391000R  52          1969b</t>
        </is>
      </c>
      <c r="D374" t="inlineStr">
        <is>
          <t>Regional economics : location theory, urban structure, and regional change / [by] Harry W. Richardson.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Yes</t>
        </is>
      </c>
      <c r="J374" t="inlineStr">
        <is>
          <t>0</t>
        </is>
      </c>
      <c r="K374" t="inlineStr">
        <is>
          <t>Richardson, Harry W., 1938-</t>
        </is>
      </c>
      <c r="L374" t="inlineStr">
        <is>
          <t>New York : Praeger, [1969]</t>
        </is>
      </c>
      <c r="M374" t="inlineStr">
        <is>
          <t>1969</t>
        </is>
      </c>
      <c r="O374" t="inlineStr">
        <is>
          <t>eng</t>
        </is>
      </c>
      <c r="P374" t="inlineStr">
        <is>
          <t>nyu</t>
        </is>
      </c>
      <c r="Q374" t="inlineStr">
        <is>
          <t>Praeger paperbound texts</t>
        </is>
      </c>
      <c r="R374" t="inlineStr">
        <is>
          <t xml:space="preserve">HT </t>
        </is>
      </c>
      <c r="S374" t="n">
        <v>3</v>
      </c>
      <c r="T374" t="n">
        <v>3</v>
      </c>
      <c r="U374" t="inlineStr">
        <is>
          <t>1993-01-05</t>
        </is>
      </c>
      <c r="V374" t="inlineStr">
        <is>
          <t>1993-01-05</t>
        </is>
      </c>
      <c r="W374" t="inlineStr">
        <is>
          <t>1992-02-03</t>
        </is>
      </c>
      <c r="X374" t="inlineStr">
        <is>
          <t>1992-02-03</t>
        </is>
      </c>
      <c r="Y374" t="n">
        <v>445</v>
      </c>
      <c r="Z374" t="n">
        <v>405</v>
      </c>
      <c r="AA374" t="n">
        <v>632</v>
      </c>
      <c r="AB374" t="n">
        <v>2</v>
      </c>
      <c r="AC374" t="n">
        <v>5</v>
      </c>
      <c r="AD374" t="n">
        <v>21</v>
      </c>
      <c r="AE374" t="n">
        <v>31</v>
      </c>
      <c r="AF374" t="n">
        <v>8</v>
      </c>
      <c r="AG374" t="n">
        <v>12</v>
      </c>
      <c r="AH374" t="n">
        <v>7</v>
      </c>
      <c r="AI374" t="n">
        <v>10</v>
      </c>
      <c r="AJ374" t="n">
        <v>14</v>
      </c>
      <c r="AK374" t="n">
        <v>17</v>
      </c>
      <c r="AL374" t="n">
        <v>1</v>
      </c>
      <c r="AM374" t="n">
        <v>4</v>
      </c>
      <c r="AN374" t="n">
        <v>0</v>
      </c>
      <c r="AO374" t="n">
        <v>0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HYPERLINK("http://catalog.hathitrust.org/Record/001119463","HathiTrust Record")</f>
        <v/>
      </c>
      <c r="AS374">
        <f>HYPERLINK("https://creighton-primo.hosted.exlibrisgroup.com/primo-explore/search?tab=default_tab&amp;search_scope=EVERYTHING&amp;vid=01CRU&amp;lang=en_US&amp;offset=0&amp;query=any,contains,991000115319702656","Catalog Record")</f>
        <v/>
      </c>
      <c r="AT374">
        <f>HYPERLINK("http://www.worldcat.org/oclc/49046","WorldCat Record")</f>
        <v/>
      </c>
      <c r="AU374" t="inlineStr">
        <is>
          <t>4820373078:eng</t>
        </is>
      </c>
      <c r="AV374" t="inlineStr">
        <is>
          <t>49046</t>
        </is>
      </c>
      <c r="AW374" t="inlineStr">
        <is>
          <t>991000115319702656</t>
        </is>
      </c>
      <c r="AX374" t="inlineStr">
        <is>
          <t>991000115319702656</t>
        </is>
      </c>
      <c r="AY374" t="inlineStr">
        <is>
          <t>2263595180002656</t>
        </is>
      </c>
      <c r="AZ374" t="inlineStr">
        <is>
          <t>BOOK</t>
        </is>
      </c>
      <c r="BC374" t="inlineStr">
        <is>
          <t>32285000932987</t>
        </is>
      </c>
      <c r="BD374" t="inlineStr">
        <is>
          <t>893689441</t>
        </is>
      </c>
    </row>
    <row r="375">
      <c r="A375" t="inlineStr">
        <is>
          <t>No</t>
        </is>
      </c>
      <c r="B375" t="inlineStr">
        <is>
          <t>HT394.L67 E34 2000</t>
        </is>
      </c>
      <c r="C375" t="inlineStr">
        <is>
          <t>0                      HT 0394000L  67                 E  34          2000</t>
        </is>
      </c>
      <c r="D375" t="inlineStr">
        <is>
          <t>Eden by design : the 1930 Olmsted-Bartholomew plan for the Los Angeles region / Greg Hise and William Deverell ; afterword by Laurie Olin.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L375" t="inlineStr">
        <is>
          <t>Berkeley : University of California Press, 2000.</t>
        </is>
      </c>
      <c r="M375" t="inlineStr">
        <is>
          <t>2000</t>
        </is>
      </c>
      <c r="O375" t="inlineStr">
        <is>
          <t>eng</t>
        </is>
      </c>
      <c r="P375" t="inlineStr">
        <is>
          <t>cau</t>
        </is>
      </c>
      <c r="R375" t="inlineStr">
        <is>
          <t xml:space="preserve">HT </t>
        </is>
      </c>
      <c r="S375" t="n">
        <v>5</v>
      </c>
      <c r="T375" t="n">
        <v>5</v>
      </c>
      <c r="U375" t="inlineStr">
        <is>
          <t>2005-10-05</t>
        </is>
      </c>
      <c r="V375" t="inlineStr">
        <is>
          <t>2005-10-05</t>
        </is>
      </c>
      <c r="W375" t="inlineStr">
        <is>
          <t>2001-02-20</t>
        </is>
      </c>
      <c r="X375" t="inlineStr">
        <is>
          <t>2001-02-20</t>
        </is>
      </c>
      <c r="Y375" t="n">
        <v>310</v>
      </c>
      <c r="Z375" t="n">
        <v>251</v>
      </c>
      <c r="AA375" t="n">
        <v>251</v>
      </c>
      <c r="AB375" t="n">
        <v>2</v>
      </c>
      <c r="AC375" t="n">
        <v>2</v>
      </c>
      <c r="AD375" t="n">
        <v>7</v>
      </c>
      <c r="AE375" t="n">
        <v>7</v>
      </c>
      <c r="AF375" t="n">
        <v>3</v>
      </c>
      <c r="AG375" t="n">
        <v>3</v>
      </c>
      <c r="AH375" t="n">
        <v>1</v>
      </c>
      <c r="AI375" t="n">
        <v>1</v>
      </c>
      <c r="AJ375" t="n">
        <v>5</v>
      </c>
      <c r="AK375" t="n">
        <v>5</v>
      </c>
      <c r="AL375" t="n">
        <v>1</v>
      </c>
      <c r="AM375" t="n">
        <v>1</v>
      </c>
      <c r="AN375" t="n">
        <v>0</v>
      </c>
      <c r="AO375" t="n">
        <v>0</v>
      </c>
      <c r="AP375" t="inlineStr">
        <is>
          <t>No</t>
        </is>
      </c>
      <c r="AQ375" t="inlineStr">
        <is>
          <t>No</t>
        </is>
      </c>
      <c r="AS375">
        <f>HYPERLINK("https://creighton-primo.hosted.exlibrisgroup.com/primo-explore/search?tab=default_tab&amp;search_scope=EVERYTHING&amp;vid=01CRU&amp;lang=en_US&amp;offset=0&amp;query=any,contains,991003479109702656","Catalog Record")</f>
        <v/>
      </c>
      <c r="AT375">
        <f>HYPERLINK("http://www.worldcat.org/oclc/42290854","WorldCat Record")</f>
        <v/>
      </c>
      <c r="AU375" t="inlineStr">
        <is>
          <t>887258:eng</t>
        </is>
      </c>
      <c r="AV375" t="inlineStr">
        <is>
          <t>42290854</t>
        </is>
      </c>
      <c r="AW375" t="inlineStr">
        <is>
          <t>991003479109702656</t>
        </is>
      </c>
      <c r="AX375" t="inlineStr">
        <is>
          <t>991003479109702656</t>
        </is>
      </c>
      <c r="AY375" t="inlineStr">
        <is>
          <t>2259547670002656</t>
        </is>
      </c>
      <c r="AZ375" t="inlineStr">
        <is>
          <t>BOOK</t>
        </is>
      </c>
      <c r="BB375" t="inlineStr">
        <is>
          <t>9780520224148</t>
        </is>
      </c>
      <c r="BC375" t="inlineStr">
        <is>
          <t>32285004295522</t>
        </is>
      </c>
      <c r="BD375" t="inlineStr">
        <is>
          <t>893416415</t>
        </is>
      </c>
    </row>
    <row r="376">
      <c r="A376" t="inlineStr">
        <is>
          <t>No</t>
        </is>
      </c>
      <c r="B376" t="inlineStr">
        <is>
          <t>HT421 .B4</t>
        </is>
      </c>
      <c r="C376" t="inlineStr">
        <is>
          <t>0                      HT 0421000B  4</t>
        </is>
      </c>
      <c r="D376" t="inlineStr">
        <is>
          <t>Rural sociology; an analysis of contemporary rural life [by] Alvin L. Bertrand, editor, and associates.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Bertrand, Alvin Lee, 1918-</t>
        </is>
      </c>
      <c r="L376" t="inlineStr">
        <is>
          <t>New York, McGraw-Hill, 1958.</t>
        </is>
      </c>
      <c r="M376" t="inlineStr">
        <is>
          <t>1958</t>
        </is>
      </c>
      <c r="O376" t="inlineStr">
        <is>
          <t>eng</t>
        </is>
      </c>
      <c r="P376" t="inlineStr">
        <is>
          <t>nyu</t>
        </is>
      </c>
      <c r="R376" t="inlineStr">
        <is>
          <t xml:space="preserve">HT </t>
        </is>
      </c>
      <c r="S376" t="n">
        <v>4</v>
      </c>
      <c r="T376" t="n">
        <v>4</v>
      </c>
      <c r="U376" t="inlineStr">
        <is>
          <t>1998-10-01</t>
        </is>
      </c>
      <c r="V376" t="inlineStr">
        <is>
          <t>1998-10-01</t>
        </is>
      </c>
      <c r="W376" t="inlineStr">
        <is>
          <t>1997-08-18</t>
        </is>
      </c>
      <c r="X376" t="inlineStr">
        <is>
          <t>1997-08-18</t>
        </is>
      </c>
      <c r="Y376" t="n">
        <v>470</v>
      </c>
      <c r="Z376" t="n">
        <v>353</v>
      </c>
      <c r="AA376" t="n">
        <v>356</v>
      </c>
      <c r="AB376" t="n">
        <v>2</v>
      </c>
      <c r="AC376" t="n">
        <v>2</v>
      </c>
      <c r="AD376" t="n">
        <v>12</v>
      </c>
      <c r="AE376" t="n">
        <v>12</v>
      </c>
      <c r="AF376" t="n">
        <v>5</v>
      </c>
      <c r="AG376" t="n">
        <v>5</v>
      </c>
      <c r="AH376" t="n">
        <v>4</v>
      </c>
      <c r="AI376" t="n">
        <v>4</v>
      </c>
      <c r="AJ376" t="n">
        <v>7</v>
      </c>
      <c r="AK376" t="n">
        <v>7</v>
      </c>
      <c r="AL376" t="n">
        <v>1</v>
      </c>
      <c r="AM376" t="n">
        <v>1</v>
      </c>
      <c r="AN376" t="n">
        <v>0</v>
      </c>
      <c r="AO376" t="n">
        <v>0</v>
      </c>
      <c r="AP376" t="inlineStr">
        <is>
          <t>No</t>
        </is>
      </c>
      <c r="AQ376" t="inlineStr">
        <is>
          <t>No</t>
        </is>
      </c>
      <c r="AR376">
        <f>HYPERLINK("http://catalog.hathitrust.org/Record/006223524","HathiTrust Record")</f>
        <v/>
      </c>
      <c r="AS376">
        <f>HYPERLINK("https://creighton-primo.hosted.exlibrisgroup.com/primo-explore/search?tab=default_tab&amp;search_scope=EVERYTHING&amp;vid=01CRU&amp;lang=en_US&amp;offset=0&amp;query=any,contains,991002051339702656","Catalog Record")</f>
        <v/>
      </c>
      <c r="AT376">
        <f>HYPERLINK("http://www.worldcat.org/oclc/261798","WorldCat Record")</f>
        <v/>
      </c>
      <c r="AU376" t="inlineStr">
        <is>
          <t>1371655:eng</t>
        </is>
      </c>
      <c r="AV376" t="inlineStr">
        <is>
          <t>261798</t>
        </is>
      </c>
      <c r="AW376" t="inlineStr">
        <is>
          <t>991002051339702656</t>
        </is>
      </c>
      <c r="AX376" t="inlineStr">
        <is>
          <t>991002051339702656</t>
        </is>
      </c>
      <c r="AY376" t="inlineStr">
        <is>
          <t>2266696920002656</t>
        </is>
      </c>
      <c r="AZ376" t="inlineStr">
        <is>
          <t>BOOK</t>
        </is>
      </c>
      <c r="BC376" t="inlineStr">
        <is>
          <t>32285003147799</t>
        </is>
      </c>
      <c r="BD376" t="inlineStr">
        <is>
          <t>893709802</t>
        </is>
      </c>
    </row>
    <row r="377">
      <c r="A377" t="inlineStr">
        <is>
          <t>No</t>
        </is>
      </c>
      <c r="B377" t="inlineStr">
        <is>
          <t>HT421 .R83 1983</t>
        </is>
      </c>
      <c r="C377" t="inlineStr">
        <is>
          <t>0                      HT 0421000R  83          1983</t>
        </is>
      </c>
      <c r="D377" t="inlineStr">
        <is>
          <t>Rural psychology / edited by Alan W. Childs and Gary B. Melton.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L377" t="inlineStr">
        <is>
          <t>New York : Plenum Press, c1983.</t>
        </is>
      </c>
      <c r="M377" t="inlineStr">
        <is>
          <t>1983</t>
        </is>
      </c>
      <c r="O377" t="inlineStr">
        <is>
          <t>eng</t>
        </is>
      </c>
      <c r="P377" t="inlineStr">
        <is>
          <t>nyu</t>
        </is>
      </c>
      <c r="R377" t="inlineStr">
        <is>
          <t xml:space="preserve">HT </t>
        </is>
      </c>
      <c r="S377" t="n">
        <v>2</v>
      </c>
      <c r="T377" t="n">
        <v>2</v>
      </c>
      <c r="U377" t="inlineStr">
        <is>
          <t>2004-03-02</t>
        </is>
      </c>
      <c r="V377" t="inlineStr">
        <is>
          <t>2004-03-02</t>
        </is>
      </c>
      <c r="W377" t="inlineStr">
        <is>
          <t>1992-08-12</t>
        </is>
      </c>
      <c r="X377" t="inlineStr">
        <is>
          <t>1992-08-12</t>
        </is>
      </c>
      <c r="Y377" t="n">
        <v>302</v>
      </c>
      <c r="Z377" t="n">
        <v>233</v>
      </c>
      <c r="AA377" t="n">
        <v>257</v>
      </c>
      <c r="AB377" t="n">
        <v>4</v>
      </c>
      <c r="AC377" t="n">
        <v>4</v>
      </c>
      <c r="AD377" t="n">
        <v>10</v>
      </c>
      <c r="AE377" t="n">
        <v>12</v>
      </c>
      <c r="AF377" t="n">
        <v>1</v>
      </c>
      <c r="AG377" t="n">
        <v>3</v>
      </c>
      <c r="AH377" t="n">
        <v>4</v>
      </c>
      <c r="AI377" t="n">
        <v>4</v>
      </c>
      <c r="AJ377" t="n">
        <v>4</v>
      </c>
      <c r="AK377" t="n">
        <v>5</v>
      </c>
      <c r="AL377" t="n">
        <v>3</v>
      </c>
      <c r="AM377" t="n">
        <v>3</v>
      </c>
      <c r="AN377" t="n">
        <v>0</v>
      </c>
      <c r="AO377" t="n">
        <v>0</v>
      </c>
      <c r="AP377" t="inlineStr">
        <is>
          <t>No</t>
        </is>
      </c>
      <c r="AQ377" t="inlineStr">
        <is>
          <t>Yes</t>
        </is>
      </c>
      <c r="AR377">
        <f>HYPERLINK("http://catalog.hathitrust.org/Record/000154952","HathiTrust Record")</f>
        <v/>
      </c>
      <c r="AS377">
        <f>HYPERLINK("https://creighton-primo.hosted.exlibrisgroup.com/primo-explore/search?tab=default_tab&amp;search_scope=EVERYTHING&amp;vid=01CRU&amp;lang=en_US&amp;offset=0&amp;query=any,contains,991000126319702656","Catalog Record")</f>
        <v/>
      </c>
      <c r="AT377">
        <f>HYPERLINK("http://www.worldcat.org/oclc/9083334","WorldCat Record")</f>
        <v/>
      </c>
      <c r="AU377" t="inlineStr">
        <is>
          <t>351841150:eng</t>
        </is>
      </c>
      <c r="AV377" t="inlineStr">
        <is>
          <t>9083334</t>
        </is>
      </c>
      <c r="AW377" t="inlineStr">
        <is>
          <t>991000126319702656</t>
        </is>
      </c>
      <c r="AX377" t="inlineStr">
        <is>
          <t>991000126319702656</t>
        </is>
      </c>
      <c r="AY377" t="inlineStr">
        <is>
          <t>2254957980002656</t>
        </is>
      </c>
      <c r="AZ377" t="inlineStr">
        <is>
          <t>BOOK</t>
        </is>
      </c>
      <c r="BB377" t="inlineStr">
        <is>
          <t>9780306410451</t>
        </is>
      </c>
      <c r="BC377" t="inlineStr">
        <is>
          <t>32285001253870</t>
        </is>
      </c>
      <c r="BD377" t="inlineStr">
        <is>
          <t>893431716</t>
        </is>
      </c>
    </row>
    <row r="378">
      <c r="A378" t="inlineStr">
        <is>
          <t>No</t>
        </is>
      </c>
      <c r="B378" t="inlineStr">
        <is>
          <t>HT421 .S6</t>
        </is>
      </c>
      <c r="C378" t="inlineStr">
        <is>
          <t>0                      HT 0421000S  6</t>
        </is>
      </c>
      <c r="D378" t="inlineStr">
        <is>
          <t>Principles of rural-urban sociology / by Pitirim Sorokin and Carle C. Zimmerman.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K378" t="inlineStr">
        <is>
          <t>Sorokin, Pitirim Aleksandrovich, 1889-1968.</t>
        </is>
      </c>
      <c r="L378" t="inlineStr">
        <is>
          <t>New York : H. Holt [c1929]</t>
        </is>
      </c>
      <c r="M378" t="inlineStr">
        <is>
          <t>1929</t>
        </is>
      </c>
      <c r="O378" t="inlineStr">
        <is>
          <t>eng</t>
        </is>
      </c>
      <c r="P378" t="inlineStr">
        <is>
          <t>nyu</t>
        </is>
      </c>
      <c r="Q378" t="inlineStr">
        <is>
          <t>American social science series, under the editorship of H. W. Odum.</t>
        </is>
      </c>
      <c r="R378" t="inlineStr">
        <is>
          <t xml:space="preserve">HT </t>
        </is>
      </c>
      <c r="S378" t="n">
        <v>3</v>
      </c>
      <c r="T378" t="n">
        <v>3</v>
      </c>
      <c r="U378" t="inlineStr">
        <is>
          <t>2001-09-24</t>
        </is>
      </c>
      <c r="V378" t="inlineStr">
        <is>
          <t>2001-09-24</t>
        </is>
      </c>
      <c r="W378" t="inlineStr">
        <is>
          <t>1997-08-18</t>
        </is>
      </c>
      <c r="X378" t="inlineStr">
        <is>
          <t>1997-08-18</t>
        </is>
      </c>
      <c r="Y378" t="n">
        <v>360</v>
      </c>
      <c r="Z378" t="n">
        <v>309</v>
      </c>
      <c r="AA378" t="n">
        <v>388</v>
      </c>
      <c r="AB378" t="n">
        <v>3</v>
      </c>
      <c r="AC378" t="n">
        <v>4</v>
      </c>
      <c r="AD378" t="n">
        <v>21</v>
      </c>
      <c r="AE378" t="n">
        <v>26</v>
      </c>
      <c r="AF378" t="n">
        <v>6</v>
      </c>
      <c r="AG378" t="n">
        <v>7</v>
      </c>
      <c r="AH378" t="n">
        <v>4</v>
      </c>
      <c r="AI378" t="n">
        <v>7</v>
      </c>
      <c r="AJ378" t="n">
        <v>14</v>
      </c>
      <c r="AK378" t="n">
        <v>16</v>
      </c>
      <c r="AL378" t="n">
        <v>2</v>
      </c>
      <c r="AM378" t="n">
        <v>3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HYPERLINK("http://catalog.hathitrust.org/Record/001741768","HathiTrust Record")</f>
        <v/>
      </c>
      <c r="AS378">
        <f>HYPERLINK("https://creighton-primo.hosted.exlibrisgroup.com/primo-explore/search?tab=default_tab&amp;search_scope=EVERYTHING&amp;vid=01CRU&amp;lang=en_US&amp;offset=0&amp;query=any,contains,991004757519702656","Catalog Record")</f>
        <v/>
      </c>
      <c r="AT378">
        <f>HYPERLINK("http://www.worldcat.org/oclc/4976487","WorldCat Record")</f>
        <v/>
      </c>
      <c r="AU378" t="inlineStr">
        <is>
          <t>3768480132:eng</t>
        </is>
      </c>
      <c r="AV378" t="inlineStr">
        <is>
          <t>4976487</t>
        </is>
      </c>
      <c r="AW378" t="inlineStr">
        <is>
          <t>991004757519702656</t>
        </is>
      </c>
      <c r="AX378" t="inlineStr">
        <is>
          <t>991004757519702656</t>
        </is>
      </c>
      <c r="AY378" t="inlineStr">
        <is>
          <t>2269157320002656</t>
        </is>
      </c>
      <c r="AZ378" t="inlineStr">
        <is>
          <t>BOOK</t>
        </is>
      </c>
      <c r="BC378" t="inlineStr">
        <is>
          <t>32285003147922</t>
        </is>
      </c>
      <c r="BD378" t="inlineStr">
        <is>
          <t>893353523</t>
        </is>
      </c>
    </row>
    <row r="379">
      <c r="A379" t="inlineStr">
        <is>
          <t>No</t>
        </is>
      </c>
      <c r="B379" t="inlineStr">
        <is>
          <t>HT605 .B4 1966</t>
        </is>
      </c>
      <c r="C379" t="inlineStr">
        <is>
          <t>0                      HT 0605000B  4           1966</t>
        </is>
      </c>
      <c r="D379" t="inlineStr">
        <is>
          <t>Class, status, and power; social stratification in comparative perspective, edited by Reinhard Bendix and Seymour Martin Lipset.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Bendix, Reinhard, editor.</t>
        </is>
      </c>
      <c r="L379" t="inlineStr">
        <is>
          <t>New York, Free Press [1966]</t>
        </is>
      </c>
      <c r="M379" t="inlineStr">
        <is>
          <t>1966</t>
        </is>
      </c>
      <c r="N379" t="inlineStr">
        <is>
          <t>2d ed.</t>
        </is>
      </c>
      <c r="O379" t="inlineStr">
        <is>
          <t>eng</t>
        </is>
      </c>
      <c r="P379" t="inlineStr">
        <is>
          <t>nyu</t>
        </is>
      </c>
      <c r="R379" t="inlineStr">
        <is>
          <t xml:space="preserve">HT </t>
        </is>
      </c>
      <c r="S379" t="n">
        <v>6</v>
      </c>
      <c r="T379" t="n">
        <v>6</v>
      </c>
      <c r="U379" t="inlineStr">
        <is>
          <t>1999-07-30</t>
        </is>
      </c>
      <c r="V379" t="inlineStr">
        <is>
          <t>1999-07-30</t>
        </is>
      </c>
      <c r="W379" t="inlineStr">
        <is>
          <t>1997-08-18</t>
        </is>
      </c>
      <c r="X379" t="inlineStr">
        <is>
          <t>1997-08-18</t>
        </is>
      </c>
      <c r="Y379" t="n">
        <v>1211</v>
      </c>
      <c r="Z379" t="n">
        <v>1011</v>
      </c>
      <c r="AA379" t="n">
        <v>1042</v>
      </c>
      <c r="AB379" t="n">
        <v>8</v>
      </c>
      <c r="AC379" t="n">
        <v>8</v>
      </c>
      <c r="AD379" t="n">
        <v>44</v>
      </c>
      <c r="AE379" t="n">
        <v>46</v>
      </c>
      <c r="AF379" t="n">
        <v>18</v>
      </c>
      <c r="AG379" t="n">
        <v>20</v>
      </c>
      <c r="AH379" t="n">
        <v>9</v>
      </c>
      <c r="AI379" t="n">
        <v>9</v>
      </c>
      <c r="AJ379" t="n">
        <v>19</v>
      </c>
      <c r="AK379" t="n">
        <v>20</v>
      </c>
      <c r="AL379" t="n">
        <v>7</v>
      </c>
      <c r="AM379" t="n">
        <v>7</v>
      </c>
      <c r="AN379" t="n">
        <v>0</v>
      </c>
      <c r="AO379" t="n">
        <v>0</v>
      </c>
      <c r="AP379" t="inlineStr">
        <is>
          <t>No</t>
        </is>
      </c>
      <c r="AQ379" t="inlineStr">
        <is>
          <t>Yes</t>
        </is>
      </c>
      <c r="AR379">
        <f>HYPERLINK("http://catalog.hathitrust.org/Record/001119509","HathiTrust Record")</f>
        <v/>
      </c>
      <c r="AS379">
        <f>HYPERLINK("https://creighton-primo.hosted.exlibrisgroup.com/primo-explore/search?tab=default_tab&amp;search_scope=EVERYTHING&amp;vid=01CRU&amp;lang=en_US&amp;offset=0&amp;query=any,contains,991002474349702656","Catalog Record")</f>
        <v/>
      </c>
      <c r="AT379">
        <f>HYPERLINK("http://www.worldcat.org/oclc/358842","WorldCat Record")</f>
        <v/>
      </c>
      <c r="AU379" t="inlineStr">
        <is>
          <t>3811571896:eng</t>
        </is>
      </c>
      <c r="AV379" t="inlineStr">
        <is>
          <t>358842</t>
        </is>
      </c>
      <c r="AW379" t="inlineStr">
        <is>
          <t>991002474349702656</t>
        </is>
      </c>
      <c r="AX379" t="inlineStr">
        <is>
          <t>991002474349702656</t>
        </is>
      </c>
      <c r="AY379" t="inlineStr">
        <is>
          <t>2266095520002656</t>
        </is>
      </c>
      <c r="AZ379" t="inlineStr">
        <is>
          <t>BOOK</t>
        </is>
      </c>
      <c r="BC379" t="inlineStr">
        <is>
          <t>32285003148037</t>
        </is>
      </c>
      <c r="BD379" t="inlineStr">
        <is>
          <t>893427635</t>
        </is>
      </c>
    </row>
    <row r="380">
      <c r="A380" t="inlineStr">
        <is>
          <t>No</t>
        </is>
      </c>
      <c r="B380" t="inlineStr">
        <is>
          <t>HT609 .B38</t>
        </is>
      </c>
      <c r="C380" t="inlineStr">
        <is>
          <t>0                      HT 0609000B  38</t>
        </is>
      </c>
      <c r="D380" t="inlineStr">
        <is>
          <t>Social stratification.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Bergel, Egon Ernest, 1894-1969.</t>
        </is>
      </c>
      <c r="L380" t="inlineStr">
        <is>
          <t>New York, McGraw-Hill, 1962.</t>
        </is>
      </c>
      <c r="M380" t="inlineStr">
        <is>
          <t>1962</t>
        </is>
      </c>
      <c r="O380" t="inlineStr">
        <is>
          <t>eng</t>
        </is>
      </c>
      <c r="P380" t="inlineStr">
        <is>
          <t>nyu</t>
        </is>
      </c>
      <c r="Q380" t="inlineStr">
        <is>
          <t>McGraw-Hill series in sociology</t>
        </is>
      </c>
      <c r="R380" t="inlineStr">
        <is>
          <t xml:space="preserve">HT </t>
        </is>
      </c>
      <c r="S380" t="n">
        <v>3</v>
      </c>
      <c r="T380" t="n">
        <v>3</v>
      </c>
      <c r="U380" t="inlineStr">
        <is>
          <t>2001-10-24</t>
        </is>
      </c>
      <c r="V380" t="inlineStr">
        <is>
          <t>2001-10-24</t>
        </is>
      </c>
      <c r="W380" t="inlineStr">
        <is>
          <t>1997-08-18</t>
        </is>
      </c>
      <c r="X380" t="inlineStr">
        <is>
          <t>1997-08-18</t>
        </is>
      </c>
      <c r="Y380" t="n">
        <v>594</v>
      </c>
      <c r="Z380" t="n">
        <v>453</v>
      </c>
      <c r="AA380" t="n">
        <v>468</v>
      </c>
      <c r="AB380" t="n">
        <v>5</v>
      </c>
      <c r="AC380" t="n">
        <v>5</v>
      </c>
      <c r="AD380" t="n">
        <v>22</v>
      </c>
      <c r="AE380" t="n">
        <v>22</v>
      </c>
      <c r="AF380" t="n">
        <v>7</v>
      </c>
      <c r="AG380" t="n">
        <v>7</v>
      </c>
      <c r="AH380" t="n">
        <v>2</v>
      </c>
      <c r="AI380" t="n">
        <v>2</v>
      </c>
      <c r="AJ380" t="n">
        <v>15</v>
      </c>
      <c r="AK380" t="n">
        <v>15</v>
      </c>
      <c r="AL380" t="n">
        <v>4</v>
      </c>
      <c r="AM380" t="n">
        <v>4</v>
      </c>
      <c r="AN380" t="n">
        <v>0</v>
      </c>
      <c r="AO380" t="n">
        <v>0</v>
      </c>
      <c r="AP380" t="inlineStr">
        <is>
          <t>Yes</t>
        </is>
      </c>
      <c r="AQ380" t="inlineStr">
        <is>
          <t>No</t>
        </is>
      </c>
      <c r="AR380">
        <f>HYPERLINK("http://catalog.hathitrust.org/Record/001130574","HathiTrust Record")</f>
        <v/>
      </c>
      <c r="AS380">
        <f>HYPERLINK("https://creighton-primo.hosted.exlibrisgroup.com/primo-explore/search?tab=default_tab&amp;search_scope=EVERYTHING&amp;vid=01CRU&amp;lang=en_US&amp;offset=0&amp;query=any,contains,991002051029702656","Catalog Record")</f>
        <v/>
      </c>
      <c r="AT380">
        <f>HYPERLINK("http://www.worldcat.org/oclc/261725","WorldCat Record")</f>
        <v/>
      </c>
      <c r="AU380" t="inlineStr">
        <is>
          <t>765995410:eng</t>
        </is>
      </c>
      <c r="AV380" t="inlineStr">
        <is>
          <t>261725</t>
        </is>
      </c>
      <c r="AW380" t="inlineStr">
        <is>
          <t>991002051029702656</t>
        </is>
      </c>
      <c r="AX380" t="inlineStr">
        <is>
          <t>991002051029702656</t>
        </is>
      </c>
      <c r="AY380" t="inlineStr">
        <is>
          <t>2266674940002656</t>
        </is>
      </c>
      <c r="AZ380" t="inlineStr">
        <is>
          <t>BOOK</t>
        </is>
      </c>
      <c r="BC380" t="inlineStr">
        <is>
          <t>32285003148078</t>
        </is>
      </c>
      <c r="BD380" t="inlineStr">
        <is>
          <t>893529469</t>
        </is>
      </c>
    </row>
    <row r="381">
      <c r="A381" t="inlineStr">
        <is>
          <t>No</t>
        </is>
      </c>
      <c r="B381" t="inlineStr">
        <is>
          <t>HT609 .B45 1990</t>
        </is>
      </c>
      <c r="C381" t="inlineStr">
        <is>
          <t>0                      HT 0609000B  45          1990</t>
        </is>
      </c>
      <c r="D381" t="inlineStr">
        <is>
          <t>Biosocial aspects of social class / edited by C.G. Nicholas Mascie-Taylor.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L381" t="inlineStr">
        <is>
          <t>Oxford ; New York : Oxford University Press, 1990.</t>
        </is>
      </c>
      <c r="M381" t="inlineStr">
        <is>
          <t>1990</t>
        </is>
      </c>
      <c r="O381" t="inlineStr">
        <is>
          <t>eng</t>
        </is>
      </c>
      <c r="P381" t="inlineStr">
        <is>
          <t>enk</t>
        </is>
      </c>
      <c r="Q381" t="inlineStr">
        <is>
          <t>Biosocial Society series ; 2</t>
        </is>
      </c>
      <c r="R381" t="inlineStr">
        <is>
          <t xml:space="preserve">HT </t>
        </is>
      </c>
      <c r="S381" t="n">
        <v>6</v>
      </c>
      <c r="T381" t="n">
        <v>6</v>
      </c>
      <c r="U381" t="inlineStr">
        <is>
          <t>1999-04-22</t>
        </is>
      </c>
      <c r="V381" t="inlineStr">
        <is>
          <t>1999-04-22</t>
        </is>
      </c>
      <c r="W381" t="inlineStr">
        <is>
          <t>1990-10-09</t>
        </is>
      </c>
      <c r="X381" t="inlineStr">
        <is>
          <t>1990-10-09</t>
        </is>
      </c>
      <c r="Y381" t="n">
        <v>247</v>
      </c>
      <c r="Z381" t="n">
        <v>172</v>
      </c>
      <c r="AA381" t="n">
        <v>174</v>
      </c>
      <c r="AB381" t="n">
        <v>3</v>
      </c>
      <c r="AC381" t="n">
        <v>3</v>
      </c>
      <c r="AD381" t="n">
        <v>9</v>
      </c>
      <c r="AE381" t="n">
        <v>9</v>
      </c>
      <c r="AF381" t="n">
        <v>1</v>
      </c>
      <c r="AG381" t="n">
        <v>1</v>
      </c>
      <c r="AH381" t="n">
        <v>3</v>
      </c>
      <c r="AI381" t="n">
        <v>3</v>
      </c>
      <c r="AJ381" t="n">
        <v>6</v>
      </c>
      <c r="AK381" t="n">
        <v>6</v>
      </c>
      <c r="AL381" t="n">
        <v>2</v>
      </c>
      <c r="AM381" t="n">
        <v>2</v>
      </c>
      <c r="AN381" t="n">
        <v>0</v>
      </c>
      <c r="AO381" t="n">
        <v>0</v>
      </c>
      <c r="AP381" t="inlineStr">
        <is>
          <t>No</t>
        </is>
      </c>
      <c r="AQ381" t="inlineStr">
        <is>
          <t>Yes</t>
        </is>
      </c>
      <c r="AR381">
        <f>HYPERLINK("http://catalog.hathitrust.org/Record/002056994","HathiTrust Record")</f>
        <v/>
      </c>
      <c r="AS381">
        <f>HYPERLINK("https://creighton-primo.hosted.exlibrisgroup.com/primo-explore/search?tab=default_tab&amp;search_scope=EVERYTHING&amp;vid=01CRU&amp;lang=en_US&amp;offset=0&amp;query=any,contains,991001524519702656","Catalog Record")</f>
        <v/>
      </c>
      <c r="AT381">
        <f>HYPERLINK("http://www.worldcat.org/oclc/20012172","WorldCat Record")</f>
        <v/>
      </c>
      <c r="AU381" t="inlineStr">
        <is>
          <t>21308212:eng</t>
        </is>
      </c>
      <c r="AV381" t="inlineStr">
        <is>
          <t>20012172</t>
        </is>
      </c>
      <c r="AW381" t="inlineStr">
        <is>
          <t>991001524519702656</t>
        </is>
      </c>
      <c r="AX381" t="inlineStr">
        <is>
          <t>991001524519702656</t>
        </is>
      </c>
      <c r="AY381" t="inlineStr">
        <is>
          <t>2260862960002656</t>
        </is>
      </c>
      <c r="AZ381" t="inlineStr">
        <is>
          <t>BOOK</t>
        </is>
      </c>
      <c r="BB381" t="inlineStr">
        <is>
          <t>9780198577249</t>
        </is>
      </c>
      <c r="BC381" t="inlineStr">
        <is>
          <t>32285000279785</t>
        </is>
      </c>
      <c r="BD381" t="inlineStr">
        <is>
          <t>893690670</t>
        </is>
      </c>
    </row>
    <row r="382">
      <c r="A382" t="inlineStr">
        <is>
          <t>No</t>
        </is>
      </c>
      <c r="B382" t="inlineStr">
        <is>
          <t>HT609 .C7 1959</t>
        </is>
      </c>
      <c r="C382" t="inlineStr">
        <is>
          <t>0                      HT 0609000C  7           1959</t>
        </is>
      </c>
      <c r="D382" t="inlineStr">
        <is>
          <t>Caste, class, &amp; race : a study in social dynamics / introd. by Joseph S. Roucek.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K382" t="inlineStr">
        <is>
          <t>Cox, Oliver C. (Oliver Cromwell), 1901-1974.</t>
        </is>
      </c>
      <c r="L382" t="inlineStr">
        <is>
          <t>New York : Monthly Review Press, 1959.</t>
        </is>
      </c>
      <c r="M382" t="inlineStr">
        <is>
          <t>1959</t>
        </is>
      </c>
      <c r="O382" t="inlineStr">
        <is>
          <t>eng</t>
        </is>
      </c>
      <c r="P382" t="inlineStr">
        <is>
          <t>nyu</t>
        </is>
      </c>
      <c r="R382" t="inlineStr">
        <is>
          <t xml:space="preserve">HT </t>
        </is>
      </c>
      <c r="S382" t="n">
        <v>9</v>
      </c>
      <c r="T382" t="n">
        <v>9</v>
      </c>
      <c r="U382" t="inlineStr">
        <is>
          <t>1998-11-19</t>
        </is>
      </c>
      <c r="V382" t="inlineStr">
        <is>
          <t>1998-11-19</t>
        </is>
      </c>
      <c r="W382" t="inlineStr">
        <is>
          <t>1993-02-17</t>
        </is>
      </c>
      <c r="X382" t="inlineStr">
        <is>
          <t>1993-02-17</t>
        </is>
      </c>
      <c r="Y382" t="n">
        <v>479</v>
      </c>
      <c r="Z382" t="n">
        <v>389</v>
      </c>
      <c r="AA382" t="n">
        <v>883</v>
      </c>
      <c r="AB382" t="n">
        <v>4</v>
      </c>
      <c r="AC382" t="n">
        <v>4</v>
      </c>
      <c r="AD382" t="n">
        <v>18</v>
      </c>
      <c r="AE382" t="n">
        <v>41</v>
      </c>
      <c r="AF382" t="n">
        <v>8</v>
      </c>
      <c r="AG382" t="n">
        <v>19</v>
      </c>
      <c r="AH382" t="n">
        <v>1</v>
      </c>
      <c r="AI382" t="n">
        <v>7</v>
      </c>
      <c r="AJ382" t="n">
        <v>8</v>
      </c>
      <c r="AK382" t="n">
        <v>21</v>
      </c>
      <c r="AL382" t="n">
        <v>3</v>
      </c>
      <c r="AM382" t="n">
        <v>3</v>
      </c>
      <c r="AN382" t="n">
        <v>0</v>
      </c>
      <c r="AO382" t="n">
        <v>1</v>
      </c>
      <c r="AP382" t="inlineStr">
        <is>
          <t>No</t>
        </is>
      </c>
      <c r="AQ382" t="inlineStr">
        <is>
          <t>Yes</t>
        </is>
      </c>
      <c r="AR382">
        <f>HYPERLINK("http://catalog.hathitrust.org/Record/000689132","HathiTrust Record")</f>
        <v/>
      </c>
      <c r="AS382">
        <f>HYPERLINK("https://creighton-primo.hosted.exlibrisgroup.com/primo-explore/search?tab=default_tab&amp;search_scope=EVERYTHING&amp;vid=01CRU&amp;lang=en_US&amp;offset=0&amp;query=any,contains,991002051179702656","Catalog Record")</f>
        <v/>
      </c>
      <c r="AT382">
        <f>HYPERLINK("http://www.worldcat.org/oclc/261762","WorldCat Record")</f>
        <v/>
      </c>
      <c r="AU382" t="inlineStr">
        <is>
          <t>364058818:eng</t>
        </is>
      </c>
      <c r="AV382" t="inlineStr">
        <is>
          <t>261762</t>
        </is>
      </c>
      <c r="AW382" t="inlineStr">
        <is>
          <t>991002051179702656</t>
        </is>
      </c>
      <c r="AX382" t="inlineStr">
        <is>
          <t>991002051179702656</t>
        </is>
      </c>
      <c r="AY382" t="inlineStr">
        <is>
          <t>2266697190002656</t>
        </is>
      </c>
      <c r="AZ382" t="inlineStr">
        <is>
          <t>BOOK</t>
        </is>
      </c>
      <c r="BC382" t="inlineStr">
        <is>
          <t>32285001502730</t>
        </is>
      </c>
      <c r="BD382" t="inlineStr">
        <is>
          <t>893615637</t>
        </is>
      </c>
    </row>
    <row r="383">
      <c r="A383" t="inlineStr">
        <is>
          <t>No</t>
        </is>
      </c>
      <c r="B383" t="inlineStr">
        <is>
          <t>HT609 .D313</t>
        </is>
      </c>
      <c r="C383" t="inlineStr">
        <is>
          <t>0                      HT 0609000D  313</t>
        </is>
      </c>
      <c r="D383" t="inlineStr">
        <is>
          <t>Class and class conflict in industrial society. [Translated, rev., and expanded by the author]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Dahrendorf, Ralf, 1929-2009.</t>
        </is>
      </c>
      <c r="L383" t="inlineStr">
        <is>
          <t>Stanford, Calif., Stanford University Press, 1959.</t>
        </is>
      </c>
      <c r="M383" t="inlineStr">
        <is>
          <t>1959</t>
        </is>
      </c>
      <c r="O383" t="inlineStr">
        <is>
          <t>eng</t>
        </is>
      </c>
      <c r="P383" t="inlineStr">
        <is>
          <t>cau</t>
        </is>
      </c>
      <c r="R383" t="inlineStr">
        <is>
          <t xml:space="preserve">HT </t>
        </is>
      </c>
      <c r="S383" t="n">
        <v>3</v>
      </c>
      <c r="T383" t="n">
        <v>3</v>
      </c>
      <c r="U383" t="inlineStr">
        <is>
          <t>2005-04-12</t>
        </is>
      </c>
      <c r="V383" t="inlineStr">
        <is>
          <t>2005-04-12</t>
        </is>
      </c>
      <c r="W383" t="inlineStr">
        <is>
          <t>1997-08-18</t>
        </is>
      </c>
      <c r="X383" t="inlineStr">
        <is>
          <t>1997-08-18</t>
        </is>
      </c>
      <c r="Y383" t="n">
        <v>1200</v>
      </c>
      <c r="Z383" t="n">
        <v>1026</v>
      </c>
      <c r="AA383" t="n">
        <v>1084</v>
      </c>
      <c r="AB383" t="n">
        <v>6</v>
      </c>
      <c r="AC383" t="n">
        <v>6</v>
      </c>
      <c r="AD383" t="n">
        <v>49</v>
      </c>
      <c r="AE383" t="n">
        <v>50</v>
      </c>
      <c r="AF383" t="n">
        <v>19</v>
      </c>
      <c r="AG383" t="n">
        <v>19</v>
      </c>
      <c r="AH383" t="n">
        <v>9</v>
      </c>
      <c r="AI383" t="n">
        <v>9</v>
      </c>
      <c r="AJ383" t="n">
        <v>23</v>
      </c>
      <c r="AK383" t="n">
        <v>24</v>
      </c>
      <c r="AL383" t="n">
        <v>5</v>
      </c>
      <c r="AM383" t="n">
        <v>5</v>
      </c>
      <c r="AN383" t="n">
        <v>4</v>
      </c>
      <c r="AO383" t="n">
        <v>4</v>
      </c>
      <c r="AP383" t="inlineStr">
        <is>
          <t>No</t>
        </is>
      </c>
      <c r="AQ383" t="inlineStr">
        <is>
          <t>Yes</t>
        </is>
      </c>
      <c r="AR383">
        <f>HYPERLINK("http://catalog.hathitrust.org/Record/001130583","HathiTrust Record")</f>
        <v/>
      </c>
      <c r="AS383">
        <f>HYPERLINK("https://creighton-primo.hosted.exlibrisgroup.com/primo-explore/search?tab=default_tab&amp;search_scope=EVERYTHING&amp;vid=01CRU&amp;lang=en_US&amp;offset=0&amp;query=any,contains,991002070519702656","Catalog Record")</f>
        <v/>
      </c>
      <c r="AT383">
        <f>HYPERLINK("http://www.worldcat.org/oclc/263443","WorldCat Record")</f>
        <v/>
      </c>
      <c r="AU383" t="inlineStr">
        <is>
          <t>309125927:eng</t>
        </is>
      </c>
      <c r="AV383" t="inlineStr">
        <is>
          <t>263443</t>
        </is>
      </c>
      <c r="AW383" t="inlineStr">
        <is>
          <t>991002070519702656</t>
        </is>
      </c>
      <c r="AX383" t="inlineStr">
        <is>
          <t>991002070519702656</t>
        </is>
      </c>
      <c r="AY383" t="inlineStr">
        <is>
          <t>2268741590002656</t>
        </is>
      </c>
      <c r="AZ383" t="inlineStr">
        <is>
          <t>BOOK</t>
        </is>
      </c>
      <c r="BC383" t="inlineStr">
        <is>
          <t>32285003148094</t>
        </is>
      </c>
      <c r="BD383" t="inlineStr">
        <is>
          <t>893684919</t>
        </is>
      </c>
    </row>
    <row r="384">
      <c r="A384" t="inlineStr">
        <is>
          <t>No</t>
        </is>
      </c>
      <c r="B384" t="inlineStr">
        <is>
          <t>HT609 .F28 2006</t>
        </is>
      </c>
      <c r="C384" t="inlineStr">
        <is>
          <t>0                      HT 0609000F  28          2006</t>
        </is>
      </c>
      <c r="D384" t="inlineStr">
        <is>
          <t>The global class war : how America's bipartisan elite lost our future- and what it will take to win it back / Jeff Faux.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Faux, Geoffrey P.</t>
        </is>
      </c>
      <c r="L384" t="inlineStr">
        <is>
          <t>Hoboken, N.J. : Wiley, c2006.</t>
        </is>
      </c>
      <c r="M384" t="inlineStr">
        <is>
          <t>2006</t>
        </is>
      </c>
      <c r="O384" t="inlineStr">
        <is>
          <t>eng</t>
        </is>
      </c>
      <c r="P384" t="inlineStr">
        <is>
          <t>nju</t>
        </is>
      </c>
      <c r="R384" t="inlineStr">
        <is>
          <t xml:space="preserve">HT </t>
        </is>
      </c>
      <c r="S384" t="n">
        <v>7</v>
      </c>
      <c r="T384" t="n">
        <v>7</v>
      </c>
      <c r="U384" t="inlineStr">
        <is>
          <t>2010-03-31</t>
        </is>
      </c>
      <c r="V384" t="inlineStr">
        <is>
          <t>2010-03-31</t>
        </is>
      </c>
      <c r="W384" t="inlineStr">
        <is>
          <t>2006-04-21</t>
        </is>
      </c>
      <c r="X384" t="inlineStr">
        <is>
          <t>2006-04-21</t>
        </is>
      </c>
      <c r="Y384" t="n">
        <v>819</v>
      </c>
      <c r="Z384" t="n">
        <v>739</v>
      </c>
      <c r="AA384" t="n">
        <v>765</v>
      </c>
      <c r="AB384" t="n">
        <v>7</v>
      </c>
      <c r="AC384" t="n">
        <v>7</v>
      </c>
      <c r="AD384" t="n">
        <v>34</v>
      </c>
      <c r="AE384" t="n">
        <v>34</v>
      </c>
      <c r="AF384" t="n">
        <v>13</v>
      </c>
      <c r="AG384" t="n">
        <v>13</v>
      </c>
      <c r="AH384" t="n">
        <v>5</v>
      </c>
      <c r="AI384" t="n">
        <v>5</v>
      </c>
      <c r="AJ384" t="n">
        <v>18</v>
      </c>
      <c r="AK384" t="n">
        <v>18</v>
      </c>
      <c r="AL384" t="n">
        <v>6</v>
      </c>
      <c r="AM384" t="n">
        <v>6</v>
      </c>
      <c r="AN384" t="n">
        <v>1</v>
      </c>
      <c r="AO384" t="n">
        <v>1</v>
      </c>
      <c r="AP384" t="inlineStr">
        <is>
          <t>No</t>
        </is>
      </c>
      <c r="AQ384" t="inlineStr">
        <is>
          <t>No</t>
        </is>
      </c>
      <c r="AS384">
        <f>HYPERLINK("https://creighton-primo.hosted.exlibrisgroup.com/primo-explore/search?tab=default_tab&amp;search_scope=EVERYTHING&amp;vid=01CRU&amp;lang=en_US&amp;offset=0&amp;query=any,contains,991004769649702656","Catalog Record")</f>
        <v/>
      </c>
      <c r="AT384">
        <f>HYPERLINK("http://www.worldcat.org/oclc/59223995","WorldCat Record")</f>
        <v/>
      </c>
      <c r="AU384" t="inlineStr">
        <is>
          <t>865476945:eng</t>
        </is>
      </c>
      <c r="AV384" t="inlineStr">
        <is>
          <t>59223995</t>
        </is>
      </c>
      <c r="AW384" t="inlineStr">
        <is>
          <t>991004769649702656</t>
        </is>
      </c>
      <c r="AX384" t="inlineStr">
        <is>
          <t>991004769649702656</t>
        </is>
      </c>
      <c r="AY384" t="inlineStr">
        <is>
          <t>2262761340002656</t>
        </is>
      </c>
      <c r="AZ384" t="inlineStr">
        <is>
          <t>BOOK</t>
        </is>
      </c>
      <c r="BB384" t="inlineStr">
        <is>
          <t>9780471697619</t>
        </is>
      </c>
      <c r="BC384" t="inlineStr">
        <is>
          <t>32285005064745</t>
        </is>
      </c>
      <c r="BD384" t="inlineStr">
        <is>
          <t>893694333</t>
        </is>
      </c>
    </row>
    <row r="385">
      <c r="A385" t="inlineStr">
        <is>
          <t>No</t>
        </is>
      </c>
      <c r="B385" t="inlineStr">
        <is>
          <t>HT609 .K63</t>
        </is>
      </c>
      <c r="C385" t="inlineStr">
        <is>
          <t>0                      HT 0609000K  63</t>
        </is>
      </c>
      <c r="D385" t="inlineStr">
        <is>
          <t>Class and conformity; a study in values [by] Melvin L. Kohn.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Kohn, Melvin L., 1928-</t>
        </is>
      </c>
      <c r="L385" t="inlineStr">
        <is>
          <t>Homewood, Ill., Dorsey Press, 1969.</t>
        </is>
      </c>
      <c r="M385" t="inlineStr">
        <is>
          <t>1969</t>
        </is>
      </c>
      <c r="O385" t="inlineStr">
        <is>
          <t>eng</t>
        </is>
      </c>
      <c r="P385" t="inlineStr">
        <is>
          <t>ilu</t>
        </is>
      </c>
      <c r="Q385" t="inlineStr">
        <is>
          <t>The Dorsey series in anthropology and sociology</t>
        </is>
      </c>
      <c r="R385" t="inlineStr">
        <is>
          <t xml:space="preserve">HT </t>
        </is>
      </c>
      <c r="S385" t="n">
        <v>3</v>
      </c>
      <c r="T385" t="n">
        <v>3</v>
      </c>
      <c r="U385" t="inlineStr">
        <is>
          <t>2003-03-16</t>
        </is>
      </c>
      <c r="V385" t="inlineStr">
        <is>
          <t>2003-03-16</t>
        </is>
      </c>
      <c r="W385" t="inlineStr">
        <is>
          <t>1997-08-18</t>
        </is>
      </c>
      <c r="X385" t="inlineStr">
        <is>
          <t>1997-08-18</t>
        </is>
      </c>
      <c r="Y385" t="n">
        <v>669</v>
      </c>
      <c r="Z385" t="n">
        <v>524</v>
      </c>
      <c r="AA385" t="n">
        <v>538</v>
      </c>
      <c r="AB385" t="n">
        <v>3</v>
      </c>
      <c r="AC385" t="n">
        <v>3</v>
      </c>
      <c r="AD385" t="n">
        <v>25</v>
      </c>
      <c r="AE385" t="n">
        <v>25</v>
      </c>
      <c r="AF385" t="n">
        <v>8</v>
      </c>
      <c r="AG385" t="n">
        <v>8</v>
      </c>
      <c r="AH385" t="n">
        <v>5</v>
      </c>
      <c r="AI385" t="n">
        <v>5</v>
      </c>
      <c r="AJ385" t="n">
        <v>16</v>
      </c>
      <c r="AK385" t="n">
        <v>16</v>
      </c>
      <c r="AL385" t="n">
        <v>2</v>
      </c>
      <c r="AM385" t="n">
        <v>2</v>
      </c>
      <c r="AN385" t="n">
        <v>0</v>
      </c>
      <c r="AO385" t="n">
        <v>0</v>
      </c>
      <c r="AP385" t="inlineStr">
        <is>
          <t>No</t>
        </is>
      </c>
      <c r="AQ385" t="inlineStr">
        <is>
          <t>Yes</t>
        </is>
      </c>
      <c r="AR385">
        <f>HYPERLINK("http://catalog.hathitrust.org/Record/000000288","HathiTrust Record")</f>
        <v/>
      </c>
      <c r="AS385">
        <f>HYPERLINK("https://creighton-primo.hosted.exlibrisgroup.com/primo-explore/search?tab=default_tab&amp;search_scope=EVERYTHING&amp;vid=01CRU&amp;lang=en_US&amp;offset=0&amp;query=any,contains,991000067459702656","Catalog Record")</f>
        <v/>
      </c>
      <c r="AT385">
        <f>HYPERLINK("http://www.worldcat.org/oclc/27390","WorldCat Record")</f>
        <v/>
      </c>
      <c r="AU385" t="inlineStr">
        <is>
          <t>1168138:eng</t>
        </is>
      </c>
      <c r="AV385" t="inlineStr">
        <is>
          <t>27390</t>
        </is>
      </c>
      <c r="AW385" t="inlineStr">
        <is>
          <t>991000067459702656</t>
        </is>
      </c>
      <c r="AX385" t="inlineStr">
        <is>
          <t>991000067459702656</t>
        </is>
      </c>
      <c r="AY385" t="inlineStr">
        <is>
          <t>2262553930002656</t>
        </is>
      </c>
      <c r="AZ385" t="inlineStr">
        <is>
          <t>BOOK</t>
        </is>
      </c>
      <c r="BC385" t="inlineStr">
        <is>
          <t>32285003148177</t>
        </is>
      </c>
      <c r="BD385" t="inlineStr">
        <is>
          <t>893884072</t>
        </is>
      </c>
    </row>
    <row r="386">
      <c r="A386" t="inlineStr">
        <is>
          <t>No</t>
        </is>
      </c>
      <c r="B386" t="inlineStr">
        <is>
          <t>HT609 .L67 2007</t>
        </is>
      </c>
      <c r="C386" t="inlineStr">
        <is>
          <t>0                      HT 0609000L  67          2007</t>
        </is>
      </c>
      <c r="D386" t="inlineStr">
        <is>
          <t>Psychology and economic injustice : personal, professional, and political intersections / Bernice Lott and Heather E. Bullock.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Lott, Bernice E.</t>
        </is>
      </c>
      <c r="L386" t="inlineStr">
        <is>
          <t>Washington, DC : American Psychological Association, c2007.</t>
        </is>
      </c>
      <c r="M386" t="inlineStr">
        <is>
          <t>2007</t>
        </is>
      </c>
      <c r="N386" t="inlineStr">
        <is>
          <t>1st ed.</t>
        </is>
      </c>
      <c r="O386" t="inlineStr">
        <is>
          <t>eng</t>
        </is>
      </c>
      <c r="P386" t="inlineStr">
        <is>
          <t>dcu</t>
        </is>
      </c>
      <c r="Q386" t="inlineStr">
        <is>
          <t>Psychology of women book series</t>
        </is>
      </c>
      <c r="R386" t="inlineStr">
        <is>
          <t xml:space="preserve">HT </t>
        </is>
      </c>
      <c r="S386" t="n">
        <v>1</v>
      </c>
      <c r="T386" t="n">
        <v>1</v>
      </c>
      <c r="U386" t="inlineStr">
        <is>
          <t>2008-05-12</t>
        </is>
      </c>
      <c r="V386" t="inlineStr">
        <is>
          <t>2008-05-12</t>
        </is>
      </c>
      <c r="W386" t="inlineStr">
        <is>
          <t>2008-05-12</t>
        </is>
      </c>
      <c r="X386" t="inlineStr">
        <is>
          <t>2008-05-12</t>
        </is>
      </c>
      <c r="Y386" t="n">
        <v>650</v>
      </c>
      <c r="Z386" t="n">
        <v>576</v>
      </c>
      <c r="AA386" t="n">
        <v>637</v>
      </c>
      <c r="AB386" t="n">
        <v>5</v>
      </c>
      <c r="AC386" t="n">
        <v>5</v>
      </c>
      <c r="AD386" t="n">
        <v>33</v>
      </c>
      <c r="AE386" t="n">
        <v>36</v>
      </c>
      <c r="AF386" t="n">
        <v>13</v>
      </c>
      <c r="AG386" t="n">
        <v>15</v>
      </c>
      <c r="AH386" t="n">
        <v>8</v>
      </c>
      <c r="AI386" t="n">
        <v>8</v>
      </c>
      <c r="AJ386" t="n">
        <v>17</v>
      </c>
      <c r="AK386" t="n">
        <v>18</v>
      </c>
      <c r="AL386" t="n">
        <v>4</v>
      </c>
      <c r="AM386" t="n">
        <v>4</v>
      </c>
      <c r="AN386" t="n">
        <v>0</v>
      </c>
      <c r="AO386" t="n">
        <v>0</v>
      </c>
      <c r="AP386" t="inlineStr">
        <is>
          <t>No</t>
        </is>
      </c>
      <c r="AQ386" t="inlineStr">
        <is>
          <t>Yes</t>
        </is>
      </c>
      <c r="AR386">
        <f>HYPERLINK("http://catalog.hathitrust.org/Record/005288987","HathiTrust Record")</f>
        <v/>
      </c>
      <c r="AS386">
        <f>HYPERLINK("https://creighton-primo.hosted.exlibrisgroup.com/primo-explore/search?tab=default_tab&amp;search_scope=EVERYTHING&amp;vid=01CRU&amp;lang=en_US&amp;offset=0&amp;query=any,contains,991005212139702656","Catalog Record")</f>
        <v/>
      </c>
      <c r="AT386">
        <f>HYPERLINK("http://www.worldcat.org/oclc/64453289","WorldCat Record")</f>
        <v/>
      </c>
      <c r="AU386" t="inlineStr">
        <is>
          <t>48412091:eng</t>
        </is>
      </c>
      <c r="AV386" t="inlineStr">
        <is>
          <t>64453289</t>
        </is>
      </c>
      <c r="AW386" t="inlineStr">
        <is>
          <t>991005212139702656</t>
        </is>
      </c>
      <c r="AX386" t="inlineStr">
        <is>
          <t>991005212139702656</t>
        </is>
      </c>
      <c r="AY386" t="inlineStr">
        <is>
          <t>2268715540002656</t>
        </is>
      </c>
      <c r="AZ386" t="inlineStr">
        <is>
          <t>BOOK</t>
        </is>
      </c>
      <c r="BB386" t="inlineStr">
        <is>
          <t>9781591474296</t>
        </is>
      </c>
      <c r="BC386" t="inlineStr">
        <is>
          <t>32285005406573</t>
        </is>
      </c>
      <c r="BD386" t="inlineStr">
        <is>
          <t>893236490</t>
        </is>
      </c>
    </row>
    <row r="387">
      <c r="A387" t="inlineStr">
        <is>
          <t>No</t>
        </is>
      </c>
      <c r="B387" t="inlineStr">
        <is>
          <t>HT609 .P3</t>
        </is>
      </c>
      <c r="C387" t="inlineStr">
        <is>
          <t>0                      HT 0609000P  3</t>
        </is>
      </c>
      <c r="D387" t="inlineStr">
        <is>
          <t>The status seekers : an exploration of class behavior in America and the hidden barriers that affect you, your community, your future.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K387" t="inlineStr">
        <is>
          <t>Packard, Vance, 1914-1996.</t>
        </is>
      </c>
      <c r="L387" t="inlineStr">
        <is>
          <t>New York : D. McKay Co., [1959]</t>
        </is>
      </c>
      <c r="M387" t="inlineStr">
        <is>
          <t>1959</t>
        </is>
      </c>
      <c r="O387" t="inlineStr">
        <is>
          <t>eng</t>
        </is>
      </c>
      <c r="P387" t="inlineStr">
        <is>
          <t>nyu</t>
        </is>
      </c>
      <c r="R387" t="inlineStr">
        <is>
          <t xml:space="preserve">HT </t>
        </is>
      </c>
      <c r="S387" t="n">
        <v>2</v>
      </c>
      <c r="T387" t="n">
        <v>2</v>
      </c>
      <c r="U387" t="inlineStr">
        <is>
          <t>2008-09-05</t>
        </is>
      </c>
      <c r="V387" t="inlineStr">
        <is>
          <t>2008-09-05</t>
        </is>
      </c>
      <c r="W387" t="inlineStr">
        <is>
          <t>1992-06-11</t>
        </is>
      </c>
      <c r="X387" t="inlineStr">
        <is>
          <t>1992-06-11</t>
        </is>
      </c>
      <c r="Y387" t="n">
        <v>1787</v>
      </c>
      <c r="Z387" t="n">
        <v>1669</v>
      </c>
      <c r="AA387" t="n">
        <v>1687</v>
      </c>
      <c r="AB387" t="n">
        <v>11</v>
      </c>
      <c r="AC387" t="n">
        <v>11</v>
      </c>
      <c r="AD387" t="n">
        <v>42</v>
      </c>
      <c r="AE387" t="n">
        <v>42</v>
      </c>
      <c r="AF387" t="n">
        <v>17</v>
      </c>
      <c r="AG387" t="n">
        <v>17</v>
      </c>
      <c r="AH387" t="n">
        <v>5</v>
      </c>
      <c r="AI387" t="n">
        <v>5</v>
      </c>
      <c r="AJ387" t="n">
        <v>20</v>
      </c>
      <c r="AK387" t="n">
        <v>20</v>
      </c>
      <c r="AL387" t="n">
        <v>6</v>
      </c>
      <c r="AM387" t="n">
        <v>6</v>
      </c>
      <c r="AN387" t="n">
        <v>2</v>
      </c>
      <c r="AO387" t="n">
        <v>2</v>
      </c>
      <c r="AP387" t="inlineStr">
        <is>
          <t>No</t>
        </is>
      </c>
      <c r="AQ387" t="inlineStr">
        <is>
          <t>Yes</t>
        </is>
      </c>
      <c r="AR387">
        <f>HYPERLINK("http://catalog.hathitrust.org/Record/001130609","HathiTrust Record")</f>
        <v/>
      </c>
      <c r="AS387">
        <f>HYPERLINK("https://creighton-primo.hosted.exlibrisgroup.com/primo-explore/search?tab=default_tab&amp;search_scope=EVERYTHING&amp;vid=01CRU&amp;lang=en_US&amp;offset=0&amp;query=any,contains,991003175539702656","Catalog Record")</f>
        <v/>
      </c>
      <c r="AT387">
        <f>HYPERLINK("http://www.worldcat.org/oclc/710676","WorldCat Record")</f>
        <v/>
      </c>
      <c r="AU387" t="inlineStr">
        <is>
          <t>373734043:eng</t>
        </is>
      </c>
      <c r="AV387" t="inlineStr">
        <is>
          <t>710676</t>
        </is>
      </c>
      <c r="AW387" t="inlineStr">
        <is>
          <t>991003175539702656</t>
        </is>
      </c>
      <c r="AX387" t="inlineStr">
        <is>
          <t>991003175539702656</t>
        </is>
      </c>
      <c r="AY387" t="inlineStr">
        <is>
          <t>2262509320002656</t>
        </is>
      </c>
      <c r="AZ387" t="inlineStr">
        <is>
          <t>BOOK</t>
        </is>
      </c>
      <c r="BC387" t="inlineStr">
        <is>
          <t>32285001131134</t>
        </is>
      </c>
      <c r="BD387" t="inlineStr">
        <is>
          <t>893686259</t>
        </is>
      </c>
    </row>
    <row r="388">
      <c r="A388" t="inlineStr">
        <is>
          <t>No</t>
        </is>
      </c>
      <c r="B388" t="inlineStr">
        <is>
          <t>HT609 .P3125 1995</t>
        </is>
      </c>
      <c r="C388" t="inlineStr">
        <is>
          <t>0                      HT 0609000P  3125        1995</t>
        </is>
      </c>
      <c r="D388" t="inlineStr">
        <is>
          <t>American social classes in the 1950s : selections from Vance Packard's The Status seekers / edited with an introduction by Daniel Horowitz.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Packard, Vance, 1914-1996.</t>
        </is>
      </c>
      <c r="L388" t="inlineStr">
        <is>
          <t>Boston : Bedford Books of St. Martin's Press, c1995.</t>
        </is>
      </c>
      <c r="M388" t="inlineStr">
        <is>
          <t>1995</t>
        </is>
      </c>
      <c r="O388" t="inlineStr">
        <is>
          <t>eng</t>
        </is>
      </c>
      <c r="P388" t="inlineStr">
        <is>
          <t>mau</t>
        </is>
      </c>
      <c r="Q388" t="inlineStr">
        <is>
          <t>The Bedford series in history and culture</t>
        </is>
      </c>
      <c r="R388" t="inlineStr">
        <is>
          <t xml:space="preserve">HT </t>
        </is>
      </c>
      <c r="S388" t="n">
        <v>1</v>
      </c>
      <c r="T388" t="n">
        <v>1</v>
      </c>
      <c r="U388" t="inlineStr">
        <is>
          <t>1999-04-21</t>
        </is>
      </c>
      <c r="V388" t="inlineStr">
        <is>
          <t>1999-04-21</t>
        </is>
      </c>
      <c r="W388" t="inlineStr">
        <is>
          <t>1995-11-20</t>
        </is>
      </c>
      <c r="X388" t="inlineStr">
        <is>
          <t>1995-11-20</t>
        </is>
      </c>
      <c r="Y388" t="n">
        <v>316</v>
      </c>
      <c r="Z388" t="n">
        <v>293</v>
      </c>
      <c r="AA388" t="n">
        <v>299</v>
      </c>
      <c r="AB388" t="n">
        <v>3</v>
      </c>
      <c r="AC388" t="n">
        <v>3</v>
      </c>
      <c r="AD388" t="n">
        <v>11</v>
      </c>
      <c r="AE388" t="n">
        <v>11</v>
      </c>
      <c r="AF388" t="n">
        <v>5</v>
      </c>
      <c r="AG388" t="n">
        <v>5</v>
      </c>
      <c r="AH388" t="n">
        <v>3</v>
      </c>
      <c r="AI388" t="n">
        <v>3</v>
      </c>
      <c r="AJ388" t="n">
        <v>6</v>
      </c>
      <c r="AK388" t="n">
        <v>6</v>
      </c>
      <c r="AL388" t="n">
        <v>1</v>
      </c>
      <c r="AM388" t="n">
        <v>1</v>
      </c>
      <c r="AN388" t="n">
        <v>0</v>
      </c>
      <c r="AO388" t="n">
        <v>0</v>
      </c>
      <c r="AP388" t="inlineStr">
        <is>
          <t>No</t>
        </is>
      </c>
      <c r="AQ388" t="inlineStr">
        <is>
          <t>No</t>
        </is>
      </c>
      <c r="AS388">
        <f>HYPERLINK("https://creighton-primo.hosted.exlibrisgroup.com/primo-explore/search?tab=default_tab&amp;search_scope=EVERYTHING&amp;vid=01CRU&amp;lang=en_US&amp;offset=0&amp;query=any,contains,991002477189702656","Catalog Record")</f>
        <v/>
      </c>
      <c r="AT388">
        <f>HYPERLINK("http://www.worldcat.org/oclc/32249880","WorldCat Record")</f>
        <v/>
      </c>
      <c r="AU388" t="inlineStr">
        <is>
          <t>1151771709:eng</t>
        </is>
      </c>
      <c r="AV388" t="inlineStr">
        <is>
          <t>32249880</t>
        </is>
      </c>
      <c r="AW388" t="inlineStr">
        <is>
          <t>991002477189702656</t>
        </is>
      </c>
      <c r="AX388" t="inlineStr">
        <is>
          <t>991002477189702656</t>
        </is>
      </c>
      <c r="AY388" t="inlineStr">
        <is>
          <t>2269870830002656</t>
        </is>
      </c>
      <c r="AZ388" t="inlineStr">
        <is>
          <t>BOOK</t>
        </is>
      </c>
      <c r="BB388" t="inlineStr">
        <is>
          <t>9780312111809</t>
        </is>
      </c>
      <c r="BC388" t="inlineStr">
        <is>
          <t>32285002104007</t>
        </is>
      </c>
      <c r="BD388" t="inlineStr">
        <is>
          <t>893251288</t>
        </is>
      </c>
    </row>
    <row r="389">
      <c r="A389" t="inlineStr">
        <is>
          <t>No</t>
        </is>
      </c>
      <c r="B389" t="inlineStr">
        <is>
          <t>HT609 .T8 1985</t>
        </is>
      </c>
      <c r="C389" t="inlineStr">
        <is>
          <t>0                      HT 0609000T  8           1985</t>
        </is>
      </c>
      <c r="D389" t="inlineStr">
        <is>
          <t>Social stratification : the forms and functions of inequality / Melvin M. Tumin.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K389" t="inlineStr">
        <is>
          <t>Tumin, Melvin M. (Melvin Marvin), 1919-1994.</t>
        </is>
      </c>
      <c r="L389" t="inlineStr">
        <is>
          <t>Englewood Cliffs, N.J. : Prentice-Hall, c1985.</t>
        </is>
      </c>
      <c r="M389" t="inlineStr">
        <is>
          <t>1985</t>
        </is>
      </c>
      <c r="N389" t="inlineStr">
        <is>
          <t>2nd ed.</t>
        </is>
      </c>
      <c r="O389" t="inlineStr">
        <is>
          <t>eng</t>
        </is>
      </c>
      <c r="P389" t="inlineStr">
        <is>
          <t>nju</t>
        </is>
      </c>
      <c r="Q389" t="inlineStr">
        <is>
          <t>Prentice-Hall foundations of modern sociology series</t>
        </is>
      </c>
      <c r="R389" t="inlineStr">
        <is>
          <t xml:space="preserve">HT </t>
        </is>
      </c>
      <c r="S389" t="n">
        <v>5</v>
      </c>
      <c r="T389" t="n">
        <v>5</v>
      </c>
      <c r="U389" t="inlineStr">
        <is>
          <t>1997-10-01</t>
        </is>
      </c>
      <c r="V389" t="inlineStr">
        <is>
          <t>1997-10-01</t>
        </is>
      </c>
      <c r="W389" t="inlineStr">
        <is>
          <t>1993-05-11</t>
        </is>
      </c>
      <c r="X389" t="inlineStr">
        <is>
          <t>1993-05-11</t>
        </is>
      </c>
      <c r="Y389" t="n">
        <v>308</v>
      </c>
      <c r="Z389" t="n">
        <v>218</v>
      </c>
      <c r="AA389" t="n">
        <v>907</v>
      </c>
      <c r="AB389" t="n">
        <v>4</v>
      </c>
      <c r="AC389" t="n">
        <v>10</v>
      </c>
      <c r="AD389" t="n">
        <v>13</v>
      </c>
      <c r="AE389" t="n">
        <v>43</v>
      </c>
      <c r="AF389" t="n">
        <v>5</v>
      </c>
      <c r="AG389" t="n">
        <v>19</v>
      </c>
      <c r="AH389" t="n">
        <v>3</v>
      </c>
      <c r="AI389" t="n">
        <v>8</v>
      </c>
      <c r="AJ389" t="n">
        <v>6</v>
      </c>
      <c r="AK389" t="n">
        <v>19</v>
      </c>
      <c r="AL389" t="n">
        <v>3</v>
      </c>
      <c r="AM389" t="n">
        <v>9</v>
      </c>
      <c r="AN389" t="n">
        <v>0</v>
      </c>
      <c r="AO389" t="n">
        <v>0</v>
      </c>
      <c r="AP389" t="inlineStr">
        <is>
          <t>No</t>
        </is>
      </c>
      <c r="AQ389" t="inlineStr">
        <is>
          <t>Yes</t>
        </is>
      </c>
      <c r="AR389">
        <f>HYPERLINK("http://catalog.hathitrust.org/Record/000376626","HathiTrust Record")</f>
        <v/>
      </c>
      <c r="AS389">
        <f>HYPERLINK("https://creighton-primo.hosted.exlibrisgroup.com/primo-explore/search?tab=default_tab&amp;search_scope=EVERYTHING&amp;vid=01CRU&amp;lang=en_US&amp;offset=0&amp;query=any,contains,991000487619702656","Catalog Record")</f>
        <v/>
      </c>
      <c r="AT389">
        <f>HYPERLINK("http://www.worldcat.org/oclc/11089934","WorldCat Record")</f>
        <v/>
      </c>
      <c r="AU389" t="inlineStr">
        <is>
          <t>65435441:eng</t>
        </is>
      </c>
      <c r="AV389" t="inlineStr">
        <is>
          <t>11089934</t>
        </is>
      </c>
      <c r="AW389" t="inlineStr">
        <is>
          <t>991000487619702656</t>
        </is>
      </c>
      <c r="AX389" t="inlineStr">
        <is>
          <t>991000487619702656</t>
        </is>
      </c>
      <c r="AY389" t="inlineStr">
        <is>
          <t>2265170130002656</t>
        </is>
      </c>
      <c r="AZ389" t="inlineStr">
        <is>
          <t>BOOK</t>
        </is>
      </c>
      <c r="BB389" t="inlineStr">
        <is>
          <t>9780138186593</t>
        </is>
      </c>
      <c r="BC389" t="inlineStr">
        <is>
          <t>32285001674497</t>
        </is>
      </c>
      <c r="BD389" t="inlineStr">
        <is>
          <t>893607949</t>
        </is>
      </c>
    </row>
    <row r="390">
      <c r="A390" t="inlineStr">
        <is>
          <t>No</t>
        </is>
      </c>
      <c r="B390" t="inlineStr">
        <is>
          <t>HT609 .T87 1984</t>
        </is>
      </c>
      <c r="C390" t="inlineStr">
        <is>
          <t>0                      HT 0609000T  87          1984</t>
        </is>
      </c>
      <c r="D390" t="inlineStr">
        <is>
          <t>Societal stratification : a theoretical analysis / Jonathan H. Turner.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Turner, Jonathan H.</t>
        </is>
      </c>
      <c r="L390" t="inlineStr">
        <is>
          <t>New York : Columbia University Press, 1984.</t>
        </is>
      </c>
      <c r="M390" t="inlineStr">
        <is>
          <t>1984</t>
        </is>
      </c>
      <c r="O390" t="inlineStr">
        <is>
          <t>eng</t>
        </is>
      </c>
      <c r="P390" t="inlineStr">
        <is>
          <t>nyu</t>
        </is>
      </c>
      <c r="R390" t="inlineStr">
        <is>
          <t xml:space="preserve">HT </t>
        </is>
      </c>
      <c r="S390" t="n">
        <v>4</v>
      </c>
      <c r="T390" t="n">
        <v>4</v>
      </c>
      <c r="U390" t="inlineStr">
        <is>
          <t>1994-03-31</t>
        </is>
      </c>
      <c r="V390" t="inlineStr">
        <is>
          <t>1994-03-31</t>
        </is>
      </c>
      <c r="W390" t="inlineStr">
        <is>
          <t>1993-05-11</t>
        </is>
      </c>
      <c r="X390" t="inlineStr">
        <is>
          <t>1993-05-11</t>
        </is>
      </c>
      <c r="Y390" t="n">
        <v>514</v>
      </c>
      <c r="Z390" t="n">
        <v>397</v>
      </c>
      <c r="AA390" t="n">
        <v>404</v>
      </c>
      <c r="AB390" t="n">
        <v>4</v>
      </c>
      <c r="AC390" t="n">
        <v>4</v>
      </c>
      <c r="AD390" t="n">
        <v>28</v>
      </c>
      <c r="AE390" t="n">
        <v>28</v>
      </c>
      <c r="AF390" t="n">
        <v>13</v>
      </c>
      <c r="AG390" t="n">
        <v>13</v>
      </c>
      <c r="AH390" t="n">
        <v>6</v>
      </c>
      <c r="AI390" t="n">
        <v>6</v>
      </c>
      <c r="AJ390" t="n">
        <v>15</v>
      </c>
      <c r="AK390" t="n">
        <v>15</v>
      </c>
      <c r="AL390" t="n">
        <v>3</v>
      </c>
      <c r="AM390" t="n">
        <v>3</v>
      </c>
      <c r="AN390" t="n">
        <v>0</v>
      </c>
      <c r="AO390" t="n">
        <v>0</v>
      </c>
      <c r="AP390" t="inlineStr">
        <is>
          <t>No</t>
        </is>
      </c>
      <c r="AQ390" t="inlineStr">
        <is>
          <t>No</t>
        </is>
      </c>
      <c r="AS390">
        <f>HYPERLINK("https://creighton-primo.hosted.exlibrisgroup.com/primo-explore/search?tab=default_tab&amp;search_scope=EVERYTHING&amp;vid=01CRU&amp;lang=en_US&amp;offset=0&amp;query=any,contains,991000226269702656","Catalog Record")</f>
        <v/>
      </c>
      <c r="AT390">
        <f>HYPERLINK("http://www.worldcat.org/oclc/9620064","WorldCat Record")</f>
        <v/>
      </c>
      <c r="AU390" t="inlineStr">
        <is>
          <t>836621061:eng</t>
        </is>
      </c>
      <c r="AV390" t="inlineStr">
        <is>
          <t>9620064</t>
        </is>
      </c>
      <c r="AW390" t="inlineStr">
        <is>
          <t>991000226269702656</t>
        </is>
      </c>
      <c r="AX390" t="inlineStr">
        <is>
          <t>991000226269702656</t>
        </is>
      </c>
      <c r="AY390" t="inlineStr">
        <is>
          <t>2270322210002656</t>
        </is>
      </c>
      <c r="AZ390" t="inlineStr">
        <is>
          <t>BOOK</t>
        </is>
      </c>
      <c r="BB390" t="inlineStr">
        <is>
          <t>9780231057417</t>
        </is>
      </c>
      <c r="BC390" t="inlineStr">
        <is>
          <t>32285001674505</t>
        </is>
      </c>
      <c r="BD390" t="inlineStr">
        <is>
          <t>893877912</t>
        </is>
      </c>
    </row>
    <row r="391">
      <c r="A391" t="inlineStr">
        <is>
          <t>No</t>
        </is>
      </c>
      <c r="B391" t="inlineStr">
        <is>
          <t>HT609 .W28 1960</t>
        </is>
      </c>
      <c r="C391" t="inlineStr">
        <is>
          <t>0                      HT 0609000W  28          1960</t>
        </is>
      </c>
      <c r="D391" t="inlineStr">
        <is>
          <t>Social class in America : a manual of procedure for the measurement of social status / [by] W. Lloyd Warner with Marchia Meeker and Kenneth Eells. With a new essay, Theory and method for the comparative study of social stratification, by W. Lloyd Warner.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Warner, W. Lloyd (William Lloyd), 1898-1970.</t>
        </is>
      </c>
      <c r="L391" t="inlineStr">
        <is>
          <t>New York : Harper, [1960]</t>
        </is>
      </c>
      <c r="M391" t="inlineStr">
        <is>
          <t>1960</t>
        </is>
      </c>
      <c r="O391" t="inlineStr">
        <is>
          <t>eng</t>
        </is>
      </c>
      <c r="P391" t="inlineStr">
        <is>
          <t>nyu</t>
        </is>
      </c>
      <c r="Q391" t="inlineStr">
        <is>
          <t>Harper torchbooks, TB1013. The Academy library</t>
        </is>
      </c>
      <c r="R391" t="inlineStr">
        <is>
          <t xml:space="preserve">HT </t>
        </is>
      </c>
      <c r="S391" t="n">
        <v>4</v>
      </c>
      <c r="T391" t="n">
        <v>4</v>
      </c>
      <c r="U391" t="inlineStr">
        <is>
          <t>2003-11-25</t>
        </is>
      </c>
      <c r="V391" t="inlineStr">
        <is>
          <t>2003-11-25</t>
        </is>
      </c>
      <c r="W391" t="inlineStr">
        <is>
          <t>1993-05-03</t>
        </is>
      </c>
      <c r="X391" t="inlineStr">
        <is>
          <t>1993-05-03</t>
        </is>
      </c>
      <c r="Y391" t="n">
        <v>1007</v>
      </c>
      <c r="Z391" t="n">
        <v>845</v>
      </c>
      <c r="AA391" t="n">
        <v>1063</v>
      </c>
      <c r="AB391" t="n">
        <v>5</v>
      </c>
      <c r="AC391" t="n">
        <v>7</v>
      </c>
      <c r="AD391" t="n">
        <v>36</v>
      </c>
      <c r="AE391" t="n">
        <v>46</v>
      </c>
      <c r="AF391" t="n">
        <v>15</v>
      </c>
      <c r="AG391" t="n">
        <v>22</v>
      </c>
      <c r="AH391" t="n">
        <v>9</v>
      </c>
      <c r="AI391" t="n">
        <v>9</v>
      </c>
      <c r="AJ391" t="n">
        <v>16</v>
      </c>
      <c r="AK391" t="n">
        <v>20</v>
      </c>
      <c r="AL391" t="n">
        <v>4</v>
      </c>
      <c r="AM391" t="n">
        <v>6</v>
      </c>
      <c r="AN391" t="n">
        <v>1</v>
      </c>
      <c r="AO391" t="n">
        <v>1</v>
      </c>
      <c r="AP391" t="inlineStr">
        <is>
          <t>No</t>
        </is>
      </c>
      <c r="AQ391" t="inlineStr">
        <is>
          <t>Yes</t>
        </is>
      </c>
      <c r="AR391">
        <f>HYPERLINK("http://catalog.hathitrust.org/Record/003561247","HathiTrust Record")</f>
        <v/>
      </c>
      <c r="AS391">
        <f>HYPERLINK("https://creighton-primo.hosted.exlibrisgroup.com/primo-explore/search?tab=default_tab&amp;search_scope=EVERYTHING&amp;vid=01CRU&amp;lang=en_US&amp;offset=0&amp;query=any,contains,991001376899702656","Catalog Record")</f>
        <v/>
      </c>
      <c r="AT391">
        <f>HYPERLINK("http://www.worldcat.org/oclc/225175","WorldCat Record")</f>
        <v/>
      </c>
      <c r="AU391" t="inlineStr">
        <is>
          <t>2845419477:eng</t>
        </is>
      </c>
      <c r="AV391" t="inlineStr">
        <is>
          <t>225175</t>
        </is>
      </c>
      <c r="AW391" t="inlineStr">
        <is>
          <t>991001376899702656</t>
        </is>
      </c>
      <c r="AX391" t="inlineStr">
        <is>
          <t>991001376899702656</t>
        </is>
      </c>
      <c r="AY391" t="inlineStr">
        <is>
          <t>2263739160002656</t>
        </is>
      </c>
      <c r="AZ391" t="inlineStr">
        <is>
          <t>BOOK</t>
        </is>
      </c>
      <c r="BC391" t="inlineStr">
        <is>
          <t>32285001569093</t>
        </is>
      </c>
      <c r="BD391" t="inlineStr">
        <is>
          <t>893709210</t>
        </is>
      </c>
    </row>
    <row r="392">
      <c r="A392" t="inlineStr">
        <is>
          <t>No</t>
        </is>
      </c>
      <c r="B392" t="inlineStr">
        <is>
          <t>HT609 .W698 1997</t>
        </is>
      </c>
      <c r="C392" t="inlineStr">
        <is>
          <t>0                      HT 0609000W  698         1997</t>
        </is>
      </c>
      <c r="D392" t="inlineStr">
        <is>
          <t>Class counts : comparative studies in class analysis / Erik Olin Wright.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Wright, Erik Olin.</t>
        </is>
      </c>
      <c r="L392" t="inlineStr">
        <is>
          <t>Cambridge ; New York : Cambridge University Press ; Paris : Maison des sciences de l'homme, 1997.</t>
        </is>
      </c>
      <c r="M392" t="inlineStr">
        <is>
          <t>1997</t>
        </is>
      </c>
      <c r="O392" t="inlineStr">
        <is>
          <t>eng</t>
        </is>
      </c>
      <c r="P392" t="inlineStr">
        <is>
          <t>enk</t>
        </is>
      </c>
      <c r="Q392" t="inlineStr">
        <is>
          <t>Studies in Marxism and social theory</t>
        </is>
      </c>
      <c r="R392" t="inlineStr">
        <is>
          <t xml:space="preserve">HT </t>
        </is>
      </c>
      <c r="S392" t="n">
        <v>3</v>
      </c>
      <c r="T392" t="n">
        <v>3</v>
      </c>
      <c r="U392" t="inlineStr">
        <is>
          <t>2005-03-01</t>
        </is>
      </c>
      <c r="V392" t="inlineStr">
        <is>
          <t>2005-03-01</t>
        </is>
      </c>
      <c r="W392" t="inlineStr">
        <is>
          <t>1997-12-02</t>
        </is>
      </c>
      <c r="X392" t="inlineStr">
        <is>
          <t>1997-12-02</t>
        </is>
      </c>
      <c r="Y392" t="n">
        <v>593</v>
      </c>
      <c r="Z392" t="n">
        <v>432</v>
      </c>
      <c r="AA392" t="n">
        <v>564</v>
      </c>
      <c r="AB392" t="n">
        <v>6</v>
      </c>
      <c r="AC392" t="n">
        <v>6</v>
      </c>
      <c r="AD392" t="n">
        <v>29</v>
      </c>
      <c r="AE392" t="n">
        <v>35</v>
      </c>
      <c r="AF392" t="n">
        <v>11</v>
      </c>
      <c r="AG392" t="n">
        <v>14</v>
      </c>
      <c r="AH392" t="n">
        <v>9</v>
      </c>
      <c r="AI392" t="n">
        <v>10</v>
      </c>
      <c r="AJ392" t="n">
        <v>15</v>
      </c>
      <c r="AK392" t="n">
        <v>18</v>
      </c>
      <c r="AL392" t="n">
        <v>5</v>
      </c>
      <c r="AM392" t="n">
        <v>5</v>
      </c>
      <c r="AN392" t="n">
        <v>0</v>
      </c>
      <c r="AO392" t="n">
        <v>0</v>
      </c>
      <c r="AP392" t="inlineStr">
        <is>
          <t>No</t>
        </is>
      </c>
      <c r="AQ392" t="inlineStr">
        <is>
          <t>No</t>
        </is>
      </c>
      <c r="AS392">
        <f>HYPERLINK("https://creighton-primo.hosted.exlibrisgroup.com/primo-explore/search?tab=default_tab&amp;search_scope=EVERYTHING&amp;vid=01CRU&amp;lang=en_US&amp;offset=0&amp;query=any,contains,991002621819702656","Catalog Record")</f>
        <v/>
      </c>
      <c r="AT392">
        <f>HYPERLINK("http://www.worldcat.org/oclc/34355476","WorldCat Record")</f>
        <v/>
      </c>
      <c r="AU392" t="inlineStr">
        <is>
          <t>3943572487:eng</t>
        </is>
      </c>
      <c r="AV392" t="inlineStr">
        <is>
          <t>34355476</t>
        </is>
      </c>
      <c r="AW392" t="inlineStr">
        <is>
          <t>991002621819702656</t>
        </is>
      </c>
      <c r="AX392" t="inlineStr">
        <is>
          <t>991002621819702656</t>
        </is>
      </c>
      <c r="AY392" t="inlineStr">
        <is>
          <t>2266502240002656</t>
        </is>
      </c>
      <c r="AZ392" t="inlineStr">
        <is>
          <t>BOOK</t>
        </is>
      </c>
      <c r="BB392" t="inlineStr">
        <is>
          <t>9780521553872</t>
        </is>
      </c>
      <c r="BC392" t="inlineStr">
        <is>
          <t>32285003280566</t>
        </is>
      </c>
      <c r="BD392" t="inlineStr">
        <is>
          <t>893773822</t>
        </is>
      </c>
    </row>
    <row r="393">
      <c r="A393" t="inlineStr">
        <is>
          <t>No</t>
        </is>
      </c>
      <c r="B393" t="inlineStr">
        <is>
          <t>HT612 .M44 2009</t>
        </is>
      </c>
      <c r="C393" t="inlineStr">
        <is>
          <t>0                      HT 0612000M  44          2009</t>
        </is>
      </c>
      <c r="D393" t="inlineStr">
        <is>
          <t>Socio-economic mobility and low-status minorities : slow roads to progress / Jacob Meerman.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Meerman, Jacob, 1931-</t>
        </is>
      </c>
      <c r="L393" t="inlineStr">
        <is>
          <t>London ; New York : Routledge, 2009.</t>
        </is>
      </c>
      <c r="M393" t="inlineStr">
        <is>
          <t>2009</t>
        </is>
      </c>
      <c r="O393" t="inlineStr">
        <is>
          <t>eng</t>
        </is>
      </c>
      <c r="P393" t="inlineStr">
        <is>
          <t>enk</t>
        </is>
      </c>
      <c r="Q393" t="inlineStr">
        <is>
          <t>Routledge advances in social economics</t>
        </is>
      </c>
      <c r="R393" t="inlineStr">
        <is>
          <t xml:space="preserve">HT </t>
        </is>
      </c>
      <c r="S393" t="n">
        <v>1</v>
      </c>
      <c r="T393" t="n">
        <v>1</v>
      </c>
      <c r="U393" t="inlineStr">
        <is>
          <t>2010-07-19</t>
        </is>
      </c>
      <c r="V393" t="inlineStr">
        <is>
          <t>2010-07-19</t>
        </is>
      </c>
      <c r="W393" t="inlineStr">
        <is>
          <t>2010-07-19</t>
        </is>
      </c>
      <c r="X393" t="inlineStr">
        <is>
          <t>2010-07-19</t>
        </is>
      </c>
      <c r="Y393" t="n">
        <v>171</v>
      </c>
      <c r="Z393" t="n">
        <v>135</v>
      </c>
      <c r="AA393" t="n">
        <v>175</v>
      </c>
      <c r="AB393" t="n">
        <v>3</v>
      </c>
      <c r="AC393" t="n">
        <v>3</v>
      </c>
      <c r="AD393" t="n">
        <v>8</v>
      </c>
      <c r="AE393" t="n">
        <v>9</v>
      </c>
      <c r="AF393" t="n">
        <v>3</v>
      </c>
      <c r="AG393" t="n">
        <v>3</v>
      </c>
      <c r="AH393" t="n">
        <v>1</v>
      </c>
      <c r="AI393" t="n">
        <v>1</v>
      </c>
      <c r="AJ393" t="n">
        <v>4</v>
      </c>
      <c r="AK393" t="n">
        <v>5</v>
      </c>
      <c r="AL393" t="n">
        <v>2</v>
      </c>
      <c r="AM393" t="n">
        <v>2</v>
      </c>
      <c r="AN393" t="n">
        <v>0</v>
      </c>
      <c r="AO393" t="n">
        <v>0</v>
      </c>
      <c r="AP393" t="inlineStr">
        <is>
          <t>No</t>
        </is>
      </c>
      <c r="AQ393" t="inlineStr">
        <is>
          <t>No</t>
        </is>
      </c>
      <c r="AS393">
        <f>HYPERLINK("https://creighton-primo.hosted.exlibrisgroup.com/primo-explore/search?tab=default_tab&amp;search_scope=EVERYTHING&amp;vid=01CRU&amp;lang=en_US&amp;offset=0&amp;query=any,contains,991000023939702656","Catalog Record")</f>
        <v/>
      </c>
      <c r="AT393">
        <f>HYPERLINK("http://www.worldcat.org/oclc/213835658","WorldCat Record")</f>
        <v/>
      </c>
      <c r="AU393" t="inlineStr">
        <is>
          <t>802277116:eng</t>
        </is>
      </c>
      <c r="AV393" t="inlineStr">
        <is>
          <t>213835658</t>
        </is>
      </c>
      <c r="AW393" t="inlineStr">
        <is>
          <t>991000023939702656</t>
        </is>
      </c>
      <c r="AX393" t="inlineStr">
        <is>
          <t>991000023939702656</t>
        </is>
      </c>
      <c r="AY393" t="inlineStr">
        <is>
          <t>2268714830002656</t>
        </is>
      </c>
      <c r="AZ393" t="inlineStr">
        <is>
          <t>BOOK</t>
        </is>
      </c>
      <c r="BB393" t="inlineStr">
        <is>
          <t>9780415775663</t>
        </is>
      </c>
      <c r="BC393" t="inlineStr">
        <is>
          <t>32285005590921</t>
        </is>
      </c>
      <c r="BD393" t="inlineStr">
        <is>
          <t>893320744</t>
        </is>
      </c>
    </row>
    <row r="394">
      <c r="A394" t="inlineStr">
        <is>
          <t>No</t>
        </is>
      </c>
      <c r="B394" t="inlineStr">
        <is>
          <t>HT647 .E27</t>
        </is>
      </c>
      <c r="C394" t="inlineStr">
        <is>
          <t>0                      HT 0647000E  27</t>
        </is>
      </c>
      <c r="D394" t="inlineStr">
        <is>
          <t>The aristocratic families of early imperial China : a case study of the Po-ling Tsʻui family / Patricia Buckley Ebrey.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Ebrey, Patricia Buckley, 1947-</t>
        </is>
      </c>
      <c r="L394" t="inlineStr">
        <is>
          <t>Cambridge [Eng.] ; New York : Cambridge University Press, 1978.</t>
        </is>
      </c>
      <c r="M394" t="inlineStr">
        <is>
          <t>1978</t>
        </is>
      </c>
      <c r="O394" t="inlineStr">
        <is>
          <t>eng</t>
        </is>
      </c>
      <c r="P394" t="inlineStr">
        <is>
          <t>enk</t>
        </is>
      </c>
      <c r="Q394" t="inlineStr">
        <is>
          <t>Cambridge studies in Chinese history, literature, and institutions</t>
        </is>
      </c>
      <c r="R394" t="inlineStr">
        <is>
          <t xml:space="preserve">HT </t>
        </is>
      </c>
      <c r="S394" t="n">
        <v>5</v>
      </c>
      <c r="T394" t="n">
        <v>5</v>
      </c>
      <c r="U394" t="inlineStr">
        <is>
          <t>2006-10-02</t>
        </is>
      </c>
      <c r="V394" t="inlineStr">
        <is>
          <t>2006-10-02</t>
        </is>
      </c>
      <c r="W394" t="inlineStr">
        <is>
          <t>1993-05-11</t>
        </is>
      </c>
      <c r="X394" t="inlineStr">
        <is>
          <t>1993-05-11</t>
        </is>
      </c>
      <c r="Y394" t="n">
        <v>361</v>
      </c>
      <c r="Z394" t="n">
        <v>263</v>
      </c>
      <c r="AA394" t="n">
        <v>276</v>
      </c>
      <c r="AB394" t="n">
        <v>1</v>
      </c>
      <c r="AC394" t="n">
        <v>1</v>
      </c>
      <c r="AD394" t="n">
        <v>8</v>
      </c>
      <c r="AE394" t="n">
        <v>8</v>
      </c>
      <c r="AF394" t="n">
        <v>1</v>
      </c>
      <c r="AG394" t="n">
        <v>1</v>
      </c>
      <c r="AH394" t="n">
        <v>3</v>
      </c>
      <c r="AI394" t="n">
        <v>3</v>
      </c>
      <c r="AJ394" t="n">
        <v>5</v>
      </c>
      <c r="AK394" t="n">
        <v>5</v>
      </c>
      <c r="AL394" t="n">
        <v>0</v>
      </c>
      <c r="AM394" t="n">
        <v>0</v>
      </c>
      <c r="AN394" t="n">
        <v>0</v>
      </c>
      <c r="AO394" t="n">
        <v>0</v>
      </c>
      <c r="AP394" t="inlineStr">
        <is>
          <t>No</t>
        </is>
      </c>
      <c r="AQ394" t="inlineStr">
        <is>
          <t>No</t>
        </is>
      </c>
      <c r="AS394">
        <f>HYPERLINK("https://creighton-primo.hosted.exlibrisgroup.com/primo-explore/search?tab=default_tab&amp;search_scope=EVERYTHING&amp;vid=01CRU&amp;lang=en_US&amp;offset=0&amp;query=any,contains,991004313619702656","Catalog Record")</f>
        <v/>
      </c>
      <c r="AT394">
        <f>HYPERLINK("http://www.worldcat.org/oclc/3002351","WorldCat Record")</f>
        <v/>
      </c>
      <c r="AU394" t="inlineStr">
        <is>
          <t>889841944:eng</t>
        </is>
      </c>
      <c r="AV394" t="inlineStr">
        <is>
          <t>3002351</t>
        </is>
      </c>
      <c r="AW394" t="inlineStr">
        <is>
          <t>991004313619702656</t>
        </is>
      </c>
      <c r="AX394" t="inlineStr">
        <is>
          <t>991004313619702656</t>
        </is>
      </c>
      <c r="AY394" t="inlineStr">
        <is>
          <t>2272317410002656</t>
        </is>
      </c>
      <c r="AZ394" t="inlineStr">
        <is>
          <t>BOOK</t>
        </is>
      </c>
      <c r="BB394" t="inlineStr">
        <is>
          <t>9780521214841</t>
        </is>
      </c>
      <c r="BC394" t="inlineStr">
        <is>
          <t>32285001674547</t>
        </is>
      </c>
      <c r="BD394" t="inlineStr">
        <is>
          <t>893343688</t>
        </is>
      </c>
    </row>
    <row r="395">
      <c r="A395" t="inlineStr">
        <is>
          <t>No</t>
        </is>
      </c>
      <c r="B395" t="inlineStr">
        <is>
          <t>HT653.G7 B43</t>
        </is>
      </c>
      <c r="C395" t="inlineStr">
        <is>
          <t>0                      HT 0653000G  7                  B  43</t>
        </is>
      </c>
      <c r="D395" t="inlineStr">
        <is>
          <t>The aristocracy in England, 1660-1914 / J.V. Beckett.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Beckett, J. V.</t>
        </is>
      </c>
      <c r="L395" t="inlineStr">
        <is>
          <t>Oxford, OX, UK ; New York : Blackwell, 1986.</t>
        </is>
      </c>
      <c r="M395" t="inlineStr">
        <is>
          <t>1986</t>
        </is>
      </c>
      <c r="O395" t="inlineStr">
        <is>
          <t>eng</t>
        </is>
      </c>
      <c r="P395" t="inlineStr">
        <is>
          <t>enk</t>
        </is>
      </c>
      <c r="R395" t="inlineStr">
        <is>
          <t xml:space="preserve">HT </t>
        </is>
      </c>
      <c r="S395" t="n">
        <v>1</v>
      </c>
      <c r="T395" t="n">
        <v>1</v>
      </c>
      <c r="U395" t="inlineStr">
        <is>
          <t>2007-07-22</t>
        </is>
      </c>
      <c r="V395" t="inlineStr">
        <is>
          <t>2007-07-22</t>
        </is>
      </c>
      <c r="W395" t="inlineStr">
        <is>
          <t>1993-05-11</t>
        </is>
      </c>
      <c r="X395" t="inlineStr">
        <is>
          <t>1993-05-11</t>
        </is>
      </c>
      <c r="Y395" t="n">
        <v>581</v>
      </c>
      <c r="Z395" t="n">
        <v>365</v>
      </c>
      <c r="AA395" t="n">
        <v>380</v>
      </c>
      <c r="AB395" t="n">
        <v>3</v>
      </c>
      <c r="AC395" t="n">
        <v>3</v>
      </c>
      <c r="AD395" t="n">
        <v>15</v>
      </c>
      <c r="AE395" t="n">
        <v>17</v>
      </c>
      <c r="AF395" t="n">
        <v>3</v>
      </c>
      <c r="AG395" t="n">
        <v>4</v>
      </c>
      <c r="AH395" t="n">
        <v>5</v>
      </c>
      <c r="AI395" t="n">
        <v>5</v>
      </c>
      <c r="AJ395" t="n">
        <v>11</v>
      </c>
      <c r="AK395" t="n">
        <v>12</v>
      </c>
      <c r="AL395" t="n">
        <v>2</v>
      </c>
      <c r="AM395" t="n">
        <v>2</v>
      </c>
      <c r="AN395" t="n">
        <v>0</v>
      </c>
      <c r="AO395" t="n">
        <v>0</v>
      </c>
      <c r="AP395" t="inlineStr">
        <is>
          <t>No</t>
        </is>
      </c>
      <c r="AQ395" t="inlineStr">
        <is>
          <t>No</t>
        </is>
      </c>
      <c r="AS395">
        <f>HYPERLINK("https://creighton-primo.hosted.exlibrisgroup.com/primo-explore/search?tab=default_tab&amp;search_scope=EVERYTHING&amp;vid=01CRU&amp;lang=en_US&amp;offset=0&amp;query=any,contains,991000848129702656","Catalog Record")</f>
        <v/>
      </c>
      <c r="AT395">
        <f>HYPERLINK("http://www.worldcat.org/oclc/13580323","WorldCat Record")</f>
        <v/>
      </c>
      <c r="AU395" t="inlineStr">
        <is>
          <t>7113594:eng</t>
        </is>
      </c>
      <c r="AV395" t="inlineStr">
        <is>
          <t>13580323</t>
        </is>
      </c>
      <c r="AW395" t="inlineStr">
        <is>
          <t>991000848129702656</t>
        </is>
      </c>
      <c r="AX395" t="inlineStr">
        <is>
          <t>991000848129702656</t>
        </is>
      </c>
      <c r="AY395" t="inlineStr">
        <is>
          <t>2258019070002656</t>
        </is>
      </c>
      <c r="AZ395" t="inlineStr">
        <is>
          <t>BOOK</t>
        </is>
      </c>
      <c r="BB395" t="inlineStr">
        <is>
          <t>9780631133919</t>
        </is>
      </c>
      <c r="BC395" t="inlineStr">
        <is>
          <t>32285001674604</t>
        </is>
      </c>
      <c r="BD395" t="inlineStr">
        <is>
          <t>893772030</t>
        </is>
      </c>
    </row>
    <row r="396">
      <c r="A396" t="inlineStr">
        <is>
          <t>No</t>
        </is>
      </c>
      <c r="B396" t="inlineStr">
        <is>
          <t>HT653.G7 C37 1984</t>
        </is>
      </c>
      <c r="C396" t="inlineStr">
        <is>
          <t>0                      HT 0653000G  7                  C  37          1984</t>
        </is>
      </c>
      <c r="D396" t="inlineStr">
        <is>
          <t>Aristocratic century : the peerage of eighteenth-century England / John Cannon.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K396" t="inlineStr">
        <is>
          <t>Cannon, John, 1926-2012.</t>
        </is>
      </c>
      <c r="L396" t="inlineStr">
        <is>
          <t>Cambridge [Cambridgeshire] ; New York : Cambridge University Press, 1984.</t>
        </is>
      </c>
      <c r="M396" t="inlineStr">
        <is>
          <t>1984</t>
        </is>
      </c>
      <c r="O396" t="inlineStr">
        <is>
          <t>eng</t>
        </is>
      </c>
      <c r="P396" t="inlineStr">
        <is>
          <t>enk</t>
        </is>
      </c>
      <c r="Q396" t="inlineStr">
        <is>
          <t>The Wiles lectures ; [1982]</t>
        </is>
      </c>
      <c r="R396" t="inlineStr">
        <is>
          <t xml:space="preserve">HT </t>
        </is>
      </c>
      <c r="S396" t="n">
        <v>0</v>
      </c>
      <c r="T396" t="n">
        <v>0</v>
      </c>
      <c r="U396" t="inlineStr">
        <is>
          <t>2006-05-22</t>
        </is>
      </c>
      <c r="V396" t="inlineStr">
        <is>
          <t>2006-05-22</t>
        </is>
      </c>
      <c r="W396" t="inlineStr">
        <is>
          <t>1993-05-11</t>
        </is>
      </c>
      <c r="X396" t="inlineStr">
        <is>
          <t>1993-05-11</t>
        </is>
      </c>
      <c r="Y396" t="n">
        <v>618</v>
      </c>
      <c r="Z396" t="n">
        <v>444</v>
      </c>
      <c r="AA396" t="n">
        <v>470</v>
      </c>
      <c r="AB396" t="n">
        <v>3</v>
      </c>
      <c r="AC396" t="n">
        <v>3</v>
      </c>
      <c r="AD396" t="n">
        <v>27</v>
      </c>
      <c r="AE396" t="n">
        <v>29</v>
      </c>
      <c r="AF396" t="n">
        <v>11</v>
      </c>
      <c r="AG396" t="n">
        <v>13</v>
      </c>
      <c r="AH396" t="n">
        <v>8</v>
      </c>
      <c r="AI396" t="n">
        <v>8</v>
      </c>
      <c r="AJ396" t="n">
        <v>19</v>
      </c>
      <c r="AK396" t="n">
        <v>20</v>
      </c>
      <c r="AL396" t="n">
        <v>2</v>
      </c>
      <c r="AM396" t="n">
        <v>2</v>
      </c>
      <c r="AN396" t="n">
        <v>0</v>
      </c>
      <c r="AO396" t="n">
        <v>0</v>
      </c>
      <c r="AP396" t="inlineStr">
        <is>
          <t>No</t>
        </is>
      </c>
      <c r="AQ396" t="inlineStr">
        <is>
          <t>No</t>
        </is>
      </c>
      <c r="AS396">
        <f>HYPERLINK("https://creighton-primo.hosted.exlibrisgroup.com/primo-explore/search?tab=default_tab&amp;search_scope=EVERYTHING&amp;vid=01CRU&amp;lang=en_US&amp;offset=0&amp;query=any,contains,991000415679702656","Catalog Record")</f>
        <v/>
      </c>
      <c r="AT396">
        <f>HYPERLINK("http://www.worldcat.org/oclc/10724277","WorldCat Record")</f>
        <v/>
      </c>
      <c r="AU396" t="inlineStr">
        <is>
          <t>889860510:eng</t>
        </is>
      </c>
      <c r="AV396" t="inlineStr">
        <is>
          <t>10724277</t>
        </is>
      </c>
      <c r="AW396" t="inlineStr">
        <is>
          <t>991000415679702656</t>
        </is>
      </c>
      <c r="AX396" t="inlineStr">
        <is>
          <t>991000415679702656</t>
        </is>
      </c>
      <c r="AY396" t="inlineStr">
        <is>
          <t>2263218710002656</t>
        </is>
      </c>
      <c r="AZ396" t="inlineStr">
        <is>
          <t>BOOK</t>
        </is>
      </c>
      <c r="BB396" t="inlineStr">
        <is>
          <t>9780521257299</t>
        </is>
      </c>
      <c r="BC396" t="inlineStr">
        <is>
          <t>32285001674612</t>
        </is>
      </c>
      <c r="BD396" t="inlineStr">
        <is>
          <t>893407158</t>
        </is>
      </c>
    </row>
    <row r="397">
      <c r="A397" t="inlineStr">
        <is>
          <t>No</t>
        </is>
      </c>
      <c r="B397" t="inlineStr">
        <is>
          <t>HT653.G7 S96 1983</t>
        </is>
      </c>
      <c r="C397" t="inlineStr">
        <is>
          <t>0                      HT 0653000G  7                  S  96          1983</t>
        </is>
      </c>
      <c r="D397" t="inlineStr">
        <is>
          <t>Black sheep / Christopher Simon Sykes.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Sykes, Christopher Simon, 1948-</t>
        </is>
      </c>
      <c r="L397" t="inlineStr">
        <is>
          <t>New York : Viking Press, 1983, c1982.</t>
        </is>
      </c>
      <c r="M397" t="inlineStr">
        <is>
          <t>1983</t>
        </is>
      </c>
      <c r="O397" t="inlineStr">
        <is>
          <t>eng</t>
        </is>
      </c>
      <c r="P397" t="inlineStr">
        <is>
          <t>nyu</t>
        </is>
      </c>
      <c r="R397" t="inlineStr">
        <is>
          <t xml:space="preserve">HT </t>
        </is>
      </c>
      <c r="S397" t="n">
        <v>1</v>
      </c>
      <c r="T397" t="n">
        <v>1</v>
      </c>
      <c r="U397" t="inlineStr">
        <is>
          <t>2001-07-03</t>
        </is>
      </c>
      <c r="V397" t="inlineStr">
        <is>
          <t>2001-07-03</t>
        </is>
      </c>
      <c r="W397" t="inlineStr">
        <is>
          <t>1993-05-11</t>
        </is>
      </c>
      <c r="X397" t="inlineStr">
        <is>
          <t>1993-05-11</t>
        </is>
      </c>
      <c r="Y397" t="n">
        <v>285</v>
      </c>
      <c r="Z397" t="n">
        <v>274</v>
      </c>
      <c r="AA397" t="n">
        <v>325</v>
      </c>
      <c r="AB397" t="n">
        <v>1</v>
      </c>
      <c r="AC397" t="n">
        <v>1</v>
      </c>
      <c r="AD397" t="n">
        <v>6</v>
      </c>
      <c r="AE397" t="n">
        <v>7</v>
      </c>
      <c r="AF397" t="n">
        <v>3</v>
      </c>
      <c r="AG397" t="n">
        <v>3</v>
      </c>
      <c r="AH397" t="n">
        <v>1</v>
      </c>
      <c r="AI397" t="n">
        <v>1</v>
      </c>
      <c r="AJ397" t="n">
        <v>6</v>
      </c>
      <c r="AK397" t="n">
        <v>6</v>
      </c>
      <c r="AL397" t="n">
        <v>0</v>
      </c>
      <c r="AM397" t="n">
        <v>0</v>
      </c>
      <c r="AN397" t="n">
        <v>0</v>
      </c>
      <c r="AO397" t="n">
        <v>1</v>
      </c>
      <c r="AP397" t="inlineStr">
        <is>
          <t>No</t>
        </is>
      </c>
      <c r="AQ397" t="inlineStr">
        <is>
          <t>No</t>
        </is>
      </c>
      <c r="AS397">
        <f>HYPERLINK("https://creighton-primo.hosted.exlibrisgroup.com/primo-explore/search?tab=default_tab&amp;search_scope=EVERYTHING&amp;vid=01CRU&amp;lang=en_US&amp;offset=0&amp;query=any,contains,991000057299702656","Catalog Record")</f>
        <v/>
      </c>
      <c r="AT397">
        <f>HYPERLINK("http://www.worldcat.org/oclc/8709437","WorldCat Record")</f>
        <v/>
      </c>
      <c r="AU397" t="inlineStr">
        <is>
          <t>42884829:eng</t>
        </is>
      </c>
      <c r="AV397" t="inlineStr">
        <is>
          <t>8709437</t>
        </is>
      </c>
      <c r="AW397" t="inlineStr">
        <is>
          <t>991000057299702656</t>
        </is>
      </c>
      <c r="AX397" t="inlineStr">
        <is>
          <t>991000057299702656</t>
        </is>
      </c>
      <c r="AY397" t="inlineStr">
        <is>
          <t>2256663260002656</t>
        </is>
      </c>
      <c r="AZ397" t="inlineStr">
        <is>
          <t>BOOK</t>
        </is>
      </c>
      <c r="BB397" t="inlineStr">
        <is>
          <t>9780670172764</t>
        </is>
      </c>
      <c r="BC397" t="inlineStr">
        <is>
          <t>32285001674646</t>
        </is>
      </c>
      <c r="BD397" t="inlineStr">
        <is>
          <t>893689367</t>
        </is>
      </c>
    </row>
    <row r="398">
      <c r="A398" t="inlineStr">
        <is>
          <t>No</t>
        </is>
      </c>
      <c r="B398" t="inlineStr">
        <is>
          <t>HT653.G7 W54 1982</t>
        </is>
      </c>
      <c r="C398" t="inlineStr">
        <is>
          <t>0                      HT 0653000G  7                  W  54          1982</t>
        </is>
      </c>
      <c r="D398" t="inlineStr">
        <is>
          <t>Their noble lordships : class and power in modern Britain / Simon Winchester.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Winchester, Simon.</t>
        </is>
      </c>
      <c r="L398" t="inlineStr">
        <is>
          <t>New York : Random House, c1982.</t>
        </is>
      </c>
      <c r="M398" t="inlineStr">
        <is>
          <t>1982</t>
        </is>
      </c>
      <c r="N398" t="inlineStr">
        <is>
          <t>1st Amer. ed.</t>
        </is>
      </c>
      <c r="O398" t="inlineStr">
        <is>
          <t>eng</t>
        </is>
      </c>
      <c r="P398" t="inlineStr">
        <is>
          <t>nyu</t>
        </is>
      </c>
      <c r="R398" t="inlineStr">
        <is>
          <t xml:space="preserve">HT </t>
        </is>
      </c>
      <c r="S398" t="n">
        <v>2</v>
      </c>
      <c r="T398" t="n">
        <v>2</v>
      </c>
      <c r="U398" t="inlineStr">
        <is>
          <t>2001-07-03</t>
        </is>
      </c>
      <c r="V398" t="inlineStr">
        <is>
          <t>2001-07-03</t>
        </is>
      </c>
      <c r="W398" t="inlineStr">
        <is>
          <t>1993-05-11</t>
        </is>
      </c>
      <c r="X398" t="inlineStr">
        <is>
          <t>1993-05-11</t>
        </is>
      </c>
      <c r="Y398" t="n">
        <v>442</v>
      </c>
      <c r="Z398" t="n">
        <v>407</v>
      </c>
      <c r="AA398" t="n">
        <v>408</v>
      </c>
      <c r="AB398" t="n">
        <v>3</v>
      </c>
      <c r="AC398" t="n">
        <v>3</v>
      </c>
      <c r="AD398" t="n">
        <v>14</v>
      </c>
      <c r="AE398" t="n">
        <v>14</v>
      </c>
      <c r="AF398" t="n">
        <v>6</v>
      </c>
      <c r="AG398" t="n">
        <v>6</v>
      </c>
      <c r="AH398" t="n">
        <v>2</v>
      </c>
      <c r="AI398" t="n">
        <v>2</v>
      </c>
      <c r="AJ398" t="n">
        <v>7</v>
      </c>
      <c r="AK398" t="n">
        <v>7</v>
      </c>
      <c r="AL398" t="n">
        <v>2</v>
      </c>
      <c r="AM398" t="n">
        <v>2</v>
      </c>
      <c r="AN398" t="n">
        <v>0</v>
      </c>
      <c r="AO398" t="n">
        <v>0</v>
      </c>
      <c r="AP398" t="inlineStr">
        <is>
          <t>No</t>
        </is>
      </c>
      <c r="AQ398" t="inlineStr">
        <is>
          <t>Yes</t>
        </is>
      </c>
      <c r="AR398">
        <f>HYPERLINK("http://catalog.hathitrust.org/Record/004400442","HathiTrust Record")</f>
        <v/>
      </c>
      <c r="AS398">
        <f>HYPERLINK("https://creighton-primo.hosted.exlibrisgroup.com/primo-explore/search?tab=default_tab&amp;search_scope=EVERYTHING&amp;vid=01CRU&amp;lang=en_US&amp;offset=0&amp;query=any,contains,991005194319702656","Catalog Record")</f>
        <v/>
      </c>
      <c r="AT398">
        <f>HYPERLINK("http://www.worldcat.org/oclc/8033615","WorldCat Record")</f>
        <v/>
      </c>
      <c r="AU398" t="inlineStr">
        <is>
          <t>3856623298:eng</t>
        </is>
      </c>
      <c r="AV398" t="inlineStr">
        <is>
          <t>8033615</t>
        </is>
      </c>
      <c r="AW398" t="inlineStr">
        <is>
          <t>991005194319702656</t>
        </is>
      </c>
      <c r="AX398" t="inlineStr">
        <is>
          <t>991005194319702656</t>
        </is>
      </c>
      <c r="AY398" t="inlineStr">
        <is>
          <t>2269463710002656</t>
        </is>
      </c>
      <c r="AZ398" t="inlineStr">
        <is>
          <t>BOOK</t>
        </is>
      </c>
      <c r="BB398" t="inlineStr">
        <is>
          <t>9780394524184</t>
        </is>
      </c>
      <c r="BC398" t="inlineStr">
        <is>
          <t>32285001674653</t>
        </is>
      </c>
      <c r="BD398" t="inlineStr">
        <is>
          <t>893418528</t>
        </is>
      </c>
    </row>
    <row r="399">
      <c r="A399" t="inlineStr">
        <is>
          <t>No</t>
        </is>
      </c>
      <c r="B399" t="inlineStr">
        <is>
          <t>HT653.I8 H4313</t>
        </is>
      </c>
      <c r="C399" t="inlineStr">
        <is>
          <t>0                      HT 0653000I  8                  H  4313</t>
        </is>
      </c>
      <c r="D399" t="inlineStr">
        <is>
          <t>Family clans in the Middle Ages : a study of political and social structures in urban areas / by Jacques Heers ; translated by Barry Herbert. --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K399" t="inlineStr">
        <is>
          <t>Heers, Jacques.</t>
        </is>
      </c>
      <c r="L399" t="inlineStr">
        <is>
          <t>Amsterdam ; New York : North-Holland Pub. Co., 1977.</t>
        </is>
      </c>
      <c r="M399" t="inlineStr">
        <is>
          <t>1977</t>
        </is>
      </c>
      <c r="O399" t="inlineStr">
        <is>
          <t>eng</t>
        </is>
      </c>
      <c r="P399" t="inlineStr">
        <is>
          <t xml:space="preserve">ne </t>
        </is>
      </c>
      <c r="Q399" t="inlineStr">
        <is>
          <t>Europe in the Middle Ages ; v. 4</t>
        </is>
      </c>
      <c r="R399" t="inlineStr">
        <is>
          <t xml:space="preserve">HT </t>
        </is>
      </c>
      <c r="S399" t="n">
        <v>3</v>
      </c>
      <c r="T399" t="n">
        <v>3</v>
      </c>
      <c r="U399" t="inlineStr">
        <is>
          <t>1993-10-31</t>
        </is>
      </c>
      <c r="V399" t="inlineStr">
        <is>
          <t>1993-10-31</t>
        </is>
      </c>
      <c r="W399" t="inlineStr">
        <is>
          <t>1993-05-11</t>
        </is>
      </c>
      <c r="X399" t="inlineStr">
        <is>
          <t>1993-05-11</t>
        </is>
      </c>
      <c r="Y399" t="n">
        <v>361</v>
      </c>
      <c r="Z399" t="n">
        <v>251</v>
      </c>
      <c r="AA399" t="n">
        <v>252</v>
      </c>
      <c r="AB399" t="n">
        <v>3</v>
      </c>
      <c r="AC399" t="n">
        <v>3</v>
      </c>
      <c r="AD399" t="n">
        <v>12</v>
      </c>
      <c r="AE399" t="n">
        <v>12</v>
      </c>
      <c r="AF399" t="n">
        <v>2</v>
      </c>
      <c r="AG399" t="n">
        <v>2</v>
      </c>
      <c r="AH399" t="n">
        <v>3</v>
      </c>
      <c r="AI399" t="n">
        <v>3</v>
      </c>
      <c r="AJ399" t="n">
        <v>9</v>
      </c>
      <c r="AK399" t="n">
        <v>9</v>
      </c>
      <c r="AL399" t="n">
        <v>2</v>
      </c>
      <c r="AM399" t="n">
        <v>2</v>
      </c>
      <c r="AN399" t="n">
        <v>0</v>
      </c>
      <c r="AO399" t="n">
        <v>0</v>
      </c>
      <c r="AP399" t="inlineStr">
        <is>
          <t>No</t>
        </is>
      </c>
      <c r="AQ399" t="inlineStr">
        <is>
          <t>No</t>
        </is>
      </c>
      <c r="AS399">
        <f>HYPERLINK("https://creighton-primo.hosted.exlibrisgroup.com/primo-explore/search?tab=default_tab&amp;search_scope=EVERYTHING&amp;vid=01CRU&amp;lang=en_US&amp;offset=0&amp;query=any,contains,991003987999702656","Catalog Record")</f>
        <v/>
      </c>
      <c r="AT399">
        <f>HYPERLINK("http://www.worldcat.org/oclc/2035139","WorldCat Record")</f>
        <v/>
      </c>
      <c r="AU399" t="inlineStr">
        <is>
          <t>2908628459:eng</t>
        </is>
      </c>
      <c r="AV399" t="inlineStr">
        <is>
          <t>2035139</t>
        </is>
      </c>
      <c r="AW399" t="inlineStr">
        <is>
          <t>991003987999702656</t>
        </is>
      </c>
      <c r="AX399" t="inlineStr">
        <is>
          <t>991003987999702656</t>
        </is>
      </c>
      <c r="AY399" t="inlineStr">
        <is>
          <t>2268764860002656</t>
        </is>
      </c>
      <c r="AZ399" t="inlineStr">
        <is>
          <t>BOOK</t>
        </is>
      </c>
      <c r="BB399" t="inlineStr">
        <is>
          <t>9780720490091</t>
        </is>
      </c>
      <c r="BC399" t="inlineStr">
        <is>
          <t>32285001674661</t>
        </is>
      </c>
      <c r="BD399" t="inlineStr">
        <is>
          <t>893699678</t>
        </is>
      </c>
    </row>
    <row r="400">
      <c r="A400" t="inlineStr">
        <is>
          <t>No</t>
        </is>
      </c>
      <c r="B400" t="inlineStr">
        <is>
          <t>HT653.S65 T68 1987</t>
        </is>
      </c>
      <c r="C400" t="inlineStr">
        <is>
          <t>0                      HT 0653000S  65                 T  68          1987</t>
        </is>
      </c>
      <c r="D400" t="inlineStr">
        <is>
          <t>The Russian noble family : structure and change / Jessica Tovrov.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K400" t="inlineStr">
        <is>
          <t>Tovrov, Jessica, 1946-</t>
        </is>
      </c>
      <c r="L400" t="inlineStr">
        <is>
          <t>New York : Garland Pub., 1987.</t>
        </is>
      </c>
      <c r="M400" t="inlineStr">
        <is>
          <t>1987</t>
        </is>
      </c>
      <c r="O400" t="inlineStr">
        <is>
          <t>eng</t>
        </is>
      </c>
      <c r="P400" t="inlineStr">
        <is>
          <t>nyu</t>
        </is>
      </c>
      <c r="Q400" t="inlineStr">
        <is>
          <t>Modern European history</t>
        </is>
      </c>
      <c r="R400" t="inlineStr">
        <is>
          <t xml:space="preserve">HT </t>
        </is>
      </c>
      <c r="S400" t="n">
        <v>0</v>
      </c>
      <c r="T400" t="n">
        <v>0</v>
      </c>
      <c r="U400" t="inlineStr">
        <is>
          <t>2010-05-10</t>
        </is>
      </c>
      <c r="V400" t="inlineStr">
        <is>
          <t>2010-05-10</t>
        </is>
      </c>
      <c r="W400" t="inlineStr">
        <is>
          <t>1993-05-11</t>
        </is>
      </c>
      <c r="X400" t="inlineStr">
        <is>
          <t>1993-05-11</t>
        </is>
      </c>
      <c r="Y400" t="n">
        <v>107</v>
      </c>
      <c r="Z400" t="n">
        <v>68</v>
      </c>
      <c r="AA400" t="n">
        <v>68</v>
      </c>
      <c r="AB400" t="n">
        <v>1</v>
      </c>
      <c r="AC400" t="n">
        <v>1</v>
      </c>
      <c r="AD400" t="n">
        <v>2</v>
      </c>
      <c r="AE400" t="n">
        <v>2</v>
      </c>
      <c r="AF400" t="n">
        <v>0</v>
      </c>
      <c r="AG400" t="n">
        <v>0</v>
      </c>
      <c r="AH400" t="n">
        <v>1</v>
      </c>
      <c r="AI400" t="n">
        <v>1</v>
      </c>
      <c r="AJ400" t="n">
        <v>1</v>
      </c>
      <c r="AK400" t="n">
        <v>1</v>
      </c>
      <c r="AL400" t="n">
        <v>0</v>
      </c>
      <c r="AM400" t="n">
        <v>0</v>
      </c>
      <c r="AN400" t="n">
        <v>0</v>
      </c>
      <c r="AO400" t="n">
        <v>0</v>
      </c>
      <c r="AP400" t="inlineStr">
        <is>
          <t>No</t>
        </is>
      </c>
      <c r="AQ400" t="inlineStr">
        <is>
          <t>No</t>
        </is>
      </c>
      <c r="AS400">
        <f>HYPERLINK("https://creighton-primo.hosted.exlibrisgroup.com/primo-explore/search?tab=default_tab&amp;search_scope=EVERYTHING&amp;vid=01CRU&amp;lang=en_US&amp;offset=0&amp;query=any,contains,991001008199702656","Catalog Record")</f>
        <v/>
      </c>
      <c r="AT400">
        <f>HYPERLINK("http://www.worldcat.org/oclc/15252888","WorldCat Record")</f>
        <v/>
      </c>
      <c r="AU400" t="inlineStr">
        <is>
          <t>836709733:eng</t>
        </is>
      </c>
      <c r="AV400" t="inlineStr">
        <is>
          <t>15252888</t>
        </is>
      </c>
      <c r="AW400" t="inlineStr">
        <is>
          <t>991001008199702656</t>
        </is>
      </c>
      <c r="AX400" t="inlineStr">
        <is>
          <t>991001008199702656</t>
        </is>
      </c>
      <c r="AY400" t="inlineStr">
        <is>
          <t>2255156480002656</t>
        </is>
      </c>
      <c r="AZ400" t="inlineStr">
        <is>
          <t>BOOK</t>
        </is>
      </c>
      <c r="BB400" t="inlineStr">
        <is>
          <t>9780824080648</t>
        </is>
      </c>
      <c r="BC400" t="inlineStr">
        <is>
          <t>32285001674687</t>
        </is>
      </c>
      <c r="BD400" t="inlineStr">
        <is>
          <t>893608461</t>
        </is>
      </c>
    </row>
    <row r="401">
      <c r="A401" t="inlineStr">
        <is>
          <t>No</t>
        </is>
      </c>
      <c r="B401" t="inlineStr">
        <is>
          <t>HT653.S7 B375 1997</t>
        </is>
      </c>
      <c r="C401" t="inlineStr">
        <is>
          <t>0                      HT 0653000S  7                  B  375         1997</t>
        </is>
      </c>
      <c r="D401" t="inlineStr">
        <is>
          <t>The aristocracy in twelfth-century León and Castile / Simon Barton.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K401" t="inlineStr">
        <is>
          <t>Barton, Simon, 1962-2017.</t>
        </is>
      </c>
      <c r="L401" t="inlineStr">
        <is>
          <t>Cambridge ; New York : Cambridge University Press, 1997.</t>
        </is>
      </c>
      <c r="M401" t="inlineStr">
        <is>
          <t>1997</t>
        </is>
      </c>
      <c r="O401" t="inlineStr">
        <is>
          <t>eng</t>
        </is>
      </c>
      <c r="P401" t="inlineStr">
        <is>
          <t>enk</t>
        </is>
      </c>
      <c r="Q401" t="inlineStr">
        <is>
          <t>Cambridge studies in medieval life and thought ; 4th ser., 34</t>
        </is>
      </c>
      <c r="R401" t="inlineStr">
        <is>
          <t xml:space="preserve">HT </t>
        </is>
      </c>
      <c r="S401" t="n">
        <v>1</v>
      </c>
      <c r="T401" t="n">
        <v>1</v>
      </c>
      <c r="U401" t="inlineStr">
        <is>
          <t>2005-03-02</t>
        </is>
      </c>
      <c r="V401" t="inlineStr">
        <is>
          <t>2005-03-02</t>
        </is>
      </c>
      <c r="W401" t="inlineStr">
        <is>
          <t>2005-03-02</t>
        </is>
      </c>
      <c r="X401" t="inlineStr">
        <is>
          <t>2005-03-02</t>
        </is>
      </c>
      <c r="Y401" t="n">
        <v>317</v>
      </c>
      <c r="Z401" t="n">
        <v>236</v>
      </c>
      <c r="AA401" t="n">
        <v>414</v>
      </c>
      <c r="AB401" t="n">
        <v>3</v>
      </c>
      <c r="AC401" t="n">
        <v>5</v>
      </c>
      <c r="AD401" t="n">
        <v>21</v>
      </c>
      <c r="AE401" t="n">
        <v>31</v>
      </c>
      <c r="AF401" t="n">
        <v>6</v>
      </c>
      <c r="AG401" t="n">
        <v>10</v>
      </c>
      <c r="AH401" t="n">
        <v>7</v>
      </c>
      <c r="AI401" t="n">
        <v>9</v>
      </c>
      <c r="AJ401" t="n">
        <v>12</v>
      </c>
      <c r="AK401" t="n">
        <v>16</v>
      </c>
      <c r="AL401" t="n">
        <v>2</v>
      </c>
      <c r="AM401" t="n">
        <v>4</v>
      </c>
      <c r="AN401" t="n">
        <v>0</v>
      </c>
      <c r="AO401" t="n">
        <v>0</v>
      </c>
      <c r="AP401" t="inlineStr">
        <is>
          <t>No</t>
        </is>
      </c>
      <c r="AQ401" t="inlineStr">
        <is>
          <t>No</t>
        </is>
      </c>
      <c r="AS401">
        <f>HYPERLINK("https://creighton-primo.hosted.exlibrisgroup.com/primo-explore/search?tab=default_tab&amp;search_scope=EVERYTHING&amp;vid=01CRU&amp;lang=en_US&amp;offset=0&amp;query=any,contains,991004489449702656","Catalog Record")</f>
        <v/>
      </c>
      <c r="AT401">
        <f>HYPERLINK("http://www.worldcat.org/oclc/35686119","WorldCat Record")</f>
        <v/>
      </c>
      <c r="AU401" t="inlineStr">
        <is>
          <t>15872262:eng</t>
        </is>
      </c>
      <c r="AV401" t="inlineStr">
        <is>
          <t>35686119</t>
        </is>
      </c>
      <c r="AW401" t="inlineStr">
        <is>
          <t>991004489449702656</t>
        </is>
      </c>
      <c r="AX401" t="inlineStr">
        <is>
          <t>991004489449702656</t>
        </is>
      </c>
      <c r="AY401" t="inlineStr">
        <is>
          <t>2262211510002656</t>
        </is>
      </c>
      <c r="AZ401" t="inlineStr">
        <is>
          <t>BOOK</t>
        </is>
      </c>
      <c r="BB401" t="inlineStr">
        <is>
          <t>9780521497275</t>
        </is>
      </c>
      <c r="BC401" t="inlineStr">
        <is>
          <t>32285005028575</t>
        </is>
      </c>
      <c r="BD401" t="inlineStr">
        <is>
          <t>893788751</t>
        </is>
      </c>
    </row>
    <row r="402">
      <c r="A402" t="inlineStr">
        <is>
          <t>No</t>
        </is>
      </c>
      <c r="B402" t="inlineStr">
        <is>
          <t>HT653.U6 Ơ87 1984</t>
        </is>
      </c>
      <c r="C402" t="inlineStr">
        <is>
          <t>0                      HT 0653000U  6                                                       Ơ87 1984</t>
        </is>
      </c>
      <c r="D402" t="inlineStr">
        <is>
          <t>Women of the upper class / Susan A. Ostrander.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K402" t="inlineStr">
        <is>
          <t>Ostrander, Susan A.</t>
        </is>
      </c>
      <c r="L402" t="inlineStr">
        <is>
          <t>Philadelphia : Temple University Press, 1984.</t>
        </is>
      </c>
      <c r="M402" t="inlineStr">
        <is>
          <t>1984</t>
        </is>
      </c>
      <c r="O402" t="inlineStr">
        <is>
          <t>eng</t>
        </is>
      </c>
      <c r="P402" t="inlineStr">
        <is>
          <t>pau</t>
        </is>
      </c>
      <c r="Q402" t="inlineStr">
        <is>
          <t>Women in the political economy</t>
        </is>
      </c>
      <c r="R402" t="inlineStr">
        <is>
          <t xml:space="preserve">HT </t>
        </is>
      </c>
      <c r="S402" t="n">
        <v>2</v>
      </c>
      <c r="T402" t="n">
        <v>2</v>
      </c>
      <c r="U402" t="inlineStr">
        <is>
          <t>1993-11-29</t>
        </is>
      </c>
      <c r="V402" t="inlineStr">
        <is>
          <t>1993-11-29</t>
        </is>
      </c>
      <c r="W402" t="inlineStr">
        <is>
          <t>1992-05-08</t>
        </is>
      </c>
      <c r="X402" t="inlineStr">
        <is>
          <t>1992-05-08</t>
        </is>
      </c>
      <c r="Y402" t="n">
        <v>565</v>
      </c>
      <c r="Z402" t="n">
        <v>514</v>
      </c>
      <c r="AA402" t="n">
        <v>697</v>
      </c>
      <c r="AB402" t="n">
        <v>5</v>
      </c>
      <c r="AC402" t="n">
        <v>5</v>
      </c>
      <c r="AD402" t="n">
        <v>29</v>
      </c>
      <c r="AE402" t="n">
        <v>35</v>
      </c>
      <c r="AF402" t="n">
        <v>10</v>
      </c>
      <c r="AG402" t="n">
        <v>15</v>
      </c>
      <c r="AH402" t="n">
        <v>8</v>
      </c>
      <c r="AI402" t="n">
        <v>9</v>
      </c>
      <c r="AJ402" t="n">
        <v>13</v>
      </c>
      <c r="AK402" t="n">
        <v>16</v>
      </c>
      <c r="AL402" t="n">
        <v>4</v>
      </c>
      <c r="AM402" t="n">
        <v>4</v>
      </c>
      <c r="AN402" t="n">
        <v>0</v>
      </c>
      <c r="AO402" t="n">
        <v>0</v>
      </c>
      <c r="AP402" t="inlineStr">
        <is>
          <t>No</t>
        </is>
      </c>
      <c r="AQ402" t="inlineStr">
        <is>
          <t>No</t>
        </is>
      </c>
      <c r="AS402">
        <f>HYPERLINK("https://creighton-primo.hosted.exlibrisgroup.com/primo-explore/search?tab=default_tab&amp;search_scope=EVERYTHING&amp;vid=01CRU&amp;lang=en_US&amp;offset=0&amp;query=any,contains,991000286799702656","Catalog Record")</f>
        <v/>
      </c>
      <c r="AT402">
        <f>HYPERLINK("http://www.worldcat.org/oclc/9944586","WorldCat Record")</f>
        <v/>
      </c>
      <c r="AU402" t="inlineStr">
        <is>
          <t>43351123:eng</t>
        </is>
      </c>
      <c r="AV402" t="inlineStr">
        <is>
          <t>9944586</t>
        </is>
      </c>
      <c r="AW402" t="inlineStr">
        <is>
          <t>991000286799702656</t>
        </is>
      </c>
      <c r="AX402" t="inlineStr">
        <is>
          <t>991000286799702656</t>
        </is>
      </c>
      <c r="AY402" t="inlineStr">
        <is>
          <t>2262393150002656</t>
        </is>
      </c>
      <c r="AZ402" t="inlineStr">
        <is>
          <t>BOOK</t>
        </is>
      </c>
      <c r="BB402" t="inlineStr">
        <is>
          <t>9780877223344</t>
        </is>
      </c>
      <c r="BC402" t="inlineStr">
        <is>
          <t>32285001106334</t>
        </is>
      </c>
      <c r="BD402" t="inlineStr">
        <is>
          <t>893438144</t>
        </is>
      </c>
    </row>
    <row r="403">
      <c r="A403" t="inlineStr">
        <is>
          <t>No</t>
        </is>
      </c>
      <c r="B403" t="inlineStr">
        <is>
          <t>HT657 .C67 2003</t>
        </is>
      </c>
      <c r="C403" t="inlineStr">
        <is>
          <t>0                      HT 0657000C  67          2003</t>
        </is>
      </c>
      <c r="D403" t="inlineStr">
        <is>
          <t>The origins of the English gentry / Peter Coss.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K403" t="inlineStr">
        <is>
          <t>Coss, Peter R.</t>
        </is>
      </c>
      <c r="L403" t="inlineStr">
        <is>
          <t>Cambridge, U.K. ; New York : Cambridge University Press, 2003.</t>
        </is>
      </c>
      <c r="M403" t="inlineStr">
        <is>
          <t>2003</t>
        </is>
      </c>
      <c r="O403" t="inlineStr">
        <is>
          <t>eng</t>
        </is>
      </c>
      <c r="P403" t="inlineStr">
        <is>
          <t>enk</t>
        </is>
      </c>
      <c r="Q403" t="inlineStr">
        <is>
          <t>Past and present publications</t>
        </is>
      </c>
      <c r="R403" t="inlineStr">
        <is>
          <t xml:space="preserve">HT </t>
        </is>
      </c>
      <c r="S403" t="n">
        <v>3</v>
      </c>
      <c r="T403" t="n">
        <v>3</v>
      </c>
      <c r="U403" t="inlineStr">
        <is>
          <t>2005-09-09</t>
        </is>
      </c>
      <c r="V403" t="inlineStr">
        <is>
          <t>2005-09-09</t>
        </is>
      </c>
      <c r="W403" t="inlineStr">
        <is>
          <t>2005-05-25</t>
        </is>
      </c>
      <c r="X403" t="inlineStr">
        <is>
          <t>2005-05-25</t>
        </is>
      </c>
      <c r="Y403" t="n">
        <v>467</v>
      </c>
      <c r="Z403" t="n">
        <v>373</v>
      </c>
      <c r="AA403" t="n">
        <v>395</v>
      </c>
      <c r="AB403" t="n">
        <v>5</v>
      </c>
      <c r="AC403" t="n">
        <v>5</v>
      </c>
      <c r="AD403" t="n">
        <v>25</v>
      </c>
      <c r="AE403" t="n">
        <v>26</v>
      </c>
      <c r="AF403" t="n">
        <v>9</v>
      </c>
      <c r="AG403" t="n">
        <v>10</v>
      </c>
      <c r="AH403" t="n">
        <v>6</v>
      </c>
      <c r="AI403" t="n">
        <v>6</v>
      </c>
      <c r="AJ403" t="n">
        <v>12</v>
      </c>
      <c r="AK403" t="n">
        <v>12</v>
      </c>
      <c r="AL403" t="n">
        <v>4</v>
      </c>
      <c r="AM403" t="n">
        <v>4</v>
      </c>
      <c r="AN403" t="n">
        <v>0</v>
      </c>
      <c r="AO403" t="n">
        <v>0</v>
      </c>
      <c r="AP403" t="inlineStr">
        <is>
          <t>No</t>
        </is>
      </c>
      <c r="AQ403" t="inlineStr">
        <is>
          <t>No</t>
        </is>
      </c>
      <c r="AS403">
        <f>HYPERLINK("https://creighton-primo.hosted.exlibrisgroup.com/primo-explore/search?tab=default_tab&amp;search_scope=EVERYTHING&amp;vid=01CRU&amp;lang=en_US&amp;offset=0&amp;query=any,contains,991004544509702656","Catalog Record")</f>
        <v/>
      </c>
      <c r="AT403">
        <f>HYPERLINK("http://www.worldcat.org/oclc/52286448","WorldCat Record")</f>
        <v/>
      </c>
      <c r="AU403" t="inlineStr">
        <is>
          <t>710970:eng</t>
        </is>
      </c>
      <c r="AV403" t="inlineStr">
        <is>
          <t>52286448</t>
        </is>
      </c>
      <c r="AW403" t="inlineStr">
        <is>
          <t>991004544509702656</t>
        </is>
      </c>
      <c r="AX403" t="inlineStr">
        <is>
          <t>991004544509702656</t>
        </is>
      </c>
      <c r="AY403" t="inlineStr">
        <is>
          <t>2265678710002656</t>
        </is>
      </c>
      <c r="AZ403" t="inlineStr">
        <is>
          <t>BOOK</t>
        </is>
      </c>
      <c r="BB403" t="inlineStr">
        <is>
          <t>9780521826730</t>
        </is>
      </c>
      <c r="BC403" t="inlineStr">
        <is>
          <t>32285005090633</t>
        </is>
      </c>
      <c r="BD403" t="inlineStr">
        <is>
          <t>893694063</t>
        </is>
      </c>
    </row>
    <row r="404">
      <c r="A404" t="inlineStr">
        <is>
          <t>No</t>
        </is>
      </c>
      <c r="B404" t="inlineStr">
        <is>
          <t>HT657 .M37 1987</t>
        </is>
      </c>
      <c r="C404" t="inlineStr">
        <is>
          <t>0                      HT 0657000M  37          1987</t>
        </is>
      </c>
      <c r="D404" t="inlineStr">
        <is>
          <t>The Dutch gentry, 1500-1650 : family, faith, and fortune / Sherrin Marshall.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K404" t="inlineStr">
        <is>
          <t>Marshall, Sherrin.</t>
        </is>
      </c>
      <c r="L404" t="inlineStr">
        <is>
          <t>New York : Greenwood Press, 1987.</t>
        </is>
      </c>
      <c r="M404" t="inlineStr">
        <is>
          <t>1987</t>
        </is>
      </c>
      <c r="O404" t="inlineStr">
        <is>
          <t>eng</t>
        </is>
      </c>
      <c r="P404" t="inlineStr">
        <is>
          <t>nyu</t>
        </is>
      </c>
      <c r="Q404" t="inlineStr">
        <is>
          <t>Contributions in family studies, 0147-1023 ; no. 11</t>
        </is>
      </c>
      <c r="R404" t="inlineStr">
        <is>
          <t xml:space="preserve">HT </t>
        </is>
      </c>
      <c r="S404" t="n">
        <v>5</v>
      </c>
      <c r="T404" t="n">
        <v>5</v>
      </c>
      <c r="U404" t="inlineStr">
        <is>
          <t>2007-04-17</t>
        </is>
      </c>
      <c r="V404" t="inlineStr">
        <is>
          <t>2007-04-17</t>
        </is>
      </c>
      <c r="W404" t="inlineStr">
        <is>
          <t>1993-05-11</t>
        </is>
      </c>
      <c r="X404" t="inlineStr">
        <is>
          <t>1993-05-11</t>
        </is>
      </c>
      <c r="Y404" t="n">
        <v>351</v>
      </c>
      <c r="Z404" t="n">
        <v>241</v>
      </c>
      <c r="AA404" t="n">
        <v>242</v>
      </c>
      <c r="AB404" t="n">
        <v>2</v>
      </c>
      <c r="AC404" t="n">
        <v>2</v>
      </c>
      <c r="AD404" t="n">
        <v>13</v>
      </c>
      <c r="AE404" t="n">
        <v>13</v>
      </c>
      <c r="AF404" t="n">
        <v>1</v>
      </c>
      <c r="AG404" t="n">
        <v>1</v>
      </c>
      <c r="AH404" t="n">
        <v>5</v>
      </c>
      <c r="AI404" t="n">
        <v>5</v>
      </c>
      <c r="AJ404" t="n">
        <v>9</v>
      </c>
      <c r="AK404" t="n">
        <v>9</v>
      </c>
      <c r="AL404" t="n">
        <v>1</v>
      </c>
      <c r="AM404" t="n">
        <v>1</v>
      </c>
      <c r="AN404" t="n">
        <v>0</v>
      </c>
      <c r="AO404" t="n">
        <v>0</v>
      </c>
      <c r="AP404" t="inlineStr">
        <is>
          <t>No</t>
        </is>
      </c>
      <c r="AQ404" t="inlineStr">
        <is>
          <t>Yes</t>
        </is>
      </c>
      <c r="AR404">
        <f>HYPERLINK("http://catalog.hathitrust.org/Record/000835666","HathiTrust Record")</f>
        <v/>
      </c>
      <c r="AS404">
        <f>HYPERLINK("https://creighton-primo.hosted.exlibrisgroup.com/primo-explore/search?tab=default_tab&amp;search_scope=EVERYTHING&amp;vid=01CRU&amp;lang=en_US&amp;offset=0&amp;query=any,contains,991000827829702656","Catalog Record")</f>
        <v/>
      </c>
      <c r="AT404">
        <f>HYPERLINK("http://www.worldcat.org/oclc/13424774","WorldCat Record")</f>
        <v/>
      </c>
      <c r="AU404" t="inlineStr">
        <is>
          <t>807498908:eng</t>
        </is>
      </c>
      <c r="AV404" t="inlineStr">
        <is>
          <t>13424774</t>
        </is>
      </c>
      <c r="AW404" t="inlineStr">
        <is>
          <t>991000827829702656</t>
        </is>
      </c>
      <c r="AX404" t="inlineStr">
        <is>
          <t>991000827829702656</t>
        </is>
      </c>
      <c r="AY404" t="inlineStr">
        <is>
          <t>2263035730002656</t>
        </is>
      </c>
      <c r="AZ404" t="inlineStr">
        <is>
          <t>BOOK</t>
        </is>
      </c>
      <c r="BB404" t="inlineStr">
        <is>
          <t>9780313250217</t>
        </is>
      </c>
      <c r="BC404" t="inlineStr">
        <is>
          <t>32285001674695</t>
        </is>
      </c>
      <c r="BD404" t="inlineStr">
        <is>
          <t>893690075</t>
        </is>
      </c>
    </row>
    <row r="405">
      <c r="A405" t="inlineStr">
        <is>
          <t>No</t>
        </is>
      </c>
      <c r="B405" t="inlineStr">
        <is>
          <t>HT657 .S86 1986</t>
        </is>
      </c>
      <c r="C405" t="inlineStr">
        <is>
          <t>0                      HT 0657000S  86          1986</t>
        </is>
      </c>
      <c r="D405" t="inlineStr">
        <is>
          <t>An open elite? : England, 1540-1880 / Lawrence Stone and Jeanne C. Fawtier Stone.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K405" t="inlineStr">
        <is>
          <t>Stone, Lawrence.</t>
        </is>
      </c>
      <c r="L405" t="inlineStr">
        <is>
          <t>Oxford [Oxfordshire] ; New York : Oxford University Press, 1986.</t>
        </is>
      </c>
      <c r="M405" t="inlineStr">
        <is>
          <t>1986</t>
        </is>
      </c>
      <c r="N405" t="inlineStr">
        <is>
          <t>Abridged ed.</t>
        </is>
      </c>
      <c r="O405" t="inlineStr">
        <is>
          <t>eng</t>
        </is>
      </c>
      <c r="P405" t="inlineStr">
        <is>
          <t>enk</t>
        </is>
      </c>
      <c r="R405" t="inlineStr">
        <is>
          <t xml:space="preserve">HT </t>
        </is>
      </c>
      <c r="S405" t="n">
        <v>6</v>
      </c>
      <c r="T405" t="n">
        <v>6</v>
      </c>
      <c r="U405" t="inlineStr">
        <is>
          <t>2004-04-13</t>
        </is>
      </c>
      <c r="V405" t="inlineStr">
        <is>
          <t>2004-04-13</t>
        </is>
      </c>
      <c r="W405" t="inlineStr">
        <is>
          <t>1993-05-11</t>
        </is>
      </c>
      <c r="X405" t="inlineStr">
        <is>
          <t>1993-05-11</t>
        </is>
      </c>
      <c r="Y405" t="n">
        <v>192</v>
      </c>
      <c r="Z405" t="n">
        <v>112</v>
      </c>
      <c r="AA405" t="n">
        <v>689</v>
      </c>
      <c r="AB405" t="n">
        <v>1</v>
      </c>
      <c r="AC405" t="n">
        <v>4</v>
      </c>
      <c r="AD405" t="n">
        <v>1</v>
      </c>
      <c r="AE405" t="n">
        <v>31</v>
      </c>
      <c r="AF405" t="n">
        <v>1</v>
      </c>
      <c r="AG405" t="n">
        <v>11</v>
      </c>
      <c r="AH405" t="n">
        <v>1</v>
      </c>
      <c r="AI405" t="n">
        <v>10</v>
      </c>
      <c r="AJ405" t="n">
        <v>0</v>
      </c>
      <c r="AK405" t="n">
        <v>19</v>
      </c>
      <c r="AL405" t="n">
        <v>0</v>
      </c>
      <c r="AM405" t="n">
        <v>3</v>
      </c>
      <c r="AN405" t="n">
        <v>0</v>
      </c>
      <c r="AO405" t="n">
        <v>0</v>
      </c>
      <c r="AP405" t="inlineStr">
        <is>
          <t>No</t>
        </is>
      </c>
      <c r="AQ405" t="inlineStr">
        <is>
          <t>Yes</t>
        </is>
      </c>
      <c r="AR405">
        <f>HYPERLINK("http://catalog.hathitrust.org/Record/102105181","HathiTrust Record")</f>
        <v/>
      </c>
      <c r="AS405">
        <f>HYPERLINK("https://creighton-primo.hosted.exlibrisgroup.com/primo-explore/search?tab=default_tab&amp;search_scope=EVERYTHING&amp;vid=01CRU&amp;lang=en_US&amp;offset=0&amp;query=any,contains,991000718129702656","Catalog Record")</f>
        <v/>
      </c>
      <c r="AT405">
        <f>HYPERLINK("http://www.worldcat.org/oclc/12662862","WorldCat Record")</f>
        <v/>
      </c>
      <c r="AU405" t="inlineStr">
        <is>
          <t>319992071:eng</t>
        </is>
      </c>
      <c r="AV405" t="inlineStr">
        <is>
          <t>12662862</t>
        </is>
      </c>
      <c r="AW405" t="inlineStr">
        <is>
          <t>991000718129702656</t>
        </is>
      </c>
      <c r="AX405" t="inlineStr">
        <is>
          <t>991000718129702656</t>
        </is>
      </c>
      <c r="AY405" t="inlineStr">
        <is>
          <t>2271741810002656</t>
        </is>
      </c>
      <c r="AZ405" t="inlineStr">
        <is>
          <t>BOOK</t>
        </is>
      </c>
      <c r="BB405" t="inlineStr">
        <is>
          <t>9780192851499</t>
        </is>
      </c>
      <c r="BC405" t="inlineStr">
        <is>
          <t>32285001674711</t>
        </is>
      </c>
      <c r="BD405" t="inlineStr">
        <is>
          <t>893884690</t>
        </is>
      </c>
    </row>
    <row r="406">
      <c r="A406" t="inlineStr">
        <is>
          <t>No</t>
        </is>
      </c>
      <c r="B406" t="inlineStr">
        <is>
          <t>HT675 .N35 1983</t>
        </is>
      </c>
      <c r="C406" t="inlineStr">
        <is>
          <t>0                      HT 0675000N  35          1983</t>
        </is>
      </c>
      <c r="D406" t="inlineStr">
        <is>
          <t>The socioeconomic approach to status measurement : (with a GUIDE to occupational and socioeconomic status scores) / by Charles B. Nam and Mary G. Powers.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Nam, Charles B.</t>
        </is>
      </c>
      <c r="L406" t="inlineStr">
        <is>
          <t>Houston, Tex. : Cap and Gown Press, c1983.</t>
        </is>
      </c>
      <c r="M406" t="inlineStr">
        <is>
          <t>1983</t>
        </is>
      </c>
      <c r="O406" t="inlineStr">
        <is>
          <t>eng</t>
        </is>
      </c>
      <c r="P406" t="inlineStr">
        <is>
          <t>txu</t>
        </is>
      </c>
      <c r="R406" t="inlineStr">
        <is>
          <t xml:space="preserve">HT </t>
        </is>
      </c>
      <c r="S406" t="n">
        <v>2</v>
      </c>
      <c r="T406" t="n">
        <v>2</v>
      </c>
      <c r="U406" t="inlineStr">
        <is>
          <t>2001-11-19</t>
        </is>
      </c>
      <c r="V406" t="inlineStr">
        <is>
          <t>2001-11-19</t>
        </is>
      </c>
      <c r="W406" t="inlineStr">
        <is>
          <t>1993-05-11</t>
        </is>
      </c>
      <c r="X406" t="inlineStr">
        <is>
          <t>1993-05-11</t>
        </is>
      </c>
      <c r="Y406" t="n">
        <v>211</v>
      </c>
      <c r="Z406" t="n">
        <v>185</v>
      </c>
      <c r="AA406" t="n">
        <v>185</v>
      </c>
      <c r="AB406" t="n">
        <v>3</v>
      </c>
      <c r="AC406" t="n">
        <v>3</v>
      </c>
      <c r="AD406" t="n">
        <v>8</v>
      </c>
      <c r="AE406" t="n">
        <v>8</v>
      </c>
      <c r="AF406" t="n">
        <v>2</v>
      </c>
      <c r="AG406" t="n">
        <v>2</v>
      </c>
      <c r="AH406" t="n">
        <v>4</v>
      </c>
      <c r="AI406" t="n">
        <v>4</v>
      </c>
      <c r="AJ406" t="n">
        <v>3</v>
      </c>
      <c r="AK406" t="n">
        <v>3</v>
      </c>
      <c r="AL406" t="n">
        <v>2</v>
      </c>
      <c r="AM406" t="n">
        <v>2</v>
      </c>
      <c r="AN406" t="n">
        <v>0</v>
      </c>
      <c r="AO406" t="n">
        <v>0</v>
      </c>
      <c r="AP406" t="inlineStr">
        <is>
          <t>No</t>
        </is>
      </c>
      <c r="AQ406" t="inlineStr">
        <is>
          <t>No</t>
        </is>
      </c>
      <c r="AS406">
        <f>HYPERLINK("https://creighton-primo.hosted.exlibrisgroup.com/primo-explore/search?tab=default_tab&amp;search_scope=EVERYTHING&amp;vid=01CRU&amp;lang=en_US&amp;offset=0&amp;query=any,contains,991000406659702656","Catalog Record")</f>
        <v/>
      </c>
      <c r="AT406">
        <f>HYPERLINK("http://www.worldcat.org/oclc/10678106","WorldCat Record")</f>
        <v/>
      </c>
      <c r="AU406" t="inlineStr">
        <is>
          <t>3200898:eng</t>
        </is>
      </c>
      <c r="AV406" t="inlineStr">
        <is>
          <t>10678106</t>
        </is>
      </c>
      <c r="AW406" t="inlineStr">
        <is>
          <t>991000406659702656</t>
        </is>
      </c>
      <c r="AX406" t="inlineStr">
        <is>
          <t>991000406659702656</t>
        </is>
      </c>
      <c r="AY406" t="inlineStr">
        <is>
          <t>2271606320002656</t>
        </is>
      </c>
      <c r="AZ406" t="inlineStr">
        <is>
          <t>BOOK</t>
        </is>
      </c>
      <c r="BB406" t="inlineStr">
        <is>
          <t>9780881050110</t>
        </is>
      </c>
      <c r="BC406" t="inlineStr">
        <is>
          <t>32285001674752</t>
        </is>
      </c>
      <c r="BD406" t="inlineStr">
        <is>
          <t>893438222</t>
        </is>
      </c>
    </row>
    <row r="407">
      <c r="A407" t="inlineStr">
        <is>
          <t>No</t>
        </is>
      </c>
      <c r="B407" t="inlineStr">
        <is>
          <t>HT675 .P28</t>
        </is>
      </c>
      <c r="C407" t="inlineStr">
        <is>
          <t>0                      HT 0675000P  28</t>
        </is>
      </c>
      <c r="D407" t="inlineStr">
        <is>
          <t>Sociological perspectives on occupations, edited by Ronald M. Pavalko.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K407" t="inlineStr">
        <is>
          <t>Pavalko, Ronald M., compiler.</t>
        </is>
      </c>
      <c r="L407" t="inlineStr">
        <is>
          <t>Itasca, Ill., F. E. Peacock Publishers [1972]</t>
        </is>
      </c>
      <c r="M407" t="inlineStr">
        <is>
          <t>1972</t>
        </is>
      </c>
      <c r="O407" t="inlineStr">
        <is>
          <t>eng</t>
        </is>
      </c>
      <c r="P407" t="inlineStr">
        <is>
          <t>ilu</t>
        </is>
      </c>
      <c r="R407" t="inlineStr">
        <is>
          <t xml:space="preserve">HT </t>
        </is>
      </c>
      <c r="S407" t="n">
        <v>2</v>
      </c>
      <c r="T407" t="n">
        <v>2</v>
      </c>
      <c r="U407" t="inlineStr">
        <is>
          <t>2003-06-03</t>
        </is>
      </c>
      <c r="V407" t="inlineStr">
        <is>
          <t>2003-06-03</t>
        </is>
      </c>
      <c r="W407" t="inlineStr">
        <is>
          <t>1997-08-19</t>
        </is>
      </c>
      <c r="X407" t="inlineStr">
        <is>
          <t>1997-08-19</t>
        </is>
      </c>
      <c r="Y407" t="n">
        <v>273</v>
      </c>
      <c r="Z407" t="n">
        <v>209</v>
      </c>
      <c r="AA407" t="n">
        <v>212</v>
      </c>
      <c r="AB407" t="n">
        <v>4</v>
      </c>
      <c r="AC407" t="n">
        <v>4</v>
      </c>
      <c r="AD407" t="n">
        <v>10</v>
      </c>
      <c r="AE407" t="n">
        <v>10</v>
      </c>
      <c r="AF407" t="n">
        <v>3</v>
      </c>
      <c r="AG407" t="n">
        <v>3</v>
      </c>
      <c r="AH407" t="n">
        <v>0</v>
      </c>
      <c r="AI407" t="n">
        <v>0</v>
      </c>
      <c r="AJ407" t="n">
        <v>5</v>
      </c>
      <c r="AK407" t="n">
        <v>5</v>
      </c>
      <c r="AL407" t="n">
        <v>3</v>
      </c>
      <c r="AM407" t="n">
        <v>3</v>
      </c>
      <c r="AN407" t="n">
        <v>0</v>
      </c>
      <c r="AO407" t="n">
        <v>0</v>
      </c>
      <c r="AP407" t="inlineStr">
        <is>
          <t>No</t>
        </is>
      </c>
      <c r="AQ407" t="inlineStr">
        <is>
          <t>Yes</t>
        </is>
      </c>
      <c r="AR407">
        <f>HYPERLINK("http://catalog.hathitrust.org/Record/000004016","HathiTrust Record")</f>
        <v/>
      </c>
      <c r="AS407">
        <f>HYPERLINK("https://creighton-primo.hosted.exlibrisgroup.com/primo-explore/search?tab=default_tab&amp;search_scope=EVERYTHING&amp;vid=01CRU&amp;lang=en_US&amp;offset=0&amp;query=any,contains,991002182919702656","Catalog Record")</f>
        <v/>
      </c>
      <c r="AT407">
        <f>HYPERLINK("http://www.worldcat.org/oclc/279239","WorldCat Record")</f>
        <v/>
      </c>
      <c r="AU407" t="inlineStr">
        <is>
          <t>1422924:eng</t>
        </is>
      </c>
      <c r="AV407" t="inlineStr">
        <is>
          <t>279239</t>
        </is>
      </c>
      <c r="AW407" t="inlineStr">
        <is>
          <t>991002182919702656</t>
        </is>
      </c>
      <c r="AX407" t="inlineStr">
        <is>
          <t>991002182919702656</t>
        </is>
      </c>
      <c r="AY407" t="inlineStr">
        <is>
          <t>2261749730002656</t>
        </is>
      </c>
      <c r="AZ407" t="inlineStr">
        <is>
          <t>BOOK</t>
        </is>
      </c>
      <c r="BC407" t="inlineStr">
        <is>
          <t>32285003148441</t>
        </is>
      </c>
      <c r="BD407" t="inlineStr">
        <is>
          <t>893414916</t>
        </is>
      </c>
    </row>
    <row r="408">
      <c r="A408" t="inlineStr">
        <is>
          <t>No</t>
        </is>
      </c>
      <c r="B408" t="inlineStr">
        <is>
          <t>HT675 .P3 1988</t>
        </is>
      </c>
      <c r="C408" t="inlineStr">
        <is>
          <t>0                      HT 0675000P  3           1988</t>
        </is>
      </c>
      <c r="D408" t="inlineStr">
        <is>
          <t>Sociology of occupations and professions / Ronald M. Pavalko.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Pavalko, Ronald M.</t>
        </is>
      </c>
      <c r="L408" t="inlineStr">
        <is>
          <t>Itasca, Ill. : F.E. Peacock, c1988.</t>
        </is>
      </c>
      <c r="M408" t="inlineStr">
        <is>
          <t>1988</t>
        </is>
      </c>
      <c r="N408" t="inlineStr">
        <is>
          <t>2nd ed.</t>
        </is>
      </c>
      <c r="O408" t="inlineStr">
        <is>
          <t>eng</t>
        </is>
      </c>
      <c r="P408" t="inlineStr">
        <is>
          <t>ilu</t>
        </is>
      </c>
      <c r="R408" t="inlineStr">
        <is>
          <t xml:space="preserve">HT </t>
        </is>
      </c>
      <c r="S408" t="n">
        <v>7</v>
      </c>
      <c r="T408" t="n">
        <v>7</v>
      </c>
      <c r="U408" t="inlineStr">
        <is>
          <t>2006-05-22</t>
        </is>
      </c>
      <c r="V408" t="inlineStr">
        <is>
          <t>2006-05-22</t>
        </is>
      </c>
      <c r="W408" t="inlineStr">
        <is>
          <t>1992-11-10</t>
        </is>
      </c>
      <c r="X408" t="inlineStr">
        <is>
          <t>1992-11-10</t>
        </is>
      </c>
      <c r="Y408" t="n">
        <v>124</v>
      </c>
      <c r="Z408" t="n">
        <v>102</v>
      </c>
      <c r="AA408" t="n">
        <v>381</v>
      </c>
      <c r="AB408" t="n">
        <v>2</v>
      </c>
      <c r="AC408" t="n">
        <v>4</v>
      </c>
      <c r="AD408" t="n">
        <v>3</v>
      </c>
      <c r="AE408" t="n">
        <v>19</v>
      </c>
      <c r="AF408" t="n">
        <v>1</v>
      </c>
      <c r="AG408" t="n">
        <v>8</v>
      </c>
      <c r="AH408" t="n">
        <v>2</v>
      </c>
      <c r="AI408" t="n">
        <v>5</v>
      </c>
      <c r="AJ408" t="n">
        <v>1</v>
      </c>
      <c r="AK408" t="n">
        <v>11</v>
      </c>
      <c r="AL408" t="n">
        <v>1</v>
      </c>
      <c r="AM408" t="n">
        <v>3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HYPERLINK("http://catalog.hathitrust.org/Record/001827036","HathiTrust Record")</f>
        <v/>
      </c>
      <c r="AS408">
        <f>HYPERLINK("https://creighton-primo.hosted.exlibrisgroup.com/primo-explore/search?tab=default_tab&amp;search_scope=EVERYTHING&amp;vid=01CRU&amp;lang=en_US&amp;offset=0&amp;query=any,contains,991001523489702656","Catalog Record")</f>
        <v/>
      </c>
      <c r="AT408">
        <f>HYPERLINK("http://www.worldcat.org/oclc/20001615","WorldCat Record")</f>
        <v/>
      </c>
      <c r="AU408" t="inlineStr">
        <is>
          <t>1334758:eng</t>
        </is>
      </c>
      <c r="AV408" t="inlineStr">
        <is>
          <t>20001615</t>
        </is>
      </c>
      <c r="AW408" t="inlineStr">
        <is>
          <t>991001523489702656</t>
        </is>
      </c>
      <c r="AX408" t="inlineStr">
        <is>
          <t>991001523489702656</t>
        </is>
      </c>
      <c r="AY408" t="inlineStr">
        <is>
          <t>2267734770002656</t>
        </is>
      </c>
      <c r="AZ408" t="inlineStr">
        <is>
          <t>BOOK</t>
        </is>
      </c>
      <c r="BB408" t="inlineStr">
        <is>
          <t>9780875813240</t>
        </is>
      </c>
      <c r="BC408" t="inlineStr">
        <is>
          <t>32285001384121</t>
        </is>
      </c>
      <c r="BD408" t="inlineStr">
        <is>
          <t>893238164</t>
        </is>
      </c>
    </row>
    <row r="409">
      <c r="A409" t="inlineStr">
        <is>
          <t>No</t>
        </is>
      </c>
      <c r="B409" t="inlineStr">
        <is>
          <t>HT684 .C55 1982</t>
        </is>
      </c>
      <c r="C409" t="inlineStr">
        <is>
          <t>0                      HT 0684000C  55          1982</t>
        </is>
      </c>
      <c r="D409" t="inlineStr">
        <is>
          <t>Class &amp; social development : a new theory of the middle class / edited by Dale L. Johnson.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L409" t="inlineStr">
        <is>
          <t>Beverly Hills : Sage Publications, c1982.</t>
        </is>
      </c>
      <c r="M409" t="inlineStr">
        <is>
          <t>1982</t>
        </is>
      </c>
      <c r="O409" t="inlineStr">
        <is>
          <t>eng</t>
        </is>
      </c>
      <c r="P409" t="inlineStr">
        <is>
          <t>cau</t>
        </is>
      </c>
      <c r="Q409" t="inlineStr">
        <is>
          <t>Class, state &amp; development ; v. 1</t>
        </is>
      </c>
      <c r="R409" t="inlineStr">
        <is>
          <t xml:space="preserve">HT </t>
        </is>
      </c>
      <c r="S409" t="n">
        <v>3</v>
      </c>
      <c r="T409" t="n">
        <v>3</v>
      </c>
      <c r="U409" t="inlineStr">
        <is>
          <t>1998-06-19</t>
        </is>
      </c>
      <c r="V409" t="inlineStr">
        <is>
          <t>1998-06-19</t>
        </is>
      </c>
      <c r="W409" t="inlineStr">
        <is>
          <t>1993-05-11</t>
        </is>
      </c>
      <c r="X409" t="inlineStr">
        <is>
          <t>1993-05-11</t>
        </is>
      </c>
      <c r="Y409" t="n">
        <v>420</v>
      </c>
      <c r="Z409" t="n">
        <v>310</v>
      </c>
      <c r="AA409" t="n">
        <v>311</v>
      </c>
      <c r="AB409" t="n">
        <v>4</v>
      </c>
      <c r="AC409" t="n">
        <v>4</v>
      </c>
      <c r="AD409" t="n">
        <v>14</v>
      </c>
      <c r="AE409" t="n">
        <v>14</v>
      </c>
      <c r="AF409" t="n">
        <v>3</v>
      </c>
      <c r="AG409" t="n">
        <v>3</v>
      </c>
      <c r="AH409" t="n">
        <v>4</v>
      </c>
      <c r="AI409" t="n">
        <v>4</v>
      </c>
      <c r="AJ409" t="n">
        <v>8</v>
      </c>
      <c r="AK409" t="n">
        <v>8</v>
      </c>
      <c r="AL409" t="n">
        <v>3</v>
      </c>
      <c r="AM409" t="n">
        <v>3</v>
      </c>
      <c r="AN409" t="n">
        <v>0</v>
      </c>
      <c r="AO409" t="n">
        <v>0</v>
      </c>
      <c r="AP409" t="inlineStr">
        <is>
          <t>No</t>
        </is>
      </c>
      <c r="AQ409" t="inlineStr">
        <is>
          <t>No</t>
        </is>
      </c>
      <c r="AS409">
        <f>HYPERLINK("https://creighton-primo.hosted.exlibrisgroup.com/primo-explore/search?tab=default_tab&amp;search_scope=EVERYTHING&amp;vid=01CRU&amp;lang=en_US&amp;offset=0&amp;query=any,contains,991005247569702656","Catalog Record")</f>
        <v/>
      </c>
      <c r="AT409">
        <f>HYPERLINK("http://www.worldcat.org/oclc/8474369","WorldCat Record")</f>
        <v/>
      </c>
      <c r="AU409" t="inlineStr">
        <is>
          <t>836694232:eng</t>
        </is>
      </c>
      <c r="AV409" t="inlineStr">
        <is>
          <t>8474369</t>
        </is>
      </c>
      <c r="AW409" t="inlineStr">
        <is>
          <t>991005247569702656</t>
        </is>
      </c>
      <c r="AX409" t="inlineStr">
        <is>
          <t>991005247569702656</t>
        </is>
      </c>
      <c r="AY409" t="inlineStr">
        <is>
          <t>2258834670002656</t>
        </is>
      </c>
      <c r="AZ409" t="inlineStr">
        <is>
          <t>BOOK</t>
        </is>
      </c>
      <c r="BB409" t="inlineStr">
        <is>
          <t>9780803900707</t>
        </is>
      </c>
      <c r="BC409" t="inlineStr">
        <is>
          <t>32285001674760</t>
        </is>
      </c>
      <c r="BD409" t="inlineStr">
        <is>
          <t>893720052</t>
        </is>
      </c>
    </row>
    <row r="410">
      <c r="A410" t="inlineStr">
        <is>
          <t>No</t>
        </is>
      </c>
      <c r="B410" t="inlineStr">
        <is>
          <t>HT687 .S35 2000</t>
        </is>
      </c>
      <c r="C410" t="inlineStr">
        <is>
          <t>0                      HT 0687000S  35          2000</t>
        </is>
      </c>
      <c r="D410" t="inlineStr">
        <is>
          <t>Disciplined minds : a critical look at salaried professionals and the soul-battering system that shapes their lives / Jeff Schmidt.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Schmidt, Jeff, 1946-</t>
        </is>
      </c>
      <c r="L410" t="inlineStr">
        <is>
          <t>Lanham, Md. : Rowman &amp; Littlefield, c2000.</t>
        </is>
      </c>
      <c r="M410" t="inlineStr">
        <is>
          <t>2000</t>
        </is>
      </c>
      <c r="O410" t="inlineStr">
        <is>
          <t>eng</t>
        </is>
      </c>
      <c r="P410" t="inlineStr">
        <is>
          <t>mdu</t>
        </is>
      </c>
      <c r="R410" t="inlineStr">
        <is>
          <t xml:space="preserve">HT </t>
        </is>
      </c>
      <c r="S410" t="n">
        <v>3</v>
      </c>
      <c r="T410" t="n">
        <v>3</v>
      </c>
      <c r="U410" t="inlineStr">
        <is>
          <t>2002-01-21</t>
        </is>
      </c>
      <c r="V410" t="inlineStr">
        <is>
          <t>2002-01-21</t>
        </is>
      </c>
      <c r="W410" t="inlineStr">
        <is>
          <t>2001-11-26</t>
        </is>
      </c>
      <c r="X410" t="inlineStr">
        <is>
          <t>2001-11-26</t>
        </is>
      </c>
      <c r="Y410" t="n">
        <v>438</v>
      </c>
      <c r="Z410" t="n">
        <v>363</v>
      </c>
      <c r="AA410" t="n">
        <v>370</v>
      </c>
      <c r="AB410" t="n">
        <v>3</v>
      </c>
      <c r="AC410" t="n">
        <v>3</v>
      </c>
      <c r="AD410" t="n">
        <v>20</v>
      </c>
      <c r="AE410" t="n">
        <v>20</v>
      </c>
      <c r="AF410" t="n">
        <v>6</v>
      </c>
      <c r="AG410" t="n">
        <v>6</v>
      </c>
      <c r="AH410" t="n">
        <v>6</v>
      </c>
      <c r="AI410" t="n">
        <v>6</v>
      </c>
      <c r="AJ410" t="n">
        <v>11</v>
      </c>
      <c r="AK410" t="n">
        <v>11</v>
      </c>
      <c r="AL410" t="n">
        <v>2</v>
      </c>
      <c r="AM410" t="n">
        <v>2</v>
      </c>
      <c r="AN410" t="n">
        <v>0</v>
      </c>
      <c r="AO410" t="n">
        <v>0</v>
      </c>
      <c r="AP410" t="inlineStr">
        <is>
          <t>No</t>
        </is>
      </c>
      <c r="AQ410" t="inlineStr">
        <is>
          <t>Yes</t>
        </is>
      </c>
      <c r="AR410">
        <f>HYPERLINK("http://catalog.hathitrust.org/Record/004090213","HathiTrust Record")</f>
        <v/>
      </c>
      <c r="AS410">
        <f>HYPERLINK("https://creighton-primo.hosted.exlibrisgroup.com/primo-explore/search?tab=default_tab&amp;search_scope=EVERYTHING&amp;vid=01CRU&amp;lang=en_US&amp;offset=0&amp;query=any,contains,991003668799702656","Catalog Record")</f>
        <v/>
      </c>
      <c r="AT410">
        <f>HYPERLINK("http://www.worldcat.org/oclc/42690155","WorldCat Record")</f>
        <v/>
      </c>
      <c r="AU410" t="inlineStr">
        <is>
          <t>44852200:eng</t>
        </is>
      </c>
      <c r="AV410" t="inlineStr">
        <is>
          <t>42690155</t>
        </is>
      </c>
      <c r="AW410" t="inlineStr">
        <is>
          <t>991003668799702656</t>
        </is>
      </c>
      <c r="AX410" t="inlineStr">
        <is>
          <t>991003668799702656</t>
        </is>
      </c>
      <c r="AY410" t="inlineStr">
        <is>
          <t>2259030720002656</t>
        </is>
      </c>
      <c r="AZ410" t="inlineStr">
        <is>
          <t>BOOK</t>
        </is>
      </c>
      <c r="BB410" t="inlineStr">
        <is>
          <t>9780847693641</t>
        </is>
      </c>
      <c r="BC410" t="inlineStr">
        <is>
          <t>32285004413604</t>
        </is>
      </c>
      <c r="BD410" t="inlineStr">
        <is>
          <t>893352979</t>
        </is>
      </c>
    </row>
    <row r="411">
      <c r="A411" t="inlineStr">
        <is>
          <t>No</t>
        </is>
      </c>
      <c r="B411" t="inlineStr">
        <is>
          <t>HT690.D6 C53 1951</t>
        </is>
      </c>
      <c r="C411" t="inlineStr">
        <is>
          <t>0                      HT 0690000D  6                  C  53          1951</t>
        </is>
      </c>
      <c r="D411" t="inlineStr">
        <is>
          <t>La clase media en Colombia, Ecuador y la República Dominicana : cuatro colaboraciones / Ed. y recopilación de Theo R. Crevenna.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M411" t="inlineStr">
        <is>
          <t>1951</t>
        </is>
      </c>
      <c r="O411" t="inlineStr">
        <is>
          <t>spa</t>
        </is>
      </c>
      <c r="P411" t="inlineStr">
        <is>
          <t>dcu</t>
        </is>
      </c>
      <c r="Q411" t="inlineStr">
        <is>
          <t>Materiales para el estudio de la clase media en América Latina ; 6</t>
        </is>
      </c>
      <c r="R411" t="inlineStr">
        <is>
          <t xml:space="preserve">HT </t>
        </is>
      </c>
      <c r="S411" t="n">
        <v>1</v>
      </c>
      <c r="T411" t="n">
        <v>1</v>
      </c>
      <c r="U411" t="inlineStr">
        <is>
          <t>2001-05-15</t>
        </is>
      </c>
      <c r="V411" t="inlineStr">
        <is>
          <t>2001-05-15</t>
        </is>
      </c>
      <c r="W411" t="inlineStr">
        <is>
          <t>2001-05-15</t>
        </is>
      </c>
      <c r="X411" t="inlineStr">
        <is>
          <t>2001-05-15</t>
        </is>
      </c>
      <c r="Y411" t="n">
        <v>4</v>
      </c>
      <c r="Z411" t="n">
        <v>3</v>
      </c>
      <c r="AA411" t="n">
        <v>3</v>
      </c>
      <c r="AB411" t="n">
        <v>1</v>
      </c>
      <c r="AC411" t="n">
        <v>1</v>
      </c>
      <c r="AD411" t="n">
        <v>0</v>
      </c>
      <c r="AE411" t="n">
        <v>0</v>
      </c>
      <c r="AF411" t="n">
        <v>0</v>
      </c>
      <c r="AG411" t="n">
        <v>0</v>
      </c>
      <c r="AH411" t="n">
        <v>0</v>
      </c>
      <c r="AI411" t="n">
        <v>0</v>
      </c>
      <c r="AJ411" t="n">
        <v>0</v>
      </c>
      <c r="AK411" t="n">
        <v>0</v>
      </c>
      <c r="AL411" t="n">
        <v>0</v>
      </c>
      <c r="AM411" t="n">
        <v>0</v>
      </c>
      <c r="AN411" t="n">
        <v>0</v>
      </c>
      <c r="AO411" t="n">
        <v>0</v>
      </c>
      <c r="AP411" t="inlineStr">
        <is>
          <t>No</t>
        </is>
      </c>
      <c r="AQ411" t="inlineStr">
        <is>
          <t>No</t>
        </is>
      </c>
      <c r="AS411">
        <f>HYPERLINK("https://creighton-primo.hosted.exlibrisgroup.com/primo-explore/search?tab=default_tab&amp;search_scope=EVERYTHING&amp;vid=01CRU&amp;lang=en_US&amp;offset=0&amp;query=any,contains,991003511049702656","Catalog Record")</f>
        <v/>
      </c>
      <c r="AT411">
        <f>HYPERLINK("http://www.worldcat.org/oclc/33220370","WorldCat Record")</f>
        <v/>
      </c>
      <c r="AU411" t="inlineStr">
        <is>
          <t>5091078453:spa</t>
        </is>
      </c>
      <c r="AV411" t="inlineStr">
        <is>
          <t>33220370</t>
        </is>
      </c>
      <c r="AW411" t="inlineStr">
        <is>
          <t>991003511049702656</t>
        </is>
      </c>
      <c r="AX411" t="inlineStr">
        <is>
          <t>991003511049702656</t>
        </is>
      </c>
      <c r="AY411" t="inlineStr">
        <is>
          <t>2255781100002656</t>
        </is>
      </c>
      <c r="AZ411" t="inlineStr">
        <is>
          <t>BOOK</t>
        </is>
      </c>
      <c r="BC411" t="inlineStr">
        <is>
          <t>32285004317730</t>
        </is>
      </c>
      <c r="BD411" t="inlineStr">
        <is>
          <t>893512022</t>
        </is>
      </c>
    </row>
    <row r="412">
      <c r="A412" t="inlineStr">
        <is>
          <t>No</t>
        </is>
      </c>
      <c r="B412" t="inlineStr">
        <is>
          <t>HT690.E3 H36 2003</t>
        </is>
      </c>
      <c r="C412" t="inlineStr">
        <is>
          <t>0                      HT 0690000E  3                  H  36          2003</t>
        </is>
      </c>
      <c r="D412" t="inlineStr">
        <is>
          <t>In praise of books : a cultural history of Cairo's middle class, sixteenth to the eighteenth century / Nelly Hanna.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K412" t="inlineStr">
        <is>
          <t>Hanna, Nelly.</t>
        </is>
      </c>
      <c r="L412" t="inlineStr">
        <is>
          <t>Syracuse, N.Y. : Syracuse University Press, 2003.</t>
        </is>
      </c>
      <c r="M412" t="inlineStr">
        <is>
          <t>2003</t>
        </is>
      </c>
      <c r="N412" t="inlineStr">
        <is>
          <t>1st ed.</t>
        </is>
      </c>
      <c r="O412" t="inlineStr">
        <is>
          <t>eng</t>
        </is>
      </c>
      <c r="P412" t="inlineStr">
        <is>
          <t>nyu</t>
        </is>
      </c>
      <c r="Q412" t="inlineStr">
        <is>
          <t>Middle East studies beyond dominant paradigms</t>
        </is>
      </c>
      <c r="R412" t="inlineStr">
        <is>
          <t xml:space="preserve">HT </t>
        </is>
      </c>
      <c r="S412" t="n">
        <v>1</v>
      </c>
      <c r="T412" t="n">
        <v>1</v>
      </c>
      <c r="U412" t="inlineStr">
        <is>
          <t>2009-01-27</t>
        </is>
      </c>
      <c r="V412" t="inlineStr">
        <is>
          <t>2009-01-27</t>
        </is>
      </c>
      <c r="W412" t="inlineStr">
        <is>
          <t>2009-01-27</t>
        </is>
      </c>
      <c r="X412" t="inlineStr">
        <is>
          <t>2009-01-27</t>
        </is>
      </c>
      <c r="Y412" t="n">
        <v>270</v>
      </c>
      <c r="Z412" t="n">
        <v>201</v>
      </c>
      <c r="AA412" t="n">
        <v>207</v>
      </c>
      <c r="AB412" t="n">
        <v>2</v>
      </c>
      <c r="AC412" t="n">
        <v>2</v>
      </c>
      <c r="AD412" t="n">
        <v>9</v>
      </c>
      <c r="AE412" t="n">
        <v>9</v>
      </c>
      <c r="AF412" t="n">
        <v>1</v>
      </c>
      <c r="AG412" t="n">
        <v>1</v>
      </c>
      <c r="AH412" t="n">
        <v>5</v>
      </c>
      <c r="AI412" t="n">
        <v>5</v>
      </c>
      <c r="AJ412" t="n">
        <v>5</v>
      </c>
      <c r="AK412" t="n">
        <v>5</v>
      </c>
      <c r="AL412" t="n">
        <v>1</v>
      </c>
      <c r="AM412" t="n">
        <v>1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HYPERLINK("https://creighton-primo.hosted.exlibrisgroup.com/primo-explore/search?tab=default_tab&amp;search_scope=EVERYTHING&amp;vid=01CRU&amp;lang=en_US&amp;offset=0&amp;query=any,contains,991005292289702656","Catalog Record")</f>
        <v/>
      </c>
      <c r="AT412">
        <f>HYPERLINK("http://www.worldcat.org/oclc/52478517","WorldCat Record")</f>
        <v/>
      </c>
      <c r="AU412" t="inlineStr">
        <is>
          <t>708487:eng</t>
        </is>
      </c>
      <c r="AV412" t="inlineStr">
        <is>
          <t>52478517</t>
        </is>
      </c>
      <c r="AW412" t="inlineStr">
        <is>
          <t>991005292289702656</t>
        </is>
      </c>
      <c r="AX412" t="inlineStr">
        <is>
          <t>991005292289702656</t>
        </is>
      </c>
      <c r="AY412" t="inlineStr">
        <is>
          <t>2257035980002656</t>
        </is>
      </c>
      <c r="AZ412" t="inlineStr">
        <is>
          <t>BOOK</t>
        </is>
      </c>
      <c r="BB412" t="inlineStr">
        <is>
          <t>9780815630128</t>
        </is>
      </c>
      <c r="BC412" t="inlineStr">
        <is>
          <t>32285005500706</t>
        </is>
      </c>
      <c r="BD412" t="inlineStr">
        <is>
          <t>893777166</t>
        </is>
      </c>
    </row>
    <row r="413">
      <c r="A413" t="inlineStr">
        <is>
          <t>No</t>
        </is>
      </c>
      <c r="B413" t="inlineStr">
        <is>
          <t>HT690.E73 G39 1984, v.1</t>
        </is>
      </c>
      <c r="C413" t="inlineStr">
        <is>
          <t>0                      HT 0690000E  73                 G  39          1984                  v.1</t>
        </is>
      </c>
      <c r="D413" t="inlineStr">
        <is>
          <t>Education of the senses / Peter Gay.</t>
        </is>
      </c>
      <c r="E413" t="inlineStr">
        <is>
          <t>V. 1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Gay, Peter, 1923-2015.</t>
        </is>
      </c>
      <c r="L413" t="inlineStr">
        <is>
          <t>New York : Oxford University Press, 1984.</t>
        </is>
      </c>
      <c r="M413" t="inlineStr">
        <is>
          <t>1984</t>
        </is>
      </c>
      <c r="O413" t="inlineStr">
        <is>
          <t>eng</t>
        </is>
      </c>
      <c r="P413" t="inlineStr">
        <is>
          <t>nyu</t>
        </is>
      </c>
      <c r="Q413" t="inlineStr">
        <is>
          <t>The Bourgeois experience, Victoria to Freud ; v. 1</t>
        </is>
      </c>
      <c r="R413" t="inlineStr">
        <is>
          <t xml:space="preserve">HT </t>
        </is>
      </c>
      <c r="S413" t="n">
        <v>6</v>
      </c>
      <c r="T413" t="n">
        <v>6</v>
      </c>
      <c r="U413" t="inlineStr">
        <is>
          <t>1995-04-25</t>
        </is>
      </c>
      <c r="V413" t="inlineStr">
        <is>
          <t>1995-04-25</t>
        </is>
      </c>
      <c r="W413" t="inlineStr">
        <is>
          <t>1992-04-24</t>
        </is>
      </c>
      <c r="X413" t="inlineStr">
        <is>
          <t>1992-04-24</t>
        </is>
      </c>
      <c r="Y413" t="n">
        <v>348</v>
      </c>
      <c r="Z413" t="n">
        <v>302</v>
      </c>
      <c r="AA413" t="n">
        <v>371</v>
      </c>
      <c r="AB413" t="n">
        <v>2</v>
      </c>
      <c r="AC413" t="n">
        <v>3</v>
      </c>
      <c r="AD413" t="n">
        <v>13</v>
      </c>
      <c r="AE413" t="n">
        <v>16</v>
      </c>
      <c r="AF413" t="n">
        <v>3</v>
      </c>
      <c r="AG413" t="n">
        <v>4</v>
      </c>
      <c r="AH413" t="n">
        <v>3</v>
      </c>
      <c r="AI413" t="n">
        <v>3</v>
      </c>
      <c r="AJ413" t="n">
        <v>9</v>
      </c>
      <c r="AK413" t="n">
        <v>11</v>
      </c>
      <c r="AL413" t="n">
        <v>1</v>
      </c>
      <c r="AM413" t="n">
        <v>2</v>
      </c>
      <c r="AN413" t="n">
        <v>0</v>
      </c>
      <c r="AO413" t="n">
        <v>0</v>
      </c>
      <c r="AP413" t="inlineStr">
        <is>
          <t>No</t>
        </is>
      </c>
      <c r="AQ413" t="inlineStr">
        <is>
          <t>No</t>
        </is>
      </c>
      <c r="AS413">
        <f>HYPERLINK("https://creighton-primo.hosted.exlibrisgroup.com/primo-explore/search?tab=default_tab&amp;search_scope=EVERYTHING&amp;vid=01CRU&amp;lang=en_US&amp;offset=0&amp;query=any,contains,991000376809702656","Catalog Record")</f>
        <v/>
      </c>
      <c r="AT413">
        <f>HYPERLINK("http://www.worldcat.org/oclc/10473902","WorldCat Record")</f>
        <v/>
      </c>
      <c r="AU413" t="inlineStr">
        <is>
          <t>3855298409:eng</t>
        </is>
      </c>
      <c r="AV413" t="inlineStr">
        <is>
          <t>10473902</t>
        </is>
      </c>
      <c r="AW413" t="inlineStr">
        <is>
          <t>991000376809702656</t>
        </is>
      </c>
      <c r="AX413" t="inlineStr">
        <is>
          <t>991000376809702656</t>
        </is>
      </c>
      <c r="AY413" t="inlineStr">
        <is>
          <t>2260212320002656</t>
        </is>
      </c>
      <c r="AZ413" t="inlineStr">
        <is>
          <t>BOOK</t>
        </is>
      </c>
      <c r="BB413" t="inlineStr">
        <is>
          <t>9780195033526</t>
        </is>
      </c>
      <c r="BC413" t="inlineStr">
        <is>
          <t>32285001070860</t>
        </is>
      </c>
      <c r="BD413" t="inlineStr">
        <is>
          <t>893438198</t>
        </is>
      </c>
    </row>
    <row r="414">
      <c r="A414" t="inlineStr">
        <is>
          <t>No</t>
        </is>
      </c>
      <c r="B414" t="inlineStr">
        <is>
          <t>HT690.E73 G39 1986, v.2</t>
        </is>
      </c>
      <c r="C414" t="inlineStr">
        <is>
          <t>0                      HT 0690000E  73                 G  39          1986                  v.2</t>
        </is>
      </c>
      <c r="D414" t="inlineStr">
        <is>
          <t>The tender passion / Peter Gay.</t>
        </is>
      </c>
      <c r="E414" t="inlineStr">
        <is>
          <t>V. 2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K414" t="inlineStr">
        <is>
          <t>Gay, Peter, 1923-2015.</t>
        </is>
      </c>
      <c r="L414" t="inlineStr">
        <is>
          <t>New York : Oxford University Press, 1986.</t>
        </is>
      </c>
      <c r="M414" t="inlineStr">
        <is>
          <t>1986</t>
        </is>
      </c>
      <c r="O414" t="inlineStr">
        <is>
          <t>eng</t>
        </is>
      </c>
      <c r="P414" t="inlineStr">
        <is>
          <t>nyu</t>
        </is>
      </c>
      <c r="Q414" t="inlineStr">
        <is>
          <t>The Bourgeois experience, Victoria to Freud ; v. 2</t>
        </is>
      </c>
      <c r="R414" t="inlineStr">
        <is>
          <t xml:space="preserve">HT </t>
        </is>
      </c>
      <c r="S414" t="n">
        <v>3</v>
      </c>
      <c r="T414" t="n">
        <v>3</v>
      </c>
      <c r="U414" t="inlineStr">
        <is>
          <t>2004-04-02</t>
        </is>
      </c>
      <c r="V414" t="inlineStr">
        <is>
          <t>2004-04-02</t>
        </is>
      </c>
      <c r="W414" t="inlineStr">
        <is>
          <t>1992-04-24</t>
        </is>
      </c>
      <c r="X414" t="inlineStr">
        <is>
          <t>1992-04-24</t>
        </is>
      </c>
      <c r="Y414" t="n">
        <v>288</v>
      </c>
      <c r="Z414" t="n">
        <v>241</v>
      </c>
      <c r="AA414" t="n">
        <v>243</v>
      </c>
      <c r="AB414" t="n">
        <v>2</v>
      </c>
      <c r="AC414" t="n">
        <v>2</v>
      </c>
      <c r="AD414" t="n">
        <v>11</v>
      </c>
      <c r="AE414" t="n">
        <v>11</v>
      </c>
      <c r="AF414" t="n">
        <v>1</v>
      </c>
      <c r="AG414" t="n">
        <v>1</v>
      </c>
      <c r="AH414" t="n">
        <v>2</v>
      </c>
      <c r="AI414" t="n">
        <v>2</v>
      </c>
      <c r="AJ414" t="n">
        <v>10</v>
      </c>
      <c r="AK414" t="n">
        <v>10</v>
      </c>
      <c r="AL414" t="n">
        <v>1</v>
      </c>
      <c r="AM414" t="n">
        <v>1</v>
      </c>
      <c r="AN414" t="n">
        <v>0</v>
      </c>
      <c r="AO414" t="n">
        <v>0</v>
      </c>
      <c r="AP414" t="inlineStr">
        <is>
          <t>No</t>
        </is>
      </c>
      <c r="AQ414" t="inlineStr">
        <is>
          <t>No</t>
        </is>
      </c>
      <c r="AS414">
        <f>HYPERLINK("https://creighton-primo.hosted.exlibrisgroup.com/primo-explore/search?tab=default_tab&amp;search_scope=EVERYTHING&amp;vid=01CRU&amp;lang=en_US&amp;offset=0&amp;query=any,contains,991000802099702656","Catalog Record")</f>
        <v/>
      </c>
      <c r="AT414">
        <f>HYPERLINK("http://www.worldcat.org/oclc/13263550","WorldCat Record")</f>
        <v/>
      </c>
      <c r="AU414" t="inlineStr">
        <is>
          <t>3855891716:eng</t>
        </is>
      </c>
      <c r="AV414" t="inlineStr">
        <is>
          <t>13263550</t>
        </is>
      </c>
      <c r="AW414" t="inlineStr">
        <is>
          <t>991000802099702656</t>
        </is>
      </c>
      <c r="AX414" t="inlineStr">
        <is>
          <t>991000802099702656</t>
        </is>
      </c>
      <c r="AY414" t="inlineStr">
        <is>
          <t>2265510310002656</t>
        </is>
      </c>
      <c r="AZ414" t="inlineStr">
        <is>
          <t>BOOK</t>
        </is>
      </c>
      <c r="BB414" t="inlineStr">
        <is>
          <t>9780195037418</t>
        </is>
      </c>
      <c r="BC414" t="inlineStr">
        <is>
          <t>32285001070878</t>
        </is>
      </c>
      <c r="BD414" t="inlineStr">
        <is>
          <t>893249682</t>
        </is>
      </c>
    </row>
    <row r="415">
      <c r="A415" t="inlineStr">
        <is>
          <t>No</t>
        </is>
      </c>
      <c r="B415" t="inlineStr">
        <is>
          <t>HT690.E73 G39 1993, v.3</t>
        </is>
      </c>
      <c r="C415" t="inlineStr">
        <is>
          <t>0                      HT 0690000E  73                 G  39          1993                  v.3</t>
        </is>
      </c>
      <c r="D415" t="inlineStr">
        <is>
          <t>The cultivation of hatred / Peter Gay.</t>
        </is>
      </c>
      <c r="E415" t="inlineStr">
        <is>
          <t>V. 3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K415" t="inlineStr">
        <is>
          <t>Gay, Peter, 1923-2015.</t>
        </is>
      </c>
      <c r="L415" t="inlineStr">
        <is>
          <t>New York : W.W. Norton, c1993.</t>
        </is>
      </c>
      <c r="M415" t="inlineStr">
        <is>
          <t>1993</t>
        </is>
      </c>
      <c r="N415" t="inlineStr">
        <is>
          <t>1st ed.</t>
        </is>
      </c>
      <c r="O415" t="inlineStr">
        <is>
          <t>eng</t>
        </is>
      </c>
      <c r="P415" t="inlineStr">
        <is>
          <t>nyu</t>
        </is>
      </c>
      <c r="Q415" t="inlineStr">
        <is>
          <t>The Bourgeois experience, Victoria to Freud ; v. 3</t>
        </is>
      </c>
      <c r="R415" t="inlineStr">
        <is>
          <t xml:space="preserve">HT </t>
        </is>
      </c>
      <c r="S415" t="n">
        <v>9</v>
      </c>
      <c r="T415" t="n">
        <v>9</v>
      </c>
      <c r="U415" t="inlineStr">
        <is>
          <t>1994-09-26</t>
        </is>
      </c>
      <c r="V415" t="inlineStr">
        <is>
          <t>1994-09-26</t>
        </is>
      </c>
      <c r="W415" t="inlineStr">
        <is>
          <t>1993-10-07</t>
        </is>
      </c>
      <c r="X415" t="inlineStr">
        <is>
          <t>1993-10-07</t>
        </is>
      </c>
      <c r="Y415" t="n">
        <v>490</v>
      </c>
      <c r="Z415" t="n">
        <v>454</v>
      </c>
      <c r="AA415" t="n">
        <v>469</v>
      </c>
      <c r="AB415" t="n">
        <v>5</v>
      </c>
      <c r="AC415" t="n">
        <v>5</v>
      </c>
      <c r="AD415" t="n">
        <v>17</v>
      </c>
      <c r="AE415" t="n">
        <v>17</v>
      </c>
      <c r="AF415" t="n">
        <v>3</v>
      </c>
      <c r="AG415" t="n">
        <v>3</v>
      </c>
      <c r="AH415" t="n">
        <v>3</v>
      </c>
      <c r="AI415" t="n">
        <v>3</v>
      </c>
      <c r="AJ415" t="n">
        <v>11</v>
      </c>
      <c r="AK415" t="n">
        <v>11</v>
      </c>
      <c r="AL415" t="n">
        <v>3</v>
      </c>
      <c r="AM415" t="n">
        <v>3</v>
      </c>
      <c r="AN415" t="n">
        <v>1</v>
      </c>
      <c r="AO415" t="n">
        <v>1</v>
      </c>
      <c r="AP415" t="inlineStr">
        <is>
          <t>No</t>
        </is>
      </c>
      <c r="AQ415" t="inlineStr">
        <is>
          <t>No</t>
        </is>
      </c>
      <c r="AS415">
        <f>HYPERLINK("https://creighton-primo.hosted.exlibrisgroup.com/primo-explore/search?tab=default_tab&amp;search_scope=EVERYTHING&amp;vid=01CRU&amp;lang=en_US&amp;offset=0&amp;query=any,contains,991002232529702656","Catalog Record")</f>
        <v/>
      </c>
      <c r="AT415">
        <f>HYPERLINK("http://www.worldcat.org/oclc/28761623","WorldCat Record")</f>
        <v/>
      </c>
      <c r="AU415" t="inlineStr">
        <is>
          <t>335612:eng</t>
        </is>
      </c>
      <c r="AV415" t="inlineStr">
        <is>
          <t>28761623</t>
        </is>
      </c>
      <c r="AW415" t="inlineStr">
        <is>
          <t>991002232529702656</t>
        </is>
      </c>
      <c r="AX415" t="inlineStr">
        <is>
          <t>991002232529702656</t>
        </is>
      </c>
      <c r="AY415" t="inlineStr">
        <is>
          <t>2260454460002656</t>
        </is>
      </c>
      <c r="AZ415" t="inlineStr">
        <is>
          <t>BOOK</t>
        </is>
      </c>
      <c r="BB415" t="inlineStr">
        <is>
          <t>9780393033984</t>
        </is>
      </c>
      <c r="BC415" t="inlineStr">
        <is>
          <t>32285001786291</t>
        </is>
      </c>
      <c r="BD415" t="inlineStr">
        <is>
          <t>893316551</t>
        </is>
      </c>
    </row>
    <row r="416">
      <c r="A416" t="inlineStr">
        <is>
          <t>No</t>
        </is>
      </c>
      <c r="B416" t="inlineStr">
        <is>
          <t>HT690.G3 B874 1996</t>
        </is>
      </c>
      <c r="C416" t="inlineStr">
        <is>
          <t>0                      HT 0690000G  3                  B  874         1996</t>
        </is>
      </c>
      <c r="D416" t="inlineStr">
        <is>
          <t>Bürgerkultur im 19. Jahrhundert : Bildung, Kunst und Lebenswelt / herausgegeben von Dieter Hein und Andreas Schulz.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L416" t="inlineStr">
        <is>
          <t>München : C.H. Beck, c1996.</t>
        </is>
      </c>
      <c r="M416" t="inlineStr">
        <is>
          <t>1996</t>
        </is>
      </c>
      <c r="O416" t="inlineStr">
        <is>
          <t>ger</t>
        </is>
      </c>
      <c r="P416" t="inlineStr">
        <is>
          <t xml:space="preserve">gw </t>
        </is>
      </c>
      <c r="R416" t="inlineStr">
        <is>
          <t xml:space="preserve">HT </t>
        </is>
      </c>
      <c r="S416" t="n">
        <v>1</v>
      </c>
      <c r="T416" t="n">
        <v>1</v>
      </c>
      <c r="U416" t="inlineStr">
        <is>
          <t>2003-12-02</t>
        </is>
      </c>
      <c r="V416" t="inlineStr">
        <is>
          <t>2003-12-02</t>
        </is>
      </c>
      <c r="W416" t="inlineStr">
        <is>
          <t>2003-12-02</t>
        </is>
      </c>
      <c r="X416" t="inlineStr">
        <is>
          <t>2003-12-02</t>
        </is>
      </c>
      <c r="Y416" t="n">
        <v>88</v>
      </c>
      <c r="Z416" t="n">
        <v>36</v>
      </c>
      <c r="AA416" t="n">
        <v>37</v>
      </c>
      <c r="AB416" t="n">
        <v>1</v>
      </c>
      <c r="AC416" t="n">
        <v>1</v>
      </c>
      <c r="AD416" t="n">
        <v>0</v>
      </c>
      <c r="AE416" t="n">
        <v>0</v>
      </c>
      <c r="AF416" t="n">
        <v>0</v>
      </c>
      <c r="AG416" t="n">
        <v>0</v>
      </c>
      <c r="AH416" t="n">
        <v>0</v>
      </c>
      <c r="AI416" t="n">
        <v>0</v>
      </c>
      <c r="AJ416" t="n">
        <v>0</v>
      </c>
      <c r="AK416" t="n">
        <v>0</v>
      </c>
      <c r="AL416" t="n">
        <v>0</v>
      </c>
      <c r="AM416" t="n">
        <v>0</v>
      </c>
      <c r="AN416" t="n">
        <v>0</v>
      </c>
      <c r="AO416" t="n">
        <v>0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HYPERLINK("http://catalog.hathitrust.org/Record/003178253","HathiTrust Record")</f>
        <v/>
      </c>
      <c r="AS416">
        <f>HYPERLINK("https://creighton-primo.hosted.exlibrisgroup.com/primo-explore/search?tab=default_tab&amp;search_scope=EVERYTHING&amp;vid=01CRU&amp;lang=en_US&amp;offset=0&amp;query=any,contains,991004027439702656","Catalog Record")</f>
        <v/>
      </c>
      <c r="AT416">
        <f>HYPERLINK("http://www.worldcat.org/oclc/36381709","WorldCat Record")</f>
        <v/>
      </c>
      <c r="AU416" t="inlineStr">
        <is>
          <t>890887538:ger</t>
        </is>
      </c>
      <c r="AV416" t="inlineStr">
        <is>
          <t>36381709</t>
        </is>
      </c>
      <c r="AW416" t="inlineStr">
        <is>
          <t>991004027439702656</t>
        </is>
      </c>
      <c r="AX416" t="inlineStr">
        <is>
          <t>991004027439702656</t>
        </is>
      </c>
      <c r="AY416" t="inlineStr">
        <is>
          <t>2260961680002656</t>
        </is>
      </c>
      <c r="AZ416" t="inlineStr">
        <is>
          <t>BOOK</t>
        </is>
      </c>
      <c r="BB416" t="inlineStr">
        <is>
          <t>9783406411328</t>
        </is>
      </c>
      <c r="BC416" t="inlineStr">
        <is>
          <t>32285004843784</t>
        </is>
      </c>
      <c r="BD416" t="inlineStr">
        <is>
          <t>893353168</t>
        </is>
      </c>
    </row>
    <row r="417">
      <c r="A417" t="inlineStr">
        <is>
          <t>No</t>
        </is>
      </c>
      <c r="B417" t="inlineStr">
        <is>
          <t>HT690.G3 B882513 1993</t>
        </is>
      </c>
      <c r="C417" t="inlineStr">
        <is>
          <t>0                      HT 0690000G  3                  B  882513      1993</t>
        </is>
      </c>
      <c r="D417" t="inlineStr">
        <is>
          <t>Bourgeois society in nineteenth-century Europe / edited by Jürgen Kocka and Allen [i.e. Allan] Mitchell.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K417" t="inlineStr">
        <is>
          <t>Bürgertum im 19. Jahrhundert. Selections. English.</t>
        </is>
      </c>
      <c r="L417" t="inlineStr">
        <is>
          <t>Oxford ; Providence : Berg, 1993.</t>
        </is>
      </c>
      <c r="M417" t="inlineStr">
        <is>
          <t>1993</t>
        </is>
      </c>
      <c r="O417" t="inlineStr">
        <is>
          <t>eng</t>
        </is>
      </c>
      <c r="P417" t="inlineStr">
        <is>
          <t>enk</t>
        </is>
      </c>
      <c r="R417" t="inlineStr">
        <is>
          <t xml:space="preserve">HT </t>
        </is>
      </c>
      <c r="S417" t="n">
        <v>1</v>
      </c>
      <c r="T417" t="n">
        <v>1</v>
      </c>
      <c r="U417" t="inlineStr">
        <is>
          <t>2001-10-24</t>
        </is>
      </c>
      <c r="V417" t="inlineStr">
        <is>
          <t>2001-10-24</t>
        </is>
      </c>
      <c r="W417" t="inlineStr">
        <is>
          <t>1993-05-19</t>
        </is>
      </c>
      <c r="X417" t="inlineStr">
        <is>
          <t>1993-05-19</t>
        </is>
      </c>
      <c r="Y417" t="n">
        <v>389</v>
      </c>
      <c r="Z417" t="n">
        <v>254</v>
      </c>
      <c r="AA417" t="n">
        <v>266</v>
      </c>
      <c r="AB417" t="n">
        <v>2</v>
      </c>
      <c r="AC417" t="n">
        <v>2</v>
      </c>
      <c r="AD417" t="n">
        <v>19</v>
      </c>
      <c r="AE417" t="n">
        <v>20</v>
      </c>
      <c r="AF417" t="n">
        <v>10</v>
      </c>
      <c r="AG417" t="n">
        <v>10</v>
      </c>
      <c r="AH417" t="n">
        <v>3</v>
      </c>
      <c r="AI417" t="n">
        <v>4</v>
      </c>
      <c r="AJ417" t="n">
        <v>12</v>
      </c>
      <c r="AK417" t="n">
        <v>12</v>
      </c>
      <c r="AL417" t="n">
        <v>1</v>
      </c>
      <c r="AM417" t="n">
        <v>1</v>
      </c>
      <c r="AN417" t="n">
        <v>0</v>
      </c>
      <c r="AO417" t="n">
        <v>0</v>
      </c>
      <c r="AP417" t="inlineStr">
        <is>
          <t>No</t>
        </is>
      </c>
      <c r="AQ417" t="inlineStr">
        <is>
          <t>No</t>
        </is>
      </c>
      <c r="AS417">
        <f>HYPERLINK("https://creighton-primo.hosted.exlibrisgroup.com/primo-explore/search?tab=default_tab&amp;search_scope=EVERYTHING&amp;vid=01CRU&amp;lang=en_US&amp;offset=0&amp;query=any,contains,991001877309702656","Catalog Record")</f>
        <v/>
      </c>
      <c r="AT417">
        <f>HYPERLINK("http://www.worldcat.org/oclc/23690428","WorldCat Record")</f>
        <v/>
      </c>
      <c r="AU417" t="inlineStr">
        <is>
          <t>2869733184:eng</t>
        </is>
      </c>
      <c r="AV417" t="inlineStr">
        <is>
          <t>23690428</t>
        </is>
      </c>
      <c r="AW417" t="inlineStr">
        <is>
          <t>991001877309702656</t>
        </is>
      </c>
      <c r="AX417" t="inlineStr">
        <is>
          <t>991001877309702656</t>
        </is>
      </c>
      <c r="AY417" t="inlineStr">
        <is>
          <t>2258223230002656</t>
        </is>
      </c>
      <c r="AZ417" t="inlineStr">
        <is>
          <t>BOOK</t>
        </is>
      </c>
      <c r="BB417" t="inlineStr">
        <is>
          <t>9780854966769</t>
        </is>
      </c>
      <c r="BC417" t="inlineStr">
        <is>
          <t>32285001581999</t>
        </is>
      </c>
      <c r="BD417" t="inlineStr">
        <is>
          <t>893238402</t>
        </is>
      </c>
    </row>
    <row r="418">
      <c r="A418" t="inlineStr">
        <is>
          <t>No</t>
        </is>
      </c>
      <c r="B418" t="inlineStr">
        <is>
          <t>HT690.G3 K55 1996</t>
        </is>
      </c>
      <c r="C418" t="inlineStr">
        <is>
          <t>0                      HT 0690000G  3                  K  55          1996</t>
        </is>
      </c>
      <c r="D418" t="inlineStr">
        <is>
          <t>Von Berlin bis Wandsbeck : zwölf Kapitel deutscher Bürgerkultur um 1800 / Walther Killy.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Killy, Walther.</t>
        </is>
      </c>
      <c r="L418" t="inlineStr">
        <is>
          <t>München : Beck, c1996.</t>
        </is>
      </c>
      <c r="M418" t="inlineStr">
        <is>
          <t>1996</t>
        </is>
      </c>
      <c r="O418" t="inlineStr">
        <is>
          <t>ger</t>
        </is>
      </c>
      <c r="P418" t="inlineStr">
        <is>
          <t xml:space="preserve">gw </t>
        </is>
      </c>
      <c r="R418" t="inlineStr">
        <is>
          <t xml:space="preserve">HT </t>
        </is>
      </c>
      <c r="S418" t="n">
        <v>1</v>
      </c>
      <c r="T418" t="n">
        <v>1</v>
      </c>
      <c r="U418" t="inlineStr">
        <is>
          <t>2003-09-24</t>
        </is>
      </c>
      <c r="V418" t="inlineStr">
        <is>
          <t>2003-09-24</t>
        </is>
      </c>
      <c r="W418" t="inlineStr">
        <is>
          <t>2003-09-24</t>
        </is>
      </c>
      <c r="X418" t="inlineStr">
        <is>
          <t>2003-09-24</t>
        </is>
      </c>
      <c r="Y418" t="n">
        <v>89</v>
      </c>
      <c r="Z418" t="n">
        <v>34</v>
      </c>
      <c r="AA418" t="n">
        <v>35</v>
      </c>
      <c r="AB418" t="n">
        <v>1</v>
      </c>
      <c r="AC418" t="n">
        <v>1</v>
      </c>
      <c r="AD418" t="n">
        <v>1</v>
      </c>
      <c r="AE418" t="n">
        <v>1</v>
      </c>
      <c r="AF418" t="n">
        <v>0</v>
      </c>
      <c r="AG418" t="n">
        <v>0</v>
      </c>
      <c r="AH418" t="n">
        <v>0</v>
      </c>
      <c r="AI418" t="n">
        <v>0</v>
      </c>
      <c r="AJ418" t="n">
        <v>1</v>
      </c>
      <c r="AK418" t="n">
        <v>1</v>
      </c>
      <c r="AL418" t="n">
        <v>0</v>
      </c>
      <c r="AM418" t="n">
        <v>0</v>
      </c>
      <c r="AN418" t="n">
        <v>0</v>
      </c>
      <c r="AO418" t="n">
        <v>0</v>
      </c>
      <c r="AP418" t="inlineStr">
        <is>
          <t>No</t>
        </is>
      </c>
      <c r="AQ418" t="inlineStr">
        <is>
          <t>No</t>
        </is>
      </c>
      <c r="AS418">
        <f>HYPERLINK("https://creighton-primo.hosted.exlibrisgroup.com/primo-explore/search?tab=default_tab&amp;search_scope=EVERYTHING&amp;vid=01CRU&amp;lang=en_US&amp;offset=0&amp;query=any,contains,991004133469702656","Catalog Record")</f>
        <v/>
      </c>
      <c r="AT418">
        <f>HYPERLINK("http://www.worldcat.org/oclc/35265587","WorldCat Record")</f>
        <v/>
      </c>
      <c r="AU418" t="inlineStr">
        <is>
          <t>365154576:ger</t>
        </is>
      </c>
      <c r="AV418" t="inlineStr">
        <is>
          <t>35265587</t>
        </is>
      </c>
      <c r="AW418" t="inlineStr">
        <is>
          <t>991004133469702656</t>
        </is>
      </c>
      <c r="AX418" t="inlineStr">
        <is>
          <t>991004133469702656</t>
        </is>
      </c>
      <c r="AY418" t="inlineStr">
        <is>
          <t>2261771120002656</t>
        </is>
      </c>
      <c r="AZ418" t="inlineStr">
        <is>
          <t>BOOK</t>
        </is>
      </c>
      <c r="BB418" t="inlineStr">
        <is>
          <t>9783406403910</t>
        </is>
      </c>
      <c r="BC418" t="inlineStr">
        <is>
          <t>32285004784913</t>
        </is>
      </c>
      <c r="BD418" t="inlineStr">
        <is>
          <t>893869330</t>
        </is>
      </c>
    </row>
    <row r="419">
      <c r="A419" t="inlineStr">
        <is>
          <t>No</t>
        </is>
      </c>
      <c r="B419" t="inlineStr">
        <is>
          <t>HT690.G7 L63 1977b</t>
        </is>
      </c>
      <c r="C419" t="inlineStr">
        <is>
          <t>0                      HT 0690000G  7                  L  63          1977b</t>
        </is>
      </c>
      <c r="D419" t="inlineStr">
        <is>
          <t>The Lower middle class in Britain, 1870-1914 / edited by Geoffrey Crossick.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L419" t="inlineStr">
        <is>
          <t>New York : St. Martin's Press, 1977.</t>
        </is>
      </c>
      <c r="M419" t="inlineStr">
        <is>
          <t>1977</t>
        </is>
      </c>
      <c r="O419" t="inlineStr">
        <is>
          <t>eng</t>
        </is>
      </c>
      <c r="P419" t="inlineStr">
        <is>
          <t>nyu</t>
        </is>
      </c>
      <c r="R419" t="inlineStr">
        <is>
          <t xml:space="preserve">HT </t>
        </is>
      </c>
      <c r="S419" t="n">
        <v>1</v>
      </c>
      <c r="T419" t="n">
        <v>1</v>
      </c>
      <c r="U419" t="inlineStr">
        <is>
          <t>1999-10-06</t>
        </is>
      </c>
      <c r="V419" t="inlineStr">
        <is>
          <t>1999-10-06</t>
        </is>
      </c>
      <c r="W419" t="inlineStr">
        <is>
          <t>1997-08-19</t>
        </is>
      </c>
      <c r="X419" t="inlineStr">
        <is>
          <t>1997-08-19</t>
        </is>
      </c>
      <c r="Y419" t="n">
        <v>285</v>
      </c>
      <c r="Z419" t="n">
        <v>265</v>
      </c>
      <c r="AA419" t="n">
        <v>342</v>
      </c>
      <c r="AB419" t="n">
        <v>2</v>
      </c>
      <c r="AC419" t="n">
        <v>4</v>
      </c>
      <c r="AD419" t="n">
        <v>14</v>
      </c>
      <c r="AE419" t="n">
        <v>18</v>
      </c>
      <c r="AF419" t="n">
        <v>4</v>
      </c>
      <c r="AG419" t="n">
        <v>4</v>
      </c>
      <c r="AH419" t="n">
        <v>6</v>
      </c>
      <c r="AI419" t="n">
        <v>7</v>
      </c>
      <c r="AJ419" t="n">
        <v>10</v>
      </c>
      <c r="AK419" t="n">
        <v>11</v>
      </c>
      <c r="AL419" t="n">
        <v>1</v>
      </c>
      <c r="AM419" t="n">
        <v>3</v>
      </c>
      <c r="AN419" t="n">
        <v>0</v>
      </c>
      <c r="AO419" t="n">
        <v>0</v>
      </c>
      <c r="AP419" t="inlineStr">
        <is>
          <t>No</t>
        </is>
      </c>
      <c r="AQ419" t="inlineStr">
        <is>
          <t>No</t>
        </is>
      </c>
      <c r="AS419">
        <f>HYPERLINK("https://creighton-primo.hosted.exlibrisgroup.com/primo-explore/search?tab=default_tab&amp;search_scope=EVERYTHING&amp;vid=01CRU&amp;lang=en_US&amp;offset=0&amp;query=any,contains,991004271829702656","Catalog Record")</f>
        <v/>
      </c>
      <c r="AT419">
        <f>HYPERLINK("http://www.worldcat.org/oclc/2879840","WorldCat Record")</f>
        <v/>
      </c>
      <c r="AU419" t="inlineStr">
        <is>
          <t>54151662:eng</t>
        </is>
      </c>
      <c r="AV419" t="inlineStr">
        <is>
          <t>2879840</t>
        </is>
      </c>
      <c r="AW419" t="inlineStr">
        <is>
          <t>991004271829702656</t>
        </is>
      </c>
      <c r="AX419" t="inlineStr">
        <is>
          <t>991004271829702656</t>
        </is>
      </c>
      <c r="AY419" t="inlineStr">
        <is>
          <t>2260001940002656</t>
        </is>
      </c>
      <c r="AZ419" t="inlineStr">
        <is>
          <t>BOOK</t>
        </is>
      </c>
      <c r="BC419" t="inlineStr">
        <is>
          <t>32285003148565</t>
        </is>
      </c>
      <c r="BD419" t="inlineStr">
        <is>
          <t>893810447</t>
        </is>
      </c>
    </row>
    <row r="420">
      <c r="A420" t="inlineStr">
        <is>
          <t>No</t>
        </is>
      </c>
      <c r="B420" t="inlineStr">
        <is>
          <t>HT690.J3 V6 1971</t>
        </is>
      </c>
      <c r="C420" t="inlineStr">
        <is>
          <t>0                      HT 0690000J  3                  V  6           1971</t>
        </is>
      </c>
      <c r="D420" t="inlineStr">
        <is>
          <t>Japan's new middle class; the salary man and his family in a Tokyo suburb, by Ezra F. Vogel. --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Vogel, Ezra F.</t>
        </is>
      </c>
      <c r="L420" t="inlineStr">
        <is>
          <t>Berkeley : University of California Press, 1971, 1973 printing.</t>
        </is>
      </c>
      <c r="M420" t="inlineStr">
        <is>
          <t>1971</t>
        </is>
      </c>
      <c r="N420" t="inlineStr">
        <is>
          <t>2d ed. --</t>
        </is>
      </c>
      <c r="O420" t="inlineStr">
        <is>
          <t>eng</t>
        </is>
      </c>
      <c r="P420" t="inlineStr">
        <is>
          <t>cau</t>
        </is>
      </c>
      <c r="R420" t="inlineStr">
        <is>
          <t xml:space="preserve">HT </t>
        </is>
      </c>
      <c r="S420" t="n">
        <v>1</v>
      </c>
      <c r="T420" t="n">
        <v>1</v>
      </c>
      <c r="U420" t="inlineStr">
        <is>
          <t>2008-03-16</t>
        </is>
      </c>
      <c r="V420" t="inlineStr">
        <is>
          <t>2008-03-16</t>
        </is>
      </c>
      <c r="W420" t="inlineStr">
        <is>
          <t>1993-05-11</t>
        </is>
      </c>
      <c r="X420" t="inlineStr">
        <is>
          <t>1993-05-11</t>
        </is>
      </c>
      <c r="Y420" t="n">
        <v>540</v>
      </c>
      <c r="Z420" t="n">
        <v>415</v>
      </c>
      <c r="AA420" t="n">
        <v>945</v>
      </c>
      <c r="AB420" t="n">
        <v>4</v>
      </c>
      <c r="AC420" t="n">
        <v>8</v>
      </c>
      <c r="AD420" t="n">
        <v>19</v>
      </c>
      <c r="AE420" t="n">
        <v>43</v>
      </c>
      <c r="AF420" t="n">
        <v>6</v>
      </c>
      <c r="AG420" t="n">
        <v>18</v>
      </c>
      <c r="AH420" t="n">
        <v>4</v>
      </c>
      <c r="AI420" t="n">
        <v>8</v>
      </c>
      <c r="AJ420" t="n">
        <v>11</v>
      </c>
      <c r="AK420" t="n">
        <v>20</v>
      </c>
      <c r="AL420" t="n">
        <v>3</v>
      </c>
      <c r="AM420" t="n">
        <v>7</v>
      </c>
      <c r="AN420" t="n">
        <v>0</v>
      </c>
      <c r="AO420" t="n">
        <v>0</v>
      </c>
      <c r="AP420" t="inlineStr">
        <is>
          <t>No</t>
        </is>
      </c>
      <c r="AQ420" t="inlineStr">
        <is>
          <t>No</t>
        </is>
      </c>
      <c r="AS420">
        <f>HYPERLINK("https://creighton-primo.hosted.exlibrisgroup.com/primo-explore/search?tab=default_tab&amp;search_scope=EVERYTHING&amp;vid=01CRU&amp;lang=en_US&amp;offset=0&amp;query=any,contains,991002238579702656","Catalog Record")</f>
        <v/>
      </c>
      <c r="AT420">
        <f>HYPERLINK("http://www.worldcat.org/oclc/296543","WorldCat Record")</f>
        <v/>
      </c>
      <c r="AU420" t="inlineStr">
        <is>
          <t>1355062:eng</t>
        </is>
      </c>
      <c r="AV420" t="inlineStr">
        <is>
          <t>296543</t>
        </is>
      </c>
      <c r="AW420" t="inlineStr">
        <is>
          <t>991002238579702656</t>
        </is>
      </c>
      <c r="AX420" t="inlineStr">
        <is>
          <t>991002238579702656</t>
        </is>
      </c>
      <c r="AY420" t="inlineStr">
        <is>
          <t>2262679810002656</t>
        </is>
      </c>
      <c r="AZ420" t="inlineStr">
        <is>
          <t>BOOK</t>
        </is>
      </c>
      <c r="BB420" t="inlineStr">
        <is>
          <t>9780520020924</t>
        </is>
      </c>
      <c r="BC420" t="inlineStr">
        <is>
          <t>32285001674836</t>
        </is>
      </c>
      <c r="BD420" t="inlineStr">
        <is>
          <t>893798352</t>
        </is>
      </c>
    </row>
    <row r="421">
      <c r="A421" t="inlineStr">
        <is>
          <t>No</t>
        </is>
      </c>
      <c r="B421" t="inlineStr">
        <is>
          <t>HT690.S7 C78 2002</t>
        </is>
      </c>
      <c r="C421" t="inlineStr">
        <is>
          <t>0                      HT 0690000S  7                  C  78          2002</t>
        </is>
      </c>
      <c r="D421" t="inlineStr">
        <is>
          <t>Gentlemen, bourgeois, and revolutionaries : political change and cultural persistence among the Spanish dominant groups 1750-1850 / Jesus Cruz.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Cruz, Jesus.</t>
        </is>
      </c>
      <c r="L421" t="inlineStr">
        <is>
          <t>Cambridge : Cambridge University Press, 2002.</t>
        </is>
      </c>
      <c r="M421" t="inlineStr">
        <is>
          <t>2002</t>
        </is>
      </c>
      <c r="N421" t="inlineStr">
        <is>
          <t>1st pbk. ed.</t>
        </is>
      </c>
      <c r="O421" t="inlineStr">
        <is>
          <t>eng</t>
        </is>
      </c>
      <c r="P421" t="inlineStr">
        <is>
          <t>enk</t>
        </is>
      </c>
      <c r="R421" t="inlineStr">
        <is>
          <t xml:space="preserve">HT </t>
        </is>
      </c>
      <c r="S421" t="n">
        <v>2</v>
      </c>
      <c r="T421" t="n">
        <v>2</v>
      </c>
      <c r="U421" t="inlineStr">
        <is>
          <t>2009-04-22</t>
        </is>
      </c>
      <c r="V421" t="inlineStr">
        <is>
          <t>2009-04-22</t>
        </is>
      </c>
      <c r="W421" t="inlineStr">
        <is>
          <t>2009-04-14</t>
        </is>
      </c>
      <c r="X421" t="inlineStr">
        <is>
          <t>2009-04-14</t>
        </is>
      </c>
      <c r="Y421" t="n">
        <v>8</v>
      </c>
      <c r="Z421" t="n">
        <v>6</v>
      </c>
      <c r="AA421" t="n">
        <v>209</v>
      </c>
      <c r="AB421" t="n">
        <v>1</v>
      </c>
      <c r="AC421" t="n">
        <v>2</v>
      </c>
      <c r="AD421" t="n">
        <v>1</v>
      </c>
      <c r="AE421" t="n">
        <v>11</v>
      </c>
      <c r="AF421" t="n">
        <v>1</v>
      </c>
      <c r="AG421" t="n">
        <v>3</v>
      </c>
      <c r="AH421" t="n">
        <v>0</v>
      </c>
      <c r="AI421" t="n">
        <v>3</v>
      </c>
      <c r="AJ421" t="n">
        <v>1</v>
      </c>
      <c r="AK421" t="n">
        <v>9</v>
      </c>
      <c r="AL421" t="n">
        <v>0</v>
      </c>
      <c r="AM421" t="n">
        <v>1</v>
      </c>
      <c r="AN421" t="n">
        <v>0</v>
      </c>
      <c r="AO421" t="n">
        <v>0</v>
      </c>
      <c r="AP421" t="inlineStr">
        <is>
          <t>No</t>
        </is>
      </c>
      <c r="AQ421" t="inlineStr">
        <is>
          <t>No</t>
        </is>
      </c>
      <c r="AS421">
        <f>HYPERLINK("https://creighton-primo.hosted.exlibrisgroup.com/primo-explore/search?tab=default_tab&amp;search_scope=EVERYTHING&amp;vid=01CRU&amp;lang=en_US&amp;offset=0&amp;query=any,contains,991005306499702656","Catalog Record")</f>
        <v/>
      </c>
      <c r="AT421">
        <f>HYPERLINK("http://www.worldcat.org/oclc/49550008","WorldCat Record")</f>
        <v/>
      </c>
      <c r="AU421" t="inlineStr">
        <is>
          <t>836902763:eng</t>
        </is>
      </c>
      <c r="AV421" t="inlineStr">
        <is>
          <t>49550008</t>
        </is>
      </c>
      <c r="AW421" t="inlineStr">
        <is>
          <t>991005306499702656</t>
        </is>
      </c>
      <c r="AX421" t="inlineStr">
        <is>
          <t>991005306499702656</t>
        </is>
      </c>
      <c r="AY421" t="inlineStr">
        <is>
          <t>2261946990002656</t>
        </is>
      </c>
      <c r="AZ421" t="inlineStr">
        <is>
          <t>BOOK</t>
        </is>
      </c>
      <c r="BB421" t="inlineStr">
        <is>
          <t>9780521894166</t>
        </is>
      </c>
      <c r="BC421" t="inlineStr">
        <is>
          <t>32285005515118</t>
        </is>
      </c>
      <c r="BD421" t="inlineStr">
        <is>
          <t>893789772</t>
        </is>
      </c>
    </row>
    <row r="422">
      <c r="A422" t="inlineStr">
        <is>
          <t>No</t>
        </is>
      </c>
      <c r="B422" t="inlineStr">
        <is>
          <t>HT690.U6 B37 1989</t>
        </is>
      </c>
      <c r="C422" t="inlineStr">
        <is>
          <t>0                      HT 0690000U  6                  B  37          1989</t>
        </is>
      </c>
      <c r="D422" t="inlineStr">
        <is>
          <t>The good life : the meaning of success for the American middle class / by Loren Baritz.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Baritz, Loren, 1928-</t>
        </is>
      </c>
      <c r="L422" t="inlineStr">
        <is>
          <t>New York : Knopf : Distributed by Random House, 1989, c1988.</t>
        </is>
      </c>
      <c r="M422" t="inlineStr">
        <is>
          <t>1989</t>
        </is>
      </c>
      <c r="N422" t="inlineStr">
        <is>
          <t>1st ed.</t>
        </is>
      </c>
      <c r="O422" t="inlineStr">
        <is>
          <t>eng</t>
        </is>
      </c>
      <c r="P422" t="inlineStr">
        <is>
          <t>nyu</t>
        </is>
      </c>
      <c r="R422" t="inlineStr">
        <is>
          <t xml:space="preserve">HT </t>
        </is>
      </c>
      <c r="S422" t="n">
        <v>1</v>
      </c>
      <c r="T422" t="n">
        <v>1</v>
      </c>
      <c r="U422" t="inlineStr">
        <is>
          <t>2003-09-30</t>
        </is>
      </c>
      <c r="V422" t="inlineStr">
        <is>
          <t>2003-09-30</t>
        </is>
      </c>
      <c r="W422" t="inlineStr">
        <is>
          <t>1993-05-11</t>
        </is>
      </c>
      <c r="X422" t="inlineStr">
        <is>
          <t>1993-05-11</t>
        </is>
      </c>
      <c r="Y422" t="n">
        <v>654</v>
      </c>
      <c r="Z422" t="n">
        <v>593</v>
      </c>
      <c r="AA422" t="n">
        <v>807</v>
      </c>
      <c r="AB422" t="n">
        <v>3</v>
      </c>
      <c r="AC422" t="n">
        <v>4</v>
      </c>
      <c r="AD422" t="n">
        <v>18</v>
      </c>
      <c r="AE422" t="n">
        <v>24</v>
      </c>
      <c r="AF422" t="n">
        <v>7</v>
      </c>
      <c r="AG422" t="n">
        <v>11</v>
      </c>
      <c r="AH422" t="n">
        <v>5</v>
      </c>
      <c r="AI422" t="n">
        <v>5</v>
      </c>
      <c r="AJ422" t="n">
        <v>11</v>
      </c>
      <c r="AK422" t="n">
        <v>14</v>
      </c>
      <c r="AL422" t="n">
        <v>2</v>
      </c>
      <c r="AM422" t="n">
        <v>3</v>
      </c>
      <c r="AN422" t="n">
        <v>0</v>
      </c>
      <c r="AO422" t="n">
        <v>0</v>
      </c>
      <c r="AP422" t="inlineStr">
        <is>
          <t>No</t>
        </is>
      </c>
      <c r="AQ422" t="inlineStr">
        <is>
          <t>No</t>
        </is>
      </c>
      <c r="AS422">
        <f>HYPERLINK("https://creighton-primo.hosted.exlibrisgroup.com/primo-explore/search?tab=default_tab&amp;search_scope=EVERYTHING&amp;vid=01CRU&amp;lang=en_US&amp;offset=0&amp;query=any,contains,991001316359702656","Catalog Record")</f>
        <v/>
      </c>
      <c r="AT422">
        <f>HYPERLINK("http://www.worldcat.org/oclc/18190866","WorldCat Record")</f>
        <v/>
      </c>
      <c r="AU422" t="inlineStr">
        <is>
          <t>17069754:eng</t>
        </is>
      </c>
      <c r="AV422" t="inlineStr">
        <is>
          <t>18190866</t>
        </is>
      </c>
      <c r="AW422" t="inlineStr">
        <is>
          <t>991001316359702656</t>
        </is>
      </c>
      <c r="AX422" t="inlineStr">
        <is>
          <t>991001316359702656</t>
        </is>
      </c>
      <c r="AY422" t="inlineStr">
        <is>
          <t>2270521030002656</t>
        </is>
      </c>
      <c r="AZ422" t="inlineStr">
        <is>
          <t>BOOK</t>
        </is>
      </c>
      <c r="BB422" t="inlineStr">
        <is>
          <t>9780394549477</t>
        </is>
      </c>
      <c r="BC422" t="inlineStr">
        <is>
          <t>32285001674851</t>
        </is>
      </c>
      <c r="BD422" t="inlineStr">
        <is>
          <t>893420250</t>
        </is>
      </c>
    </row>
    <row r="423">
      <c r="A423" t="inlineStr">
        <is>
          <t>No</t>
        </is>
      </c>
      <c r="B423" t="inlineStr">
        <is>
          <t>HT690.U6 E47 1989</t>
        </is>
      </c>
      <c r="C423" t="inlineStr">
        <is>
          <t>0                      HT 0690000U  6                  E  47          1989</t>
        </is>
      </c>
      <c r="D423" t="inlineStr">
        <is>
          <t>Fear of falling : the inner life of the middle class / by Barbara Ehrenreich.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K423" t="inlineStr">
        <is>
          <t>Ehrenreich, Barbara.</t>
        </is>
      </c>
      <c r="L423" t="inlineStr">
        <is>
          <t>New York : Pantheon Books, 1989.</t>
        </is>
      </c>
      <c r="M423" t="inlineStr">
        <is>
          <t>1989</t>
        </is>
      </c>
      <c r="N423" t="inlineStr">
        <is>
          <t>1st ed.</t>
        </is>
      </c>
      <c r="O423" t="inlineStr">
        <is>
          <t>eng</t>
        </is>
      </c>
      <c r="P423" t="inlineStr">
        <is>
          <t>nyu</t>
        </is>
      </c>
      <c r="R423" t="inlineStr">
        <is>
          <t xml:space="preserve">HT </t>
        </is>
      </c>
      <c r="S423" t="n">
        <v>4</v>
      </c>
      <c r="T423" t="n">
        <v>4</v>
      </c>
      <c r="U423" t="inlineStr">
        <is>
          <t>1994-06-13</t>
        </is>
      </c>
      <c r="V423" t="inlineStr">
        <is>
          <t>1994-06-13</t>
        </is>
      </c>
      <c r="W423" t="inlineStr">
        <is>
          <t>1989-12-18</t>
        </is>
      </c>
      <c r="X423" t="inlineStr">
        <is>
          <t>1989-12-18</t>
        </is>
      </c>
      <c r="Y423" t="n">
        <v>989</v>
      </c>
      <c r="Z423" t="n">
        <v>898</v>
      </c>
      <c r="AA423" t="n">
        <v>1336</v>
      </c>
      <c r="AB423" t="n">
        <v>7</v>
      </c>
      <c r="AC423" t="n">
        <v>9</v>
      </c>
      <c r="AD423" t="n">
        <v>33</v>
      </c>
      <c r="AE423" t="n">
        <v>46</v>
      </c>
      <c r="AF423" t="n">
        <v>14</v>
      </c>
      <c r="AG423" t="n">
        <v>22</v>
      </c>
      <c r="AH423" t="n">
        <v>7</v>
      </c>
      <c r="AI423" t="n">
        <v>9</v>
      </c>
      <c r="AJ423" t="n">
        <v>14</v>
      </c>
      <c r="AK423" t="n">
        <v>17</v>
      </c>
      <c r="AL423" t="n">
        <v>6</v>
      </c>
      <c r="AM423" t="n">
        <v>8</v>
      </c>
      <c r="AN423" t="n">
        <v>0</v>
      </c>
      <c r="AO423" t="n">
        <v>0</v>
      </c>
      <c r="AP423" t="inlineStr">
        <is>
          <t>No</t>
        </is>
      </c>
      <c r="AQ423" t="inlineStr">
        <is>
          <t>Yes</t>
        </is>
      </c>
      <c r="AR423">
        <f>HYPERLINK("http://catalog.hathitrust.org/Record/001540444","HathiTrust Record")</f>
        <v/>
      </c>
      <c r="AS423">
        <f>HYPERLINK("https://creighton-primo.hosted.exlibrisgroup.com/primo-explore/search?tab=default_tab&amp;search_scope=EVERYTHING&amp;vid=01CRU&amp;lang=en_US&amp;offset=0&amp;query=any,contains,991001440049702656","Catalog Record")</f>
        <v/>
      </c>
      <c r="AT423">
        <f>HYPERLINK("http://www.worldcat.org/oclc/19223269","WorldCat Record")</f>
        <v/>
      </c>
      <c r="AU423" t="inlineStr">
        <is>
          <t>10300326:eng</t>
        </is>
      </c>
      <c r="AV423" t="inlineStr">
        <is>
          <t>19223269</t>
        </is>
      </c>
      <c r="AW423" t="inlineStr">
        <is>
          <t>991001440049702656</t>
        </is>
      </c>
      <c r="AX423" t="inlineStr">
        <is>
          <t>991001440049702656</t>
        </is>
      </c>
      <c r="AY423" t="inlineStr">
        <is>
          <t>2258795030002656</t>
        </is>
      </c>
      <c r="AZ423" t="inlineStr">
        <is>
          <t>BOOK</t>
        </is>
      </c>
      <c r="BC423" t="inlineStr">
        <is>
          <t>32285000018555</t>
        </is>
      </c>
      <c r="BD423" t="inlineStr">
        <is>
          <t>893608870</t>
        </is>
      </c>
    </row>
    <row r="424">
      <c r="A424" t="inlineStr">
        <is>
          <t>No</t>
        </is>
      </c>
      <c r="B424" t="inlineStr">
        <is>
          <t>HT690.U6 F76 1986</t>
        </is>
      </c>
      <c r="C424" t="inlineStr">
        <is>
          <t>0                      HT 0690000U  6                  F  76          1986</t>
        </is>
      </c>
      <c r="D424" t="inlineStr">
        <is>
          <t>Professional powers : a study of the institutionalization of formal knowledge / Eliot Freidson.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Freidson, Eliot, 1923-2005.</t>
        </is>
      </c>
      <c r="L424" t="inlineStr">
        <is>
          <t>Chicago : University of Chicago Press, 1986.</t>
        </is>
      </c>
      <c r="M424" t="inlineStr">
        <is>
          <t>1986</t>
        </is>
      </c>
      <c r="O424" t="inlineStr">
        <is>
          <t>eng</t>
        </is>
      </c>
      <c r="P424" t="inlineStr">
        <is>
          <t>ilu</t>
        </is>
      </c>
      <c r="R424" t="inlineStr">
        <is>
          <t xml:space="preserve">HT </t>
        </is>
      </c>
      <c r="S424" t="n">
        <v>10</v>
      </c>
      <c r="T424" t="n">
        <v>10</v>
      </c>
      <c r="U424" t="inlineStr">
        <is>
          <t>2004-03-12</t>
        </is>
      </c>
      <c r="V424" t="inlineStr">
        <is>
          <t>2004-03-12</t>
        </is>
      </c>
      <c r="W424" t="inlineStr">
        <is>
          <t>1992-04-27</t>
        </is>
      </c>
      <c r="X424" t="inlineStr">
        <is>
          <t>1992-04-27</t>
        </is>
      </c>
      <c r="Y424" t="n">
        <v>697</v>
      </c>
      <c r="Z424" t="n">
        <v>544</v>
      </c>
      <c r="AA424" t="n">
        <v>576</v>
      </c>
      <c r="AB424" t="n">
        <v>3</v>
      </c>
      <c r="AC424" t="n">
        <v>3</v>
      </c>
      <c r="AD424" t="n">
        <v>32</v>
      </c>
      <c r="AE424" t="n">
        <v>33</v>
      </c>
      <c r="AF424" t="n">
        <v>13</v>
      </c>
      <c r="AG424" t="n">
        <v>13</v>
      </c>
      <c r="AH424" t="n">
        <v>5</v>
      </c>
      <c r="AI424" t="n">
        <v>6</v>
      </c>
      <c r="AJ424" t="n">
        <v>16</v>
      </c>
      <c r="AK424" t="n">
        <v>16</v>
      </c>
      <c r="AL424" t="n">
        <v>2</v>
      </c>
      <c r="AM424" t="n">
        <v>2</v>
      </c>
      <c r="AN424" t="n">
        <v>5</v>
      </c>
      <c r="AO424" t="n">
        <v>5</v>
      </c>
      <c r="AP424" t="inlineStr">
        <is>
          <t>No</t>
        </is>
      </c>
      <c r="AQ424" t="inlineStr">
        <is>
          <t>No</t>
        </is>
      </c>
      <c r="AS424">
        <f>HYPERLINK("https://creighton-primo.hosted.exlibrisgroup.com/primo-explore/search?tab=default_tab&amp;search_scope=EVERYTHING&amp;vid=01CRU&amp;lang=en_US&amp;offset=0&amp;query=any,contains,991000705399702656","Catalog Record")</f>
        <v/>
      </c>
      <c r="AT424">
        <f>HYPERLINK("http://www.worldcat.org/oclc/12556924","WorldCat Record")</f>
        <v/>
      </c>
      <c r="AU424" t="inlineStr">
        <is>
          <t>47543917:eng</t>
        </is>
      </c>
      <c r="AV424" t="inlineStr">
        <is>
          <t>12556924</t>
        </is>
      </c>
      <c r="AW424" t="inlineStr">
        <is>
          <t>991000705399702656</t>
        </is>
      </c>
      <c r="AX424" t="inlineStr">
        <is>
          <t>991000705399702656</t>
        </is>
      </c>
      <c r="AY424" t="inlineStr">
        <is>
          <t>2254713180002656</t>
        </is>
      </c>
      <c r="AZ424" t="inlineStr">
        <is>
          <t>BOOK</t>
        </is>
      </c>
      <c r="BB424" t="inlineStr">
        <is>
          <t>9780226262246</t>
        </is>
      </c>
      <c r="BC424" t="inlineStr">
        <is>
          <t>32285001072304</t>
        </is>
      </c>
      <c r="BD424" t="inlineStr">
        <is>
          <t>893803012</t>
        </is>
      </c>
    </row>
    <row r="425">
      <c r="A425" t="inlineStr">
        <is>
          <t>No</t>
        </is>
      </c>
      <c r="B425" t="inlineStr">
        <is>
          <t>HT690.U6 H34 1982</t>
        </is>
      </c>
      <c r="C425" t="inlineStr">
        <is>
          <t>0                      HT 0690000U  6                  H  34          1982</t>
        </is>
      </c>
      <c r="D425" t="inlineStr">
        <is>
          <t>Confidence men and painted women : a study of middle-class culture in America, 1830-1870 / Karen Halttunen.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K425" t="inlineStr">
        <is>
          <t>Halttunen, Karen, 1951-</t>
        </is>
      </c>
      <c r="L425" t="inlineStr">
        <is>
          <t>New Haven : Yale University Press, c1982.</t>
        </is>
      </c>
      <c r="M425" t="inlineStr">
        <is>
          <t>1982</t>
        </is>
      </c>
      <c r="O425" t="inlineStr">
        <is>
          <t>eng</t>
        </is>
      </c>
      <c r="P425" t="inlineStr">
        <is>
          <t>ctu</t>
        </is>
      </c>
      <c r="Q425" t="inlineStr">
        <is>
          <t>Yale historical publications. Miscellany ; 129</t>
        </is>
      </c>
      <c r="R425" t="inlineStr">
        <is>
          <t xml:space="preserve">HT </t>
        </is>
      </c>
      <c r="S425" t="n">
        <v>9</v>
      </c>
      <c r="T425" t="n">
        <v>9</v>
      </c>
      <c r="U425" t="inlineStr">
        <is>
          <t>2005-08-23</t>
        </is>
      </c>
      <c r="V425" t="inlineStr">
        <is>
          <t>2005-08-23</t>
        </is>
      </c>
      <c r="W425" t="inlineStr">
        <is>
          <t>1991-07-10</t>
        </is>
      </c>
      <c r="X425" t="inlineStr">
        <is>
          <t>1991-07-10</t>
        </is>
      </c>
      <c r="Y425" t="n">
        <v>958</v>
      </c>
      <c r="Z425" t="n">
        <v>795</v>
      </c>
      <c r="AA425" t="n">
        <v>925</v>
      </c>
      <c r="AB425" t="n">
        <v>6</v>
      </c>
      <c r="AC425" t="n">
        <v>6</v>
      </c>
      <c r="AD425" t="n">
        <v>40</v>
      </c>
      <c r="AE425" t="n">
        <v>44</v>
      </c>
      <c r="AF425" t="n">
        <v>19</v>
      </c>
      <c r="AG425" t="n">
        <v>22</v>
      </c>
      <c r="AH425" t="n">
        <v>9</v>
      </c>
      <c r="AI425" t="n">
        <v>10</v>
      </c>
      <c r="AJ425" t="n">
        <v>19</v>
      </c>
      <c r="AK425" t="n">
        <v>20</v>
      </c>
      <c r="AL425" t="n">
        <v>5</v>
      </c>
      <c r="AM425" t="n">
        <v>5</v>
      </c>
      <c r="AN425" t="n">
        <v>0</v>
      </c>
      <c r="AO425" t="n">
        <v>0</v>
      </c>
      <c r="AP425" t="inlineStr">
        <is>
          <t>No</t>
        </is>
      </c>
      <c r="AQ425" t="inlineStr">
        <is>
          <t>No</t>
        </is>
      </c>
      <c r="AS425">
        <f>HYPERLINK("https://creighton-primo.hosted.exlibrisgroup.com/primo-explore/search?tab=default_tab&amp;search_scope=EVERYTHING&amp;vid=01CRU&amp;lang=en_US&amp;offset=0&amp;query=any,contains,991005245529702656","Catalog Record")</f>
        <v/>
      </c>
      <c r="AT425">
        <f>HYPERLINK("http://www.worldcat.org/oclc/8452137","WorldCat Record")</f>
        <v/>
      </c>
      <c r="AU425" t="inlineStr">
        <is>
          <t>31460775:eng</t>
        </is>
      </c>
      <c r="AV425" t="inlineStr">
        <is>
          <t>8452137</t>
        </is>
      </c>
      <c r="AW425" t="inlineStr">
        <is>
          <t>991005245529702656</t>
        </is>
      </c>
      <c r="AX425" t="inlineStr">
        <is>
          <t>991005245529702656</t>
        </is>
      </c>
      <c r="AY425" t="inlineStr">
        <is>
          <t>2263020410002656</t>
        </is>
      </c>
      <c r="AZ425" t="inlineStr">
        <is>
          <t>BOOK</t>
        </is>
      </c>
      <c r="BB425" t="inlineStr">
        <is>
          <t>9780300028355</t>
        </is>
      </c>
      <c r="BC425" t="inlineStr">
        <is>
          <t>32285000660364</t>
        </is>
      </c>
      <c r="BD425" t="inlineStr">
        <is>
          <t>893326454</t>
        </is>
      </c>
    </row>
    <row r="426">
      <c r="A426" t="inlineStr">
        <is>
          <t>No</t>
        </is>
      </c>
      <c r="B426" t="inlineStr">
        <is>
          <t>HT690.U6 M67 2004</t>
        </is>
      </c>
      <c r="C426" t="inlineStr">
        <is>
          <t>0                      HT 0690000U  6                  M  67          2004</t>
        </is>
      </c>
      <c r="D426" t="inlineStr">
        <is>
          <t>Standard of living : the measure of the middle class in modern America / Marina Moskowitz.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Moskowitz, Marina, 1968-</t>
        </is>
      </c>
      <c r="L426" t="inlineStr">
        <is>
          <t>Baltimore : Johns Hopkins University Press, 2004.</t>
        </is>
      </c>
      <c r="M426" t="inlineStr">
        <is>
          <t>2004</t>
        </is>
      </c>
      <c r="O426" t="inlineStr">
        <is>
          <t>eng</t>
        </is>
      </c>
      <c r="P426" t="inlineStr">
        <is>
          <t>mdu</t>
        </is>
      </c>
      <c r="R426" t="inlineStr">
        <is>
          <t xml:space="preserve">HT </t>
        </is>
      </c>
      <c r="S426" t="n">
        <v>3</v>
      </c>
      <c r="T426" t="n">
        <v>3</v>
      </c>
      <c r="U426" t="inlineStr">
        <is>
          <t>2005-09-13</t>
        </is>
      </c>
      <c r="V426" t="inlineStr">
        <is>
          <t>2005-09-13</t>
        </is>
      </c>
      <c r="W426" t="inlineStr">
        <is>
          <t>2005-08-01</t>
        </is>
      </c>
      <c r="X426" t="inlineStr">
        <is>
          <t>2005-08-01</t>
        </is>
      </c>
      <c r="Y426" t="n">
        <v>562</v>
      </c>
      <c r="Z426" t="n">
        <v>504</v>
      </c>
      <c r="AA426" t="n">
        <v>520</v>
      </c>
      <c r="AB426" t="n">
        <v>6</v>
      </c>
      <c r="AC426" t="n">
        <v>7</v>
      </c>
      <c r="AD426" t="n">
        <v>34</v>
      </c>
      <c r="AE426" t="n">
        <v>36</v>
      </c>
      <c r="AF426" t="n">
        <v>16</v>
      </c>
      <c r="AG426" t="n">
        <v>17</v>
      </c>
      <c r="AH426" t="n">
        <v>7</v>
      </c>
      <c r="AI426" t="n">
        <v>7</v>
      </c>
      <c r="AJ426" t="n">
        <v>15</v>
      </c>
      <c r="AK426" t="n">
        <v>15</v>
      </c>
      <c r="AL426" t="n">
        <v>5</v>
      </c>
      <c r="AM426" t="n">
        <v>6</v>
      </c>
      <c r="AN426" t="n">
        <v>0</v>
      </c>
      <c r="AO426" t="n">
        <v>0</v>
      </c>
      <c r="AP426" t="inlineStr">
        <is>
          <t>No</t>
        </is>
      </c>
      <c r="AQ426" t="inlineStr">
        <is>
          <t>No</t>
        </is>
      </c>
      <c r="AS426">
        <f>HYPERLINK("https://creighton-primo.hosted.exlibrisgroup.com/primo-explore/search?tab=default_tab&amp;search_scope=EVERYTHING&amp;vid=01CRU&amp;lang=en_US&amp;offset=0&amp;query=any,contains,991004598969702656","Catalog Record")</f>
        <v/>
      </c>
      <c r="AT426">
        <f>HYPERLINK("http://www.worldcat.org/oclc/54024002","WorldCat Record")</f>
        <v/>
      </c>
      <c r="AU426" t="inlineStr">
        <is>
          <t>1056316:eng</t>
        </is>
      </c>
      <c r="AV426" t="inlineStr">
        <is>
          <t>54024002</t>
        </is>
      </c>
      <c r="AW426" t="inlineStr">
        <is>
          <t>991004598969702656</t>
        </is>
      </c>
      <c r="AX426" t="inlineStr">
        <is>
          <t>991004598969702656</t>
        </is>
      </c>
      <c r="AY426" t="inlineStr">
        <is>
          <t>2269022040002656</t>
        </is>
      </c>
      <c r="AZ426" t="inlineStr">
        <is>
          <t>BOOK</t>
        </is>
      </c>
      <c r="BB426" t="inlineStr">
        <is>
          <t>9780801879470</t>
        </is>
      </c>
      <c r="BC426" t="inlineStr">
        <is>
          <t>32285005098982</t>
        </is>
      </c>
      <c r="BD426" t="inlineStr">
        <is>
          <t>893719117</t>
        </is>
      </c>
    </row>
    <row r="427">
      <c r="A427" t="inlineStr">
        <is>
          <t>No</t>
        </is>
      </c>
      <c r="B427" t="inlineStr">
        <is>
          <t>HT690.U6 P48 1993</t>
        </is>
      </c>
      <c r="C427" t="inlineStr">
        <is>
          <t>0                      HT 0690000U  6                  P  48          1993</t>
        </is>
      </c>
      <c r="D427" t="inlineStr">
        <is>
          <t>Boiling point : Republicans, Democrats, and the decline of middle-class prosperity / Kevin Phillips.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Phillips, Kevin, 1940-</t>
        </is>
      </c>
      <c r="L427" t="inlineStr">
        <is>
          <t>New York : Random House, c1993.</t>
        </is>
      </c>
      <c r="M427" t="inlineStr">
        <is>
          <t>1993</t>
        </is>
      </c>
      <c r="N427" t="inlineStr">
        <is>
          <t>1st ed.</t>
        </is>
      </c>
      <c r="O427" t="inlineStr">
        <is>
          <t>eng</t>
        </is>
      </c>
      <c r="P427" t="inlineStr">
        <is>
          <t>nyu</t>
        </is>
      </c>
      <c r="R427" t="inlineStr">
        <is>
          <t xml:space="preserve">HT </t>
        </is>
      </c>
      <c r="S427" t="n">
        <v>1</v>
      </c>
      <c r="T427" t="n">
        <v>1</v>
      </c>
      <c r="U427" t="inlineStr">
        <is>
          <t>2010-08-16</t>
        </is>
      </c>
      <c r="V427" t="inlineStr">
        <is>
          <t>2010-08-16</t>
        </is>
      </c>
      <c r="W427" t="inlineStr">
        <is>
          <t>1994-04-20</t>
        </is>
      </c>
      <c r="X427" t="inlineStr">
        <is>
          <t>1994-04-20</t>
        </is>
      </c>
      <c r="Y427" t="n">
        <v>1549</v>
      </c>
      <c r="Z427" t="n">
        <v>1457</v>
      </c>
      <c r="AA427" t="n">
        <v>1585</v>
      </c>
      <c r="AB427" t="n">
        <v>7</v>
      </c>
      <c r="AC427" t="n">
        <v>9</v>
      </c>
      <c r="AD427" t="n">
        <v>48</v>
      </c>
      <c r="AE427" t="n">
        <v>51</v>
      </c>
      <c r="AF427" t="n">
        <v>21</v>
      </c>
      <c r="AG427" t="n">
        <v>22</v>
      </c>
      <c r="AH427" t="n">
        <v>9</v>
      </c>
      <c r="AI427" t="n">
        <v>9</v>
      </c>
      <c r="AJ427" t="n">
        <v>21</v>
      </c>
      <c r="AK427" t="n">
        <v>23</v>
      </c>
      <c r="AL427" t="n">
        <v>6</v>
      </c>
      <c r="AM427" t="n">
        <v>7</v>
      </c>
      <c r="AN427" t="n">
        <v>2</v>
      </c>
      <c r="AO427" t="n">
        <v>2</v>
      </c>
      <c r="AP427" t="inlineStr">
        <is>
          <t>No</t>
        </is>
      </c>
      <c r="AQ427" t="inlineStr">
        <is>
          <t>No</t>
        </is>
      </c>
      <c r="AS427">
        <f>HYPERLINK("https://creighton-primo.hosted.exlibrisgroup.com/primo-explore/search?tab=default_tab&amp;search_scope=EVERYTHING&amp;vid=01CRU&amp;lang=en_US&amp;offset=0&amp;query=any,contains,991002131489702656","Catalog Record")</f>
        <v/>
      </c>
      <c r="AT427">
        <f>HYPERLINK("http://www.worldcat.org/oclc/27320562","WorldCat Record")</f>
        <v/>
      </c>
      <c r="AU427" t="inlineStr">
        <is>
          <t>29762180:eng</t>
        </is>
      </c>
      <c r="AV427" t="inlineStr">
        <is>
          <t>27320562</t>
        </is>
      </c>
      <c r="AW427" t="inlineStr">
        <is>
          <t>991002131489702656</t>
        </is>
      </c>
      <c r="AX427" t="inlineStr">
        <is>
          <t>991002131489702656</t>
        </is>
      </c>
      <c r="AY427" t="inlineStr">
        <is>
          <t>2259995870002656</t>
        </is>
      </c>
      <c r="AZ427" t="inlineStr">
        <is>
          <t>BOOK</t>
        </is>
      </c>
      <c r="BB427" t="inlineStr">
        <is>
          <t>9780679404613</t>
        </is>
      </c>
      <c r="BC427" t="inlineStr">
        <is>
          <t>32285001875664</t>
        </is>
      </c>
      <c r="BD427" t="inlineStr">
        <is>
          <t>893226499</t>
        </is>
      </c>
    </row>
    <row r="428">
      <c r="A428" t="inlineStr">
        <is>
          <t>No</t>
        </is>
      </c>
      <c r="B428" t="inlineStr">
        <is>
          <t>HT690.U6 S77 1993</t>
        </is>
      </c>
      <c r="C428" t="inlineStr">
        <is>
          <t>0                      HT 0690000U  6                  S  77          1993</t>
        </is>
      </c>
      <c r="D428" t="inlineStr">
        <is>
          <t>Upward dreams, downward mobility : the economic decline of the American middle class / Frederick R. Strobel.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Strobel, Frederick R.</t>
        </is>
      </c>
      <c r="L428" t="inlineStr">
        <is>
          <t>Savage, Md. : Rowman &amp; Littlefield Publishers, 1993.</t>
        </is>
      </c>
      <c r="M428" t="inlineStr">
        <is>
          <t>1993</t>
        </is>
      </c>
      <c r="O428" t="inlineStr">
        <is>
          <t>eng</t>
        </is>
      </c>
      <c r="P428" t="inlineStr">
        <is>
          <t>mdu</t>
        </is>
      </c>
      <c r="R428" t="inlineStr">
        <is>
          <t xml:space="preserve">HT </t>
        </is>
      </c>
      <c r="S428" t="n">
        <v>2</v>
      </c>
      <c r="T428" t="n">
        <v>2</v>
      </c>
      <c r="U428" t="inlineStr">
        <is>
          <t>1993-09-25</t>
        </is>
      </c>
      <c r="V428" t="inlineStr">
        <is>
          <t>1993-09-25</t>
        </is>
      </c>
      <c r="W428" t="inlineStr">
        <is>
          <t>1993-09-09</t>
        </is>
      </c>
      <c r="X428" t="inlineStr">
        <is>
          <t>1993-09-09</t>
        </is>
      </c>
      <c r="Y428" t="n">
        <v>825</v>
      </c>
      <c r="Z428" t="n">
        <v>773</v>
      </c>
      <c r="AA428" t="n">
        <v>810</v>
      </c>
      <c r="AB428" t="n">
        <v>5</v>
      </c>
      <c r="AC428" t="n">
        <v>7</v>
      </c>
      <c r="AD428" t="n">
        <v>33</v>
      </c>
      <c r="AE428" t="n">
        <v>37</v>
      </c>
      <c r="AF428" t="n">
        <v>13</v>
      </c>
      <c r="AG428" t="n">
        <v>15</v>
      </c>
      <c r="AH428" t="n">
        <v>8</v>
      </c>
      <c r="AI428" t="n">
        <v>8</v>
      </c>
      <c r="AJ428" t="n">
        <v>18</v>
      </c>
      <c r="AK428" t="n">
        <v>19</v>
      </c>
      <c r="AL428" t="n">
        <v>4</v>
      </c>
      <c r="AM428" t="n">
        <v>6</v>
      </c>
      <c r="AN428" t="n">
        <v>0</v>
      </c>
      <c r="AO428" t="n">
        <v>0</v>
      </c>
      <c r="AP428" t="inlineStr">
        <is>
          <t>No</t>
        </is>
      </c>
      <c r="AQ428" t="inlineStr">
        <is>
          <t>No</t>
        </is>
      </c>
      <c r="AS428">
        <f>HYPERLINK("https://creighton-primo.hosted.exlibrisgroup.com/primo-explore/search?tab=default_tab&amp;search_scope=EVERYTHING&amp;vid=01CRU&amp;lang=en_US&amp;offset=0&amp;query=any,contains,991002057539702656","Catalog Record")</f>
        <v/>
      </c>
      <c r="AT428">
        <f>HYPERLINK("http://www.worldcat.org/oclc/26309203","WorldCat Record")</f>
        <v/>
      </c>
      <c r="AU428" t="inlineStr">
        <is>
          <t>28690549:eng</t>
        </is>
      </c>
      <c r="AV428" t="inlineStr">
        <is>
          <t>26309203</t>
        </is>
      </c>
      <c r="AW428" t="inlineStr">
        <is>
          <t>991002057539702656</t>
        </is>
      </c>
      <c r="AX428" t="inlineStr">
        <is>
          <t>991002057539702656</t>
        </is>
      </c>
      <c r="AY428" t="inlineStr">
        <is>
          <t>2266131550002656</t>
        </is>
      </c>
      <c r="AZ428" t="inlineStr">
        <is>
          <t>BOOK</t>
        </is>
      </c>
      <c r="BB428" t="inlineStr">
        <is>
          <t>9780847677566</t>
        </is>
      </c>
      <c r="BC428" t="inlineStr">
        <is>
          <t>32285001765378</t>
        </is>
      </c>
      <c r="BD428" t="inlineStr">
        <is>
          <t>893773168</t>
        </is>
      </c>
    </row>
    <row r="429">
      <c r="A429" t="inlineStr">
        <is>
          <t>No</t>
        </is>
      </c>
      <c r="B429" t="inlineStr">
        <is>
          <t>HT690.U6 W65 1998</t>
        </is>
      </c>
      <c r="C429" t="inlineStr">
        <is>
          <t>0                      HT 0690000U  6                  W  65          1998</t>
        </is>
      </c>
      <c r="D429" t="inlineStr">
        <is>
          <t>One nation, after all : what middle-class Americans really think about : God, country, family, racism, welfare, immigration, homosexuality, work, the right, the left, and each other / Alan Wolfe.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Wolfe, Alan, 1942-</t>
        </is>
      </c>
      <c r="L429" t="inlineStr">
        <is>
          <t>New York, N.Y., U.S.A. : Viking, 1998.</t>
        </is>
      </c>
      <c r="M429" t="inlineStr">
        <is>
          <t>1998</t>
        </is>
      </c>
      <c r="O429" t="inlineStr">
        <is>
          <t>eng</t>
        </is>
      </c>
      <c r="P429" t="inlineStr">
        <is>
          <t>nyu</t>
        </is>
      </c>
      <c r="R429" t="inlineStr">
        <is>
          <t xml:space="preserve">HT </t>
        </is>
      </c>
      <c r="S429" t="n">
        <v>5</v>
      </c>
      <c r="T429" t="n">
        <v>5</v>
      </c>
      <c r="U429" t="inlineStr">
        <is>
          <t>2005-12-12</t>
        </is>
      </c>
      <c r="V429" t="inlineStr">
        <is>
          <t>2005-12-12</t>
        </is>
      </c>
      <c r="W429" t="inlineStr">
        <is>
          <t>1998-05-19</t>
        </is>
      </c>
      <c r="X429" t="inlineStr">
        <is>
          <t>1998-05-19</t>
        </is>
      </c>
      <c r="Y429" t="n">
        <v>1086</v>
      </c>
      <c r="Z429" t="n">
        <v>1025</v>
      </c>
      <c r="AA429" t="n">
        <v>1142</v>
      </c>
      <c r="AB429" t="n">
        <v>6</v>
      </c>
      <c r="AC429" t="n">
        <v>6</v>
      </c>
      <c r="AD429" t="n">
        <v>31</v>
      </c>
      <c r="AE429" t="n">
        <v>34</v>
      </c>
      <c r="AF429" t="n">
        <v>12</v>
      </c>
      <c r="AG429" t="n">
        <v>15</v>
      </c>
      <c r="AH429" t="n">
        <v>6</v>
      </c>
      <c r="AI429" t="n">
        <v>6</v>
      </c>
      <c r="AJ429" t="n">
        <v>16</v>
      </c>
      <c r="AK429" t="n">
        <v>17</v>
      </c>
      <c r="AL429" t="n">
        <v>3</v>
      </c>
      <c r="AM429" t="n">
        <v>3</v>
      </c>
      <c r="AN429" t="n">
        <v>0</v>
      </c>
      <c r="AO429" t="n">
        <v>0</v>
      </c>
      <c r="AP429" t="inlineStr">
        <is>
          <t>No</t>
        </is>
      </c>
      <c r="AQ429" t="inlineStr">
        <is>
          <t>No</t>
        </is>
      </c>
      <c r="AS429">
        <f>HYPERLINK("https://creighton-primo.hosted.exlibrisgroup.com/primo-explore/search?tab=default_tab&amp;search_scope=EVERYTHING&amp;vid=01CRU&amp;lang=en_US&amp;offset=0&amp;query=any,contains,991002848409702656","Catalog Record")</f>
        <v/>
      </c>
      <c r="AT429">
        <f>HYPERLINK("http://www.worldcat.org/oclc/37533968","WorldCat Record")</f>
        <v/>
      </c>
      <c r="AU429" t="inlineStr">
        <is>
          <t>327359784:eng</t>
        </is>
      </c>
      <c r="AV429" t="inlineStr">
        <is>
          <t>37533968</t>
        </is>
      </c>
      <c r="AW429" t="inlineStr">
        <is>
          <t>991002848409702656</t>
        </is>
      </c>
      <c r="AX429" t="inlineStr">
        <is>
          <t>991002848409702656</t>
        </is>
      </c>
      <c r="AY429" t="inlineStr">
        <is>
          <t>2261138100002656</t>
        </is>
      </c>
      <c r="AZ429" t="inlineStr">
        <is>
          <t>BOOK</t>
        </is>
      </c>
      <c r="BB429" t="inlineStr">
        <is>
          <t>9780670876778</t>
        </is>
      </c>
      <c r="BC429" t="inlineStr">
        <is>
          <t>32285003410122</t>
        </is>
      </c>
      <c r="BD429" t="inlineStr">
        <is>
          <t>893415724</t>
        </is>
      </c>
    </row>
    <row r="430">
      <c r="A430" t="inlineStr">
        <is>
          <t>No</t>
        </is>
      </c>
      <c r="B430" t="inlineStr">
        <is>
          <t>HT720 .B3</t>
        </is>
      </c>
      <c r="C430" t="inlineStr">
        <is>
          <t>0                      HT 0720000B  3</t>
        </is>
      </c>
      <c r="D430" t="inlineStr">
        <is>
          <t>Caste in changing India / [by] A. P. Barnabas &amp; Subhash C. Mehta.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Barnabas, A. P.</t>
        </is>
      </c>
      <c r="L430" t="inlineStr">
        <is>
          <t>New Delhi : Indian Institute of Public Administration, [1965]</t>
        </is>
      </c>
      <c r="M430" t="inlineStr">
        <is>
          <t>1965</t>
        </is>
      </c>
      <c r="O430" t="inlineStr">
        <is>
          <t>eng</t>
        </is>
      </c>
      <c r="P430" t="inlineStr">
        <is>
          <t xml:space="preserve">ii </t>
        </is>
      </c>
      <c r="R430" t="inlineStr">
        <is>
          <t xml:space="preserve">HT </t>
        </is>
      </c>
      <c r="S430" t="n">
        <v>30</v>
      </c>
      <c r="T430" t="n">
        <v>30</v>
      </c>
      <c r="U430" t="inlineStr">
        <is>
          <t>2002-11-24</t>
        </is>
      </c>
      <c r="V430" t="inlineStr">
        <is>
          <t>2002-11-24</t>
        </is>
      </c>
      <c r="W430" t="inlineStr">
        <is>
          <t>1994-05-04</t>
        </is>
      </c>
      <c r="X430" t="inlineStr">
        <is>
          <t>1994-05-04</t>
        </is>
      </c>
      <c r="Y430" t="n">
        <v>166</v>
      </c>
      <c r="Z430" t="n">
        <v>153</v>
      </c>
      <c r="AA430" t="n">
        <v>261</v>
      </c>
      <c r="AB430" t="n">
        <v>3</v>
      </c>
      <c r="AC430" t="n">
        <v>3</v>
      </c>
      <c r="AD430" t="n">
        <v>9</v>
      </c>
      <c r="AE430" t="n">
        <v>13</v>
      </c>
      <c r="AF430" t="n">
        <v>1</v>
      </c>
      <c r="AG430" t="n">
        <v>2</v>
      </c>
      <c r="AH430" t="n">
        <v>5</v>
      </c>
      <c r="AI430" t="n">
        <v>5</v>
      </c>
      <c r="AJ430" t="n">
        <v>4</v>
      </c>
      <c r="AK430" t="n">
        <v>8</v>
      </c>
      <c r="AL430" t="n">
        <v>2</v>
      </c>
      <c r="AM430" t="n">
        <v>2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HYPERLINK("http://catalog.hathitrust.org/Record/001250022","HathiTrust Record")</f>
        <v/>
      </c>
      <c r="AS430">
        <f>HYPERLINK("https://creighton-primo.hosted.exlibrisgroup.com/primo-explore/search?tab=default_tab&amp;search_scope=EVERYTHING&amp;vid=01CRU&amp;lang=en_US&amp;offset=0&amp;query=any,contains,991005075449702656","Catalog Record")</f>
        <v/>
      </c>
      <c r="AT430">
        <f>HYPERLINK("http://www.worldcat.org/oclc/7107380","WorldCat Record")</f>
        <v/>
      </c>
      <c r="AU430" t="inlineStr">
        <is>
          <t>1922073:eng</t>
        </is>
      </c>
      <c r="AV430" t="inlineStr">
        <is>
          <t>7107380</t>
        </is>
      </c>
      <c r="AW430" t="inlineStr">
        <is>
          <t>991005075449702656</t>
        </is>
      </c>
      <c r="AX430" t="inlineStr">
        <is>
          <t>991005075449702656</t>
        </is>
      </c>
      <c r="AY430" t="inlineStr">
        <is>
          <t>2260692790002656</t>
        </is>
      </c>
      <c r="AZ430" t="inlineStr">
        <is>
          <t>BOOK</t>
        </is>
      </c>
      <c r="BC430" t="inlineStr">
        <is>
          <t>32285001906642</t>
        </is>
      </c>
      <c r="BD430" t="inlineStr">
        <is>
          <t>893619405</t>
        </is>
      </c>
    </row>
    <row r="431">
      <c r="A431" t="inlineStr">
        <is>
          <t>No</t>
        </is>
      </c>
      <c r="B431" t="inlineStr">
        <is>
          <t>HT720 .B47 1969</t>
        </is>
      </c>
      <c r="C431" t="inlineStr">
        <is>
          <t>0                      HT 0720000B  47          1969</t>
        </is>
      </c>
      <c r="D431" t="inlineStr">
        <is>
          <t>Castes, old and new : essays in social structure and social stratification.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Béteille, André.</t>
        </is>
      </c>
      <c r="L431" t="inlineStr">
        <is>
          <t>Bombay ; New York : Asia Pub. House, [1969]</t>
        </is>
      </c>
      <c r="M431" t="inlineStr">
        <is>
          <t>1969</t>
        </is>
      </c>
      <c r="O431" t="inlineStr">
        <is>
          <t>eng</t>
        </is>
      </c>
      <c r="P431" t="inlineStr">
        <is>
          <t xml:space="preserve">ii </t>
        </is>
      </c>
      <c r="R431" t="inlineStr">
        <is>
          <t xml:space="preserve">HT </t>
        </is>
      </c>
      <c r="S431" t="n">
        <v>22</v>
      </c>
      <c r="T431" t="n">
        <v>22</v>
      </c>
      <c r="U431" t="inlineStr">
        <is>
          <t>1997-08-10</t>
        </is>
      </c>
      <c r="V431" t="inlineStr">
        <is>
          <t>1997-08-10</t>
        </is>
      </c>
      <c r="W431" t="inlineStr">
        <is>
          <t>1994-05-04</t>
        </is>
      </c>
      <c r="X431" t="inlineStr">
        <is>
          <t>1994-05-04</t>
        </is>
      </c>
      <c r="Y431" t="n">
        <v>337</v>
      </c>
      <c r="Z431" t="n">
        <v>247</v>
      </c>
      <c r="AA431" t="n">
        <v>272</v>
      </c>
      <c r="AB431" t="n">
        <v>2</v>
      </c>
      <c r="AC431" t="n">
        <v>2</v>
      </c>
      <c r="AD431" t="n">
        <v>10</v>
      </c>
      <c r="AE431" t="n">
        <v>13</v>
      </c>
      <c r="AF431" t="n">
        <v>2</v>
      </c>
      <c r="AG431" t="n">
        <v>3</v>
      </c>
      <c r="AH431" t="n">
        <v>3</v>
      </c>
      <c r="AI431" t="n">
        <v>5</v>
      </c>
      <c r="AJ431" t="n">
        <v>7</v>
      </c>
      <c r="AK431" t="n">
        <v>7</v>
      </c>
      <c r="AL431" t="n">
        <v>1</v>
      </c>
      <c r="AM431" t="n">
        <v>1</v>
      </c>
      <c r="AN431" t="n">
        <v>0</v>
      </c>
      <c r="AO431" t="n">
        <v>1</v>
      </c>
      <c r="AP431" t="inlineStr">
        <is>
          <t>No</t>
        </is>
      </c>
      <c r="AQ431" t="inlineStr">
        <is>
          <t>Yes</t>
        </is>
      </c>
      <c r="AR431">
        <f>HYPERLINK("http://catalog.hathitrust.org/Record/001130733","HathiTrust Record")</f>
        <v/>
      </c>
      <c r="AS431">
        <f>HYPERLINK("https://creighton-primo.hosted.exlibrisgroup.com/primo-explore/search?tab=default_tab&amp;search_scope=EVERYTHING&amp;vid=01CRU&amp;lang=en_US&amp;offset=0&amp;query=any,contains,991000147349702656","Catalog Record")</f>
        <v/>
      </c>
      <c r="AT431">
        <f>HYPERLINK("http://www.worldcat.org/oclc/59225","WorldCat Record")</f>
        <v/>
      </c>
      <c r="AU431" t="inlineStr">
        <is>
          <t>1198973:eng</t>
        </is>
      </c>
      <c r="AV431" t="inlineStr">
        <is>
          <t>59225</t>
        </is>
      </c>
      <c r="AW431" t="inlineStr">
        <is>
          <t>991000147349702656</t>
        </is>
      </c>
      <c r="AX431" t="inlineStr">
        <is>
          <t>991000147349702656</t>
        </is>
      </c>
      <c r="AY431" t="inlineStr">
        <is>
          <t>2260579050002656</t>
        </is>
      </c>
      <c r="AZ431" t="inlineStr">
        <is>
          <t>BOOK</t>
        </is>
      </c>
      <c r="BB431" t="inlineStr">
        <is>
          <t>9780210222034</t>
        </is>
      </c>
      <c r="BC431" t="inlineStr">
        <is>
          <t>32285001906634</t>
        </is>
      </c>
      <c r="BD431" t="inlineStr">
        <is>
          <t>893890459</t>
        </is>
      </c>
    </row>
    <row r="432">
      <c r="A432" t="inlineStr">
        <is>
          <t>No</t>
        </is>
      </c>
      <c r="B432" t="inlineStr">
        <is>
          <t>HT720 .D813 1980</t>
        </is>
      </c>
      <c r="C432" t="inlineStr">
        <is>
          <t>0                      HT 0720000D  813         1980</t>
        </is>
      </c>
      <c r="D432" t="inlineStr">
        <is>
          <t>Homo hierarchicus : the caste system and its implications / Louis Dumont ; translated [from the French] by Mark Sainsbury, Louis Dumont, and Basia Gulati.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Dumont, Louis, 1911-1998.</t>
        </is>
      </c>
      <c r="L432" t="inlineStr">
        <is>
          <t>Chicago : University of Chicago Press, 1980.</t>
        </is>
      </c>
      <c r="M432" t="inlineStr">
        <is>
          <t>1980</t>
        </is>
      </c>
      <c r="N432" t="inlineStr">
        <is>
          <t>Complete rev. English ed.</t>
        </is>
      </c>
      <c r="O432" t="inlineStr">
        <is>
          <t>eng</t>
        </is>
      </c>
      <c r="P432" t="inlineStr">
        <is>
          <t>ilu</t>
        </is>
      </c>
      <c r="R432" t="inlineStr">
        <is>
          <t xml:space="preserve">HT </t>
        </is>
      </c>
      <c r="S432" t="n">
        <v>21</v>
      </c>
      <c r="T432" t="n">
        <v>21</v>
      </c>
      <c r="U432" t="inlineStr">
        <is>
          <t>2000-10-12</t>
        </is>
      </c>
      <c r="V432" t="inlineStr">
        <is>
          <t>2000-10-12</t>
        </is>
      </c>
      <c r="W432" t="inlineStr">
        <is>
          <t>1990-04-25</t>
        </is>
      </c>
      <c r="X432" t="inlineStr">
        <is>
          <t>1990-04-25</t>
        </is>
      </c>
      <c r="Y432" t="n">
        <v>548</v>
      </c>
      <c r="Z432" t="n">
        <v>390</v>
      </c>
      <c r="AA432" t="n">
        <v>462</v>
      </c>
      <c r="AB432" t="n">
        <v>3</v>
      </c>
      <c r="AC432" t="n">
        <v>3</v>
      </c>
      <c r="AD432" t="n">
        <v>19</v>
      </c>
      <c r="AE432" t="n">
        <v>23</v>
      </c>
      <c r="AF432" t="n">
        <v>9</v>
      </c>
      <c r="AG432" t="n">
        <v>10</v>
      </c>
      <c r="AH432" t="n">
        <v>4</v>
      </c>
      <c r="AI432" t="n">
        <v>7</v>
      </c>
      <c r="AJ432" t="n">
        <v>11</v>
      </c>
      <c r="AK432" t="n">
        <v>14</v>
      </c>
      <c r="AL432" t="n">
        <v>2</v>
      </c>
      <c r="AM432" t="n">
        <v>2</v>
      </c>
      <c r="AN432" t="n">
        <v>0</v>
      </c>
      <c r="AO432" t="n">
        <v>0</v>
      </c>
      <c r="AP432" t="inlineStr">
        <is>
          <t>No</t>
        </is>
      </c>
      <c r="AQ432" t="inlineStr">
        <is>
          <t>No</t>
        </is>
      </c>
      <c r="AS432">
        <f>HYPERLINK("https://creighton-primo.hosted.exlibrisgroup.com/primo-explore/search?tab=default_tab&amp;search_scope=EVERYTHING&amp;vid=01CRU&amp;lang=en_US&amp;offset=0&amp;query=any,contains,991004961359702656","Catalog Record")</f>
        <v/>
      </c>
      <c r="AT432">
        <f>HYPERLINK("http://www.worldcat.org/oclc/6305219","WorldCat Record")</f>
        <v/>
      </c>
      <c r="AU432" t="inlineStr">
        <is>
          <t>58700425:eng</t>
        </is>
      </c>
      <c r="AV432" t="inlineStr">
        <is>
          <t>6305219</t>
        </is>
      </c>
      <c r="AW432" t="inlineStr">
        <is>
          <t>991004961359702656</t>
        </is>
      </c>
      <c r="AX432" t="inlineStr">
        <is>
          <t>991004961359702656</t>
        </is>
      </c>
      <c r="AY432" t="inlineStr">
        <is>
          <t>2259133990002656</t>
        </is>
      </c>
      <c r="AZ432" t="inlineStr">
        <is>
          <t>BOOK</t>
        </is>
      </c>
      <c r="BB432" t="inlineStr">
        <is>
          <t>9780226169620</t>
        </is>
      </c>
      <c r="BC432" t="inlineStr">
        <is>
          <t>32285000133115</t>
        </is>
      </c>
      <c r="BD432" t="inlineStr">
        <is>
          <t>893606640</t>
        </is>
      </c>
    </row>
    <row r="433">
      <c r="A433" t="inlineStr">
        <is>
          <t>No</t>
        </is>
      </c>
      <c r="B433" t="inlineStr">
        <is>
          <t>HT720 .S8</t>
        </is>
      </c>
      <c r="C433" t="inlineStr">
        <is>
          <t>0                      HT 0720000S  8</t>
        </is>
      </c>
      <c r="D433" t="inlineStr">
        <is>
          <t>Structure and change in Indian society / edited by Milton Singer and Bernard S. Cohn.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L433" t="inlineStr">
        <is>
          <t>Chicago : Aldine Pub. Co., [1968]</t>
        </is>
      </c>
      <c r="M433" t="inlineStr">
        <is>
          <t>1968</t>
        </is>
      </c>
      <c r="O433" t="inlineStr">
        <is>
          <t>eng</t>
        </is>
      </c>
      <c r="P433" t="inlineStr">
        <is>
          <t>ilu</t>
        </is>
      </c>
      <c r="Q433" t="inlineStr">
        <is>
          <t>Viking Fund publications in anthropology ; no. 47</t>
        </is>
      </c>
      <c r="R433" t="inlineStr">
        <is>
          <t xml:space="preserve">HT </t>
        </is>
      </c>
      <c r="S433" t="n">
        <v>7</v>
      </c>
      <c r="T433" t="n">
        <v>7</v>
      </c>
      <c r="U433" t="inlineStr">
        <is>
          <t>2000-10-12</t>
        </is>
      </c>
      <c r="V433" t="inlineStr">
        <is>
          <t>2000-10-12</t>
        </is>
      </c>
      <c r="W433" t="inlineStr">
        <is>
          <t>1995-05-09</t>
        </is>
      </c>
      <c r="X433" t="inlineStr">
        <is>
          <t>1995-05-09</t>
        </is>
      </c>
      <c r="Y433" t="n">
        <v>748</v>
      </c>
      <c r="Z433" t="n">
        <v>613</v>
      </c>
      <c r="AA433" t="n">
        <v>678</v>
      </c>
      <c r="AB433" t="n">
        <v>4</v>
      </c>
      <c r="AC433" t="n">
        <v>4</v>
      </c>
      <c r="AD433" t="n">
        <v>23</v>
      </c>
      <c r="AE433" t="n">
        <v>24</v>
      </c>
      <c r="AF433" t="n">
        <v>9</v>
      </c>
      <c r="AG433" t="n">
        <v>9</v>
      </c>
      <c r="AH433" t="n">
        <v>6</v>
      </c>
      <c r="AI433" t="n">
        <v>6</v>
      </c>
      <c r="AJ433" t="n">
        <v>11</v>
      </c>
      <c r="AK433" t="n">
        <v>12</v>
      </c>
      <c r="AL433" t="n">
        <v>3</v>
      </c>
      <c r="AM433" t="n">
        <v>3</v>
      </c>
      <c r="AN433" t="n">
        <v>0</v>
      </c>
      <c r="AO433" t="n">
        <v>0</v>
      </c>
      <c r="AP433" t="inlineStr">
        <is>
          <t>No</t>
        </is>
      </c>
      <c r="AQ433" t="inlineStr">
        <is>
          <t>Yes</t>
        </is>
      </c>
      <c r="AR433">
        <f>HYPERLINK("http://catalog.hathitrust.org/Record/001130748","HathiTrust Record")</f>
        <v/>
      </c>
      <c r="AS433">
        <f>HYPERLINK("https://creighton-primo.hosted.exlibrisgroup.com/primo-explore/search?tab=default_tab&amp;search_scope=EVERYTHING&amp;vid=01CRU&amp;lang=en_US&amp;offset=0&amp;query=any,contains,991005431069702656","Catalog Record")</f>
        <v/>
      </c>
      <c r="AT433">
        <f>HYPERLINK("http://www.worldcat.org/oclc/183","WorldCat Record")</f>
        <v/>
      </c>
      <c r="AU433" t="inlineStr">
        <is>
          <t>4919247159:eng</t>
        </is>
      </c>
      <c r="AV433" t="inlineStr">
        <is>
          <t>183</t>
        </is>
      </c>
      <c r="AW433" t="inlineStr">
        <is>
          <t>991005431069702656</t>
        </is>
      </c>
      <c r="AX433" t="inlineStr">
        <is>
          <t>991005431069702656</t>
        </is>
      </c>
      <c r="AY433" t="inlineStr">
        <is>
          <t>2272819810002656</t>
        </is>
      </c>
      <c r="AZ433" t="inlineStr">
        <is>
          <t>BOOK</t>
        </is>
      </c>
      <c r="BC433" t="inlineStr">
        <is>
          <t>32285002032943</t>
        </is>
      </c>
      <c r="BD433" t="inlineStr">
        <is>
          <t>893802300</t>
        </is>
      </c>
    </row>
    <row r="434">
      <c r="A434" t="inlineStr">
        <is>
          <t>No</t>
        </is>
      </c>
      <c r="B434" t="inlineStr">
        <is>
          <t>HT725.J3 D4</t>
        </is>
      </c>
      <c r="C434" t="inlineStr">
        <is>
          <t>0                      HT 0725000J  3                  D  4</t>
        </is>
      </c>
      <c r="D434" t="inlineStr">
        <is>
          <t>Japan's invisible race; caste in culture and personality [by] George De Vos and Hiroshi Wagatsuma. [Contributors: Gerald Berman, and others]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K434" t="inlineStr">
        <is>
          <t>De Vos, George A.</t>
        </is>
      </c>
      <c r="L434" t="inlineStr">
        <is>
          <t>Berkeley, University of California Press, 1966.</t>
        </is>
      </c>
      <c r="M434" t="inlineStr">
        <is>
          <t>1966</t>
        </is>
      </c>
      <c r="O434" t="inlineStr">
        <is>
          <t>eng</t>
        </is>
      </c>
      <c r="P434" t="inlineStr">
        <is>
          <t>cau</t>
        </is>
      </c>
      <c r="R434" t="inlineStr">
        <is>
          <t xml:space="preserve">HT </t>
        </is>
      </c>
      <c r="S434" t="n">
        <v>2</v>
      </c>
      <c r="T434" t="n">
        <v>2</v>
      </c>
      <c r="U434" t="inlineStr">
        <is>
          <t>2005-11-20</t>
        </is>
      </c>
      <c r="V434" t="inlineStr">
        <is>
          <t>2005-11-20</t>
        </is>
      </c>
      <c r="W434" t="inlineStr">
        <is>
          <t>1997-08-19</t>
        </is>
      </c>
      <c r="X434" t="inlineStr">
        <is>
          <t>1997-08-19</t>
        </is>
      </c>
      <c r="Y434" t="n">
        <v>818</v>
      </c>
      <c r="Z434" t="n">
        <v>680</v>
      </c>
      <c r="AA434" t="n">
        <v>745</v>
      </c>
      <c r="AB434" t="n">
        <v>3</v>
      </c>
      <c r="AC434" t="n">
        <v>3</v>
      </c>
      <c r="AD434" t="n">
        <v>23</v>
      </c>
      <c r="AE434" t="n">
        <v>26</v>
      </c>
      <c r="AF434" t="n">
        <v>7</v>
      </c>
      <c r="AG434" t="n">
        <v>9</v>
      </c>
      <c r="AH434" t="n">
        <v>6</v>
      </c>
      <c r="AI434" t="n">
        <v>6</v>
      </c>
      <c r="AJ434" t="n">
        <v>13</v>
      </c>
      <c r="AK434" t="n">
        <v>14</v>
      </c>
      <c r="AL434" t="n">
        <v>2</v>
      </c>
      <c r="AM434" t="n">
        <v>2</v>
      </c>
      <c r="AN434" t="n">
        <v>1</v>
      </c>
      <c r="AO434" t="n">
        <v>1</v>
      </c>
      <c r="AP434" t="inlineStr">
        <is>
          <t>No</t>
        </is>
      </c>
      <c r="AQ434" t="inlineStr">
        <is>
          <t>No</t>
        </is>
      </c>
      <c r="AS434">
        <f>HYPERLINK("https://creighton-primo.hosted.exlibrisgroup.com/primo-explore/search?tab=default_tab&amp;search_scope=EVERYTHING&amp;vid=01CRU&amp;lang=en_US&amp;offset=0&amp;query=any,contains,991002073599702656","Catalog Record")</f>
        <v/>
      </c>
      <c r="AT434">
        <f>HYPERLINK("http://www.worldcat.org/oclc/263793","WorldCat Record")</f>
        <v/>
      </c>
      <c r="AU434" t="inlineStr">
        <is>
          <t>1378089:eng</t>
        </is>
      </c>
      <c r="AV434" t="inlineStr">
        <is>
          <t>263793</t>
        </is>
      </c>
      <c r="AW434" t="inlineStr">
        <is>
          <t>991002073599702656</t>
        </is>
      </c>
      <c r="AX434" t="inlineStr">
        <is>
          <t>991002073599702656</t>
        </is>
      </c>
      <c r="AY434" t="inlineStr">
        <is>
          <t>2268606080002656</t>
        </is>
      </c>
      <c r="AZ434" t="inlineStr">
        <is>
          <t>BOOK</t>
        </is>
      </c>
      <c r="BC434" t="inlineStr">
        <is>
          <t>32285003148631</t>
        </is>
      </c>
      <c r="BD434" t="inlineStr">
        <is>
          <t>893427175</t>
        </is>
      </c>
    </row>
    <row r="435">
      <c r="A435" t="inlineStr">
        <is>
          <t>No</t>
        </is>
      </c>
      <c r="B435" t="inlineStr">
        <is>
          <t>HT731 .C66 2000</t>
        </is>
      </c>
      <c r="C435" t="inlineStr">
        <is>
          <t>0                      HT 0731000C  66          2000</t>
        </is>
      </c>
      <c r="D435" t="inlineStr">
        <is>
          <t>Beyond slavery : explorations of race, labor, and citizenship in postemancipation societies / Frederick Cooper, Thomas C. Holt, Rebecca J. Scott.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K435" t="inlineStr">
        <is>
          <t>Cooper, Frederick, 1947-</t>
        </is>
      </c>
      <c r="L435" t="inlineStr">
        <is>
          <t>Chapel Hill : University of North Carolina Press, c2000.</t>
        </is>
      </c>
      <c r="M435" t="inlineStr">
        <is>
          <t>2000</t>
        </is>
      </c>
      <c r="O435" t="inlineStr">
        <is>
          <t>eng</t>
        </is>
      </c>
      <c r="P435" t="inlineStr">
        <is>
          <t>ncu</t>
        </is>
      </c>
      <c r="R435" t="inlineStr">
        <is>
          <t xml:space="preserve">HT </t>
        </is>
      </c>
      <c r="S435" t="n">
        <v>2</v>
      </c>
      <c r="T435" t="n">
        <v>2</v>
      </c>
      <c r="U435" t="inlineStr">
        <is>
          <t>2000-11-13</t>
        </is>
      </c>
      <c r="V435" t="inlineStr">
        <is>
          <t>2000-11-13</t>
        </is>
      </c>
      <c r="W435" t="inlineStr">
        <is>
          <t>2000-09-11</t>
        </is>
      </c>
      <c r="X435" t="inlineStr">
        <is>
          <t>2000-09-11</t>
        </is>
      </c>
      <c r="Y435" t="n">
        <v>683</v>
      </c>
      <c r="Z435" t="n">
        <v>568</v>
      </c>
      <c r="AA435" t="n">
        <v>722</v>
      </c>
      <c r="AB435" t="n">
        <v>3</v>
      </c>
      <c r="AC435" t="n">
        <v>4</v>
      </c>
      <c r="AD435" t="n">
        <v>34</v>
      </c>
      <c r="AE435" t="n">
        <v>44</v>
      </c>
      <c r="AF435" t="n">
        <v>15</v>
      </c>
      <c r="AG435" t="n">
        <v>18</v>
      </c>
      <c r="AH435" t="n">
        <v>8</v>
      </c>
      <c r="AI435" t="n">
        <v>10</v>
      </c>
      <c r="AJ435" t="n">
        <v>17</v>
      </c>
      <c r="AK435" t="n">
        <v>18</v>
      </c>
      <c r="AL435" t="n">
        <v>2</v>
      </c>
      <c r="AM435" t="n">
        <v>2</v>
      </c>
      <c r="AN435" t="n">
        <v>1</v>
      </c>
      <c r="AO435" t="n">
        <v>6</v>
      </c>
      <c r="AP435" t="inlineStr">
        <is>
          <t>No</t>
        </is>
      </c>
      <c r="AQ435" t="inlineStr">
        <is>
          <t>No</t>
        </is>
      </c>
      <c r="AS435">
        <f>HYPERLINK("https://creighton-primo.hosted.exlibrisgroup.com/primo-explore/search?tab=default_tab&amp;search_scope=EVERYTHING&amp;vid=01CRU&amp;lang=en_US&amp;offset=0&amp;query=any,contains,991003244159702656","Catalog Record")</f>
        <v/>
      </c>
      <c r="AT435">
        <f>HYPERLINK("http://www.worldcat.org/oclc/42726097","WorldCat Record")</f>
        <v/>
      </c>
      <c r="AU435" t="inlineStr">
        <is>
          <t>197706114:eng</t>
        </is>
      </c>
      <c r="AV435" t="inlineStr">
        <is>
          <t>42726097</t>
        </is>
      </c>
      <c r="AW435" t="inlineStr">
        <is>
          <t>991003244159702656</t>
        </is>
      </c>
      <c r="AX435" t="inlineStr">
        <is>
          <t>991003244159702656</t>
        </is>
      </c>
      <c r="AY435" t="inlineStr">
        <is>
          <t>2262222710002656</t>
        </is>
      </c>
      <c r="AZ435" t="inlineStr">
        <is>
          <t>BOOK</t>
        </is>
      </c>
      <c r="BB435" t="inlineStr">
        <is>
          <t>9780807825419</t>
        </is>
      </c>
      <c r="BC435" t="inlineStr">
        <is>
          <t>32285003760757</t>
        </is>
      </c>
      <c r="BD435" t="inlineStr">
        <is>
          <t>893422341</t>
        </is>
      </c>
    </row>
    <row r="436">
      <c r="A436" t="inlineStr">
        <is>
          <t>No</t>
        </is>
      </c>
      <c r="B436" t="inlineStr">
        <is>
          <t>HT807 .B55</t>
        </is>
      </c>
      <c r="C436" t="inlineStr">
        <is>
          <t>0                      HT 0807000B  55</t>
        </is>
      </c>
      <c r="D436" t="inlineStr">
        <is>
          <t>Lord and peasant in Russia, from the ninth to the nineteenth century.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Blum, Jerome, 1913-1993.</t>
        </is>
      </c>
      <c r="L436" t="inlineStr">
        <is>
          <t>Princeton, N.J., Princeton University Press, 1961.</t>
        </is>
      </c>
      <c r="M436" t="inlineStr">
        <is>
          <t>1961</t>
        </is>
      </c>
      <c r="O436" t="inlineStr">
        <is>
          <t>eng</t>
        </is>
      </c>
      <c r="P436" t="inlineStr">
        <is>
          <t>nju</t>
        </is>
      </c>
      <c r="R436" t="inlineStr">
        <is>
          <t xml:space="preserve">HT </t>
        </is>
      </c>
      <c r="S436" t="n">
        <v>1</v>
      </c>
      <c r="T436" t="n">
        <v>1</v>
      </c>
      <c r="U436" t="inlineStr">
        <is>
          <t>1998-12-03</t>
        </is>
      </c>
      <c r="V436" t="inlineStr">
        <is>
          <t>1998-12-03</t>
        </is>
      </c>
      <c r="W436" t="inlineStr">
        <is>
          <t>1997-08-19</t>
        </is>
      </c>
      <c r="X436" t="inlineStr">
        <is>
          <t>1997-08-19</t>
        </is>
      </c>
      <c r="Y436" t="n">
        <v>1124</v>
      </c>
      <c r="Z436" t="n">
        <v>952</v>
      </c>
      <c r="AA436" t="n">
        <v>1223</v>
      </c>
      <c r="AB436" t="n">
        <v>8</v>
      </c>
      <c r="AC436" t="n">
        <v>12</v>
      </c>
      <c r="AD436" t="n">
        <v>46</v>
      </c>
      <c r="AE436" t="n">
        <v>53</v>
      </c>
      <c r="AF436" t="n">
        <v>21</v>
      </c>
      <c r="AG436" t="n">
        <v>24</v>
      </c>
      <c r="AH436" t="n">
        <v>9</v>
      </c>
      <c r="AI436" t="n">
        <v>11</v>
      </c>
      <c r="AJ436" t="n">
        <v>21</v>
      </c>
      <c r="AK436" t="n">
        <v>22</v>
      </c>
      <c r="AL436" t="n">
        <v>7</v>
      </c>
      <c r="AM436" t="n">
        <v>9</v>
      </c>
      <c r="AN436" t="n">
        <v>0</v>
      </c>
      <c r="AO436" t="n">
        <v>0</v>
      </c>
      <c r="AP436" t="inlineStr">
        <is>
          <t>No</t>
        </is>
      </c>
      <c r="AQ436" t="inlineStr">
        <is>
          <t>Yes</t>
        </is>
      </c>
      <c r="AR436">
        <f>HYPERLINK("http://catalog.hathitrust.org/Record/001130759","HathiTrust Record")</f>
        <v/>
      </c>
      <c r="AS436">
        <f>HYPERLINK("https://creighton-primo.hosted.exlibrisgroup.com/primo-explore/search?tab=default_tab&amp;search_scope=EVERYTHING&amp;vid=01CRU&amp;lang=en_US&amp;offset=0&amp;query=any,contains,991002051379702656","Catalog Record")</f>
        <v/>
      </c>
      <c r="AT436">
        <f>HYPERLINK("http://www.worldcat.org/oclc/261803","WorldCat Record")</f>
        <v/>
      </c>
      <c r="AU436" t="inlineStr">
        <is>
          <t>4917500886:eng</t>
        </is>
      </c>
      <c r="AV436" t="inlineStr">
        <is>
          <t>261803</t>
        </is>
      </c>
      <c r="AW436" t="inlineStr">
        <is>
          <t>991002051379702656</t>
        </is>
      </c>
      <c r="AX436" t="inlineStr">
        <is>
          <t>991002051379702656</t>
        </is>
      </c>
      <c r="AY436" t="inlineStr">
        <is>
          <t>2266692760002656</t>
        </is>
      </c>
      <c r="AZ436" t="inlineStr">
        <is>
          <t>BOOK</t>
        </is>
      </c>
      <c r="BC436" t="inlineStr">
        <is>
          <t>32285003148649</t>
        </is>
      </c>
      <c r="BD436" t="inlineStr">
        <is>
          <t>893773161</t>
        </is>
      </c>
    </row>
    <row r="437">
      <c r="A437" t="inlineStr">
        <is>
          <t>No</t>
        </is>
      </c>
      <c r="B437" t="inlineStr">
        <is>
          <t>HT807 .Z313</t>
        </is>
      </c>
      <c r="C437" t="inlineStr">
        <is>
          <t>0                      HT 0807000Z  313</t>
        </is>
      </c>
      <c r="D437" t="inlineStr">
        <is>
          <t>The abolition of serfdom in Russia / Peter A. Zaionchovsky ; edited and translated by Susan Wobst ; introduction by Terence Emmons. --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Zaĭonchkovskiĭ, P. A. (Petr Andreevich)</t>
        </is>
      </c>
      <c r="L437" t="inlineStr">
        <is>
          <t>Gulf Breeze, Fla. : Academic International Press, 1978.</t>
        </is>
      </c>
      <c r="M437" t="inlineStr">
        <is>
          <t>1978</t>
        </is>
      </c>
      <c r="O437" t="inlineStr">
        <is>
          <t>eng</t>
        </is>
      </c>
      <c r="P437" t="inlineStr">
        <is>
          <t>flu</t>
        </is>
      </c>
      <c r="R437" t="inlineStr">
        <is>
          <t xml:space="preserve">HT </t>
        </is>
      </c>
      <c r="S437" t="n">
        <v>5</v>
      </c>
      <c r="T437" t="n">
        <v>5</v>
      </c>
      <c r="U437" t="inlineStr">
        <is>
          <t>1997-06-23</t>
        </is>
      </c>
      <c r="V437" t="inlineStr">
        <is>
          <t>1997-06-23</t>
        </is>
      </c>
      <c r="W437" t="inlineStr">
        <is>
          <t>1993-05-11</t>
        </is>
      </c>
      <c r="X437" t="inlineStr">
        <is>
          <t>1993-05-11</t>
        </is>
      </c>
      <c r="Y437" t="n">
        <v>30</v>
      </c>
      <c r="Z437" t="n">
        <v>26</v>
      </c>
      <c r="AA437" t="n">
        <v>370</v>
      </c>
      <c r="AB437" t="n">
        <v>1</v>
      </c>
      <c r="AC437" t="n">
        <v>2</v>
      </c>
      <c r="AD437" t="n">
        <v>0</v>
      </c>
      <c r="AE437" t="n">
        <v>27</v>
      </c>
      <c r="AF437" t="n">
        <v>0</v>
      </c>
      <c r="AG437" t="n">
        <v>11</v>
      </c>
      <c r="AH437" t="n">
        <v>0</v>
      </c>
      <c r="AI437" t="n">
        <v>9</v>
      </c>
      <c r="AJ437" t="n">
        <v>0</v>
      </c>
      <c r="AK437" t="n">
        <v>15</v>
      </c>
      <c r="AL437" t="n">
        <v>0</v>
      </c>
      <c r="AM437" t="n">
        <v>1</v>
      </c>
      <c r="AN437" t="n">
        <v>0</v>
      </c>
      <c r="AO437" t="n">
        <v>0</v>
      </c>
      <c r="AP437" t="inlineStr">
        <is>
          <t>No</t>
        </is>
      </c>
      <c r="AQ437" t="inlineStr">
        <is>
          <t>No</t>
        </is>
      </c>
      <c r="AS437">
        <f>HYPERLINK("https://creighton-primo.hosted.exlibrisgroup.com/primo-explore/search?tab=default_tab&amp;search_scope=EVERYTHING&amp;vid=01CRU&amp;lang=en_US&amp;offset=0&amp;query=any,contains,991004505449702656","Catalog Record")</f>
        <v/>
      </c>
      <c r="AT437">
        <f>HYPERLINK("http://www.worldcat.org/oclc/3732556","WorldCat Record")</f>
        <v/>
      </c>
      <c r="AU437" t="inlineStr">
        <is>
          <t>532121:eng</t>
        </is>
      </c>
      <c r="AV437" t="inlineStr">
        <is>
          <t>3732556</t>
        </is>
      </c>
      <c r="AW437" t="inlineStr">
        <is>
          <t>991004505449702656</t>
        </is>
      </c>
      <c r="AX437" t="inlineStr">
        <is>
          <t>991004505449702656</t>
        </is>
      </c>
      <c r="AY437" t="inlineStr">
        <is>
          <t>2267543120002656</t>
        </is>
      </c>
      <c r="AZ437" t="inlineStr">
        <is>
          <t>BOOK</t>
        </is>
      </c>
      <c r="BB437" t="inlineStr">
        <is>
          <t>9780875690728</t>
        </is>
      </c>
      <c r="BC437" t="inlineStr">
        <is>
          <t>32285001674877</t>
        </is>
      </c>
      <c r="BD437" t="inlineStr">
        <is>
          <t>893687812</t>
        </is>
      </c>
    </row>
    <row r="438">
      <c r="A438" t="inlineStr">
        <is>
          <t>No</t>
        </is>
      </c>
      <c r="B438" t="inlineStr">
        <is>
          <t>HT855 .I5 1986</t>
        </is>
      </c>
      <c r="C438" t="inlineStr">
        <is>
          <t>0                      HT 0855000I  5           1986</t>
        </is>
      </c>
      <c r="D438" t="inlineStr">
        <is>
          <t>In resistance : studies in African, Caribbean, and Afro-American history / edited by Gary Y. Okihiro.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L438" t="inlineStr">
        <is>
          <t>Amherst : University of Massachusetts, c1986.</t>
        </is>
      </c>
      <c r="M438" t="inlineStr">
        <is>
          <t>1986</t>
        </is>
      </c>
      <c r="O438" t="inlineStr">
        <is>
          <t>eng</t>
        </is>
      </c>
      <c r="P438" t="inlineStr">
        <is>
          <t>mau</t>
        </is>
      </c>
      <c r="R438" t="inlineStr">
        <is>
          <t xml:space="preserve">HT </t>
        </is>
      </c>
      <c r="S438" t="n">
        <v>2</v>
      </c>
      <c r="T438" t="n">
        <v>2</v>
      </c>
      <c r="U438" t="inlineStr">
        <is>
          <t>2003-01-10</t>
        </is>
      </c>
      <c r="V438" t="inlineStr">
        <is>
          <t>2003-01-10</t>
        </is>
      </c>
      <c r="W438" t="inlineStr">
        <is>
          <t>1993-05-11</t>
        </is>
      </c>
      <c r="X438" t="inlineStr">
        <is>
          <t>1993-05-11</t>
        </is>
      </c>
      <c r="Y438" t="n">
        <v>633</v>
      </c>
      <c r="Z438" t="n">
        <v>566</v>
      </c>
      <c r="AA438" t="n">
        <v>582</v>
      </c>
      <c r="AB438" t="n">
        <v>3</v>
      </c>
      <c r="AC438" t="n">
        <v>3</v>
      </c>
      <c r="AD438" t="n">
        <v>19</v>
      </c>
      <c r="AE438" t="n">
        <v>20</v>
      </c>
      <c r="AF438" t="n">
        <v>5</v>
      </c>
      <c r="AG438" t="n">
        <v>6</v>
      </c>
      <c r="AH438" t="n">
        <v>5</v>
      </c>
      <c r="AI438" t="n">
        <v>5</v>
      </c>
      <c r="AJ438" t="n">
        <v>12</v>
      </c>
      <c r="AK438" t="n">
        <v>12</v>
      </c>
      <c r="AL438" t="n">
        <v>2</v>
      </c>
      <c r="AM438" t="n">
        <v>2</v>
      </c>
      <c r="AN438" t="n">
        <v>0</v>
      </c>
      <c r="AO438" t="n">
        <v>0</v>
      </c>
      <c r="AP438" t="inlineStr">
        <is>
          <t>No</t>
        </is>
      </c>
      <c r="AQ438" t="inlineStr">
        <is>
          <t>Yes</t>
        </is>
      </c>
      <c r="AR438">
        <f>HYPERLINK("http://catalog.hathitrust.org/Record/000446692","HathiTrust Record")</f>
        <v/>
      </c>
      <c r="AS438">
        <f>HYPERLINK("https://creighton-primo.hosted.exlibrisgroup.com/primo-explore/search?tab=default_tab&amp;search_scope=EVERYTHING&amp;vid=01CRU&amp;lang=en_US&amp;offset=0&amp;query=any,contains,991000876749702656","Catalog Record")</f>
        <v/>
      </c>
      <c r="AT438">
        <f>HYPERLINK("http://www.worldcat.org/oclc/13813921","WorldCat Record")</f>
        <v/>
      </c>
      <c r="AU438" t="inlineStr">
        <is>
          <t>836705931:eng</t>
        </is>
      </c>
      <c r="AV438" t="inlineStr">
        <is>
          <t>13813921</t>
        </is>
      </c>
      <c r="AW438" t="inlineStr">
        <is>
          <t>991000876749702656</t>
        </is>
      </c>
      <c r="AX438" t="inlineStr">
        <is>
          <t>991000876749702656</t>
        </is>
      </c>
      <c r="AY438" t="inlineStr">
        <is>
          <t>2267306920002656</t>
        </is>
      </c>
      <c r="AZ438" t="inlineStr">
        <is>
          <t>BOOK</t>
        </is>
      </c>
      <c r="BB438" t="inlineStr">
        <is>
          <t>9780870235207</t>
        </is>
      </c>
      <c r="BC438" t="inlineStr">
        <is>
          <t>32285001674893</t>
        </is>
      </c>
      <c r="BD438" t="inlineStr">
        <is>
          <t>893714976</t>
        </is>
      </c>
    </row>
    <row r="439">
      <c r="A439" t="inlineStr">
        <is>
          <t>No</t>
        </is>
      </c>
      <c r="B439" t="inlineStr">
        <is>
          <t>HT861 .C6 1969</t>
        </is>
      </c>
      <c r="C439" t="inlineStr">
        <is>
          <t>0                      HT 0861000C  6           1969</t>
        </is>
      </c>
      <c r="D439" t="inlineStr">
        <is>
          <t>An historical sketch of slavery, from the earliest periods / Philadelphia, T. &amp; J. W. Johnson, 1858.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K439" t="inlineStr">
        <is>
          <t>Cobb, Thomas Read Rootes, 1823-1862.</t>
        </is>
      </c>
      <c r="L439" t="inlineStr">
        <is>
          <t>Detroit : Negro History Press, [1969?]</t>
        </is>
      </c>
      <c r="M439" t="inlineStr">
        <is>
          <t>1969</t>
        </is>
      </c>
      <c r="O439" t="inlineStr">
        <is>
          <t>eng</t>
        </is>
      </c>
      <c r="P439" t="inlineStr">
        <is>
          <t>miu</t>
        </is>
      </c>
      <c r="R439" t="inlineStr">
        <is>
          <t xml:space="preserve">HT </t>
        </is>
      </c>
      <c r="S439" t="n">
        <v>1</v>
      </c>
      <c r="T439" t="n">
        <v>1</v>
      </c>
      <c r="U439" t="inlineStr">
        <is>
          <t>1993-01-26</t>
        </is>
      </c>
      <c r="V439" t="inlineStr">
        <is>
          <t>1993-01-26</t>
        </is>
      </c>
      <c r="W439" t="inlineStr">
        <is>
          <t>1992-12-18</t>
        </is>
      </c>
      <c r="X439" t="inlineStr">
        <is>
          <t>1992-12-18</t>
        </is>
      </c>
      <c r="Y439" t="n">
        <v>162</v>
      </c>
      <c r="Z439" t="n">
        <v>156</v>
      </c>
      <c r="AA439" t="n">
        <v>461</v>
      </c>
      <c r="AB439" t="n">
        <v>3</v>
      </c>
      <c r="AC439" t="n">
        <v>4</v>
      </c>
      <c r="AD439" t="n">
        <v>6</v>
      </c>
      <c r="AE439" t="n">
        <v>18</v>
      </c>
      <c r="AF439" t="n">
        <v>0</v>
      </c>
      <c r="AG439" t="n">
        <v>5</v>
      </c>
      <c r="AH439" t="n">
        <v>2</v>
      </c>
      <c r="AI439" t="n">
        <v>4</v>
      </c>
      <c r="AJ439" t="n">
        <v>3</v>
      </c>
      <c r="AK439" t="n">
        <v>4</v>
      </c>
      <c r="AL439" t="n">
        <v>2</v>
      </c>
      <c r="AM439" t="n">
        <v>2</v>
      </c>
      <c r="AN439" t="n">
        <v>0</v>
      </c>
      <c r="AO439" t="n">
        <v>5</v>
      </c>
      <c r="AP439" t="inlineStr">
        <is>
          <t>Yes</t>
        </is>
      </c>
      <c r="AQ439" t="inlineStr">
        <is>
          <t>No</t>
        </is>
      </c>
      <c r="AR439">
        <f>HYPERLINK("http://catalog.hathitrust.org/Record/007073945","HathiTrust Record")</f>
        <v/>
      </c>
      <c r="AS439">
        <f>HYPERLINK("https://creighton-primo.hosted.exlibrisgroup.com/primo-explore/search?tab=default_tab&amp;search_scope=EVERYTHING&amp;vid=01CRU&amp;lang=en_US&amp;offset=0&amp;query=any,contains,991000106759702656","Catalog Record")</f>
        <v/>
      </c>
      <c r="AT439">
        <f>HYPERLINK("http://www.worldcat.org/oclc/46681","WorldCat Record")</f>
        <v/>
      </c>
      <c r="AU439" t="inlineStr">
        <is>
          <t>1215050:eng</t>
        </is>
      </c>
      <c r="AV439" t="inlineStr">
        <is>
          <t>46681</t>
        </is>
      </c>
      <c r="AW439" t="inlineStr">
        <is>
          <t>991000106759702656</t>
        </is>
      </c>
      <c r="AX439" t="inlineStr">
        <is>
          <t>991000106759702656</t>
        </is>
      </c>
      <c r="AY439" t="inlineStr">
        <is>
          <t>2262026550002656</t>
        </is>
      </c>
      <c r="AZ439" t="inlineStr">
        <is>
          <t>BOOK</t>
        </is>
      </c>
      <c r="BC439" t="inlineStr">
        <is>
          <t>32285001444149</t>
        </is>
      </c>
      <c r="BD439" t="inlineStr">
        <is>
          <t>893796416</t>
        </is>
      </c>
    </row>
    <row r="440">
      <c r="A440" t="inlineStr">
        <is>
          <t>No</t>
        </is>
      </c>
      <c r="B440" t="inlineStr">
        <is>
          <t>HT861 .M44 1993</t>
        </is>
      </c>
      <c r="C440" t="inlineStr">
        <is>
          <t>0                      HT 0861000M  44          1993</t>
        </is>
      </c>
      <c r="D440" t="inlineStr">
        <is>
          <t>Slavery : a world history / Milton Meltzer.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Meltzer, Milton, 1915-2009.</t>
        </is>
      </c>
      <c r="L440" t="inlineStr">
        <is>
          <t>New York : Da Capo, 1993.</t>
        </is>
      </c>
      <c r="M440" t="inlineStr">
        <is>
          <t>1993</t>
        </is>
      </c>
      <c r="N440" t="inlineStr">
        <is>
          <t>1st Da Capo Press ed.</t>
        </is>
      </c>
      <c r="O440" t="inlineStr">
        <is>
          <t>eng</t>
        </is>
      </c>
      <c r="P440" t="inlineStr">
        <is>
          <t>nyu</t>
        </is>
      </c>
      <c r="R440" t="inlineStr">
        <is>
          <t xml:space="preserve">HT </t>
        </is>
      </c>
      <c r="S440" t="n">
        <v>5</v>
      </c>
      <c r="T440" t="n">
        <v>5</v>
      </c>
      <c r="U440" t="inlineStr">
        <is>
          <t>2004-04-02</t>
        </is>
      </c>
      <c r="V440" t="inlineStr">
        <is>
          <t>2004-04-02</t>
        </is>
      </c>
      <c r="W440" t="inlineStr">
        <is>
          <t>1999-10-04</t>
        </is>
      </c>
      <c r="X440" t="inlineStr">
        <is>
          <t>1999-10-04</t>
        </is>
      </c>
      <c r="Y440" t="n">
        <v>726</v>
      </c>
      <c r="Z440" t="n">
        <v>651</v>
      </c>
      <c r="AA440" t="n">
        <v>660</v>
      </c>
      <c r="AB440" t="n">
        <v>6</v>
      </c>
      <c r="AC440" t="n">
        <v>6</v>
      </c>
      <c r="AD440" t="n">
        <v>20</v>
      </c>
      <c r="AE440" t="n">
        <v>20</v>
      </c>
      <c r="AF440" t="n">
        <v>8</v>
      </c>
      <c r="AG440" t="n">
        <v>8</v>
      </c>
      <c r="AH440" t="n">
        <v>5</v>
      </c>
      <c r="AI440" t="n">
        <v>5</v>
      </c>
      <c r="AJ440" t="n">
        <v>11</v>
      </c>
      <c r="AK440" t="n">
        <v>11</v>
      </c>
      <c r="AL440" t="n">
        <v>3</v>
      </c>
      <c r="AM440" t="n">
        <v>3</v>
      </c>
      <c r="AN440" t="n">
        <v>0</v>
      </c>
      <c r="AO440" t="n">
        <v>0</v>
      </c>
      <c r="AP440" t="inlineStr">
        <is>
          <t>No</t>
        </is>
      </c>
      <c r="AQ440" t="inlineStr">
        <is>
          <t>No</t>
        </is>
      </c>
      <c r="AS440">
        <f>HYPERLINK("https://creighton-primo.hosted.exlibrisgroup.com/primo-explore/search?tab=default_tab&amp;search_scope=EVERYTHING&amp;vid=01CRU&amp;lang=en_US&amp;offset=0&amp;query=any,contains,991002202389702656","Catalog Record")</f>
        <v/>
      </c>
      <c r="AT440">
        <f>HYPERLINK("http://www.worldcat.org/oclc/28334776","WorldCat Record")</f>
        <v/>
      </c>
      <c r="AU440" t="inlineStr">
        <is>
          <t>891148078:eng</t>
        </is>
      </c>
      <c r="AV440" t="inlineStr">
        <is>
          <t>28334776</t>
        </is>
      </c>
      <c r="AW440" t="inlineStr">
        <is>
          <t>991002202389702656</t>
        </is>
      </c>
      <c r="AX440" t="inlineStr">
        <is>
          <t>991002202389702656</t>
        </is>
      </c>
      <c r="AY440" t="inlineStr">
        <is>
          <t>2260139870002656</t>
        </is>
      </c>
      <c r="AZ440" t="inlineStr">
        <is>
          <t>BOOK</t>
        </is>
      </c>
      <c r="BB440" t="inlineStr">
        <is>
          <t>9780306805363</t>
        </is>
      </c>
      <c r="BC440" t="inlineStr">
        <is>
          <t>32285003592168</t>
        </is>
      </c>
      <c r="BD440" t="inlineStr">
        <is>
          <t>893497828</t>
        </is>
      </c>
    </row>
    <row r="441">
      <c r="A441" t="inlineStr">
        <is>
          <t>No</t>
        </is>
      </c>
      <c r="B441" t="inlineStr">
        <is>
          <t>HT861 .T87 2000</t>
        </is>
      </c>
      <c r="C441" t="inlineStr">
        <is>
          <t>0                      HT 0861000T  87          2000</t>
        </is>
      </c>
      <c r="D441" t="inlineStr">
        <is>
          <t>Slavery / David Turley.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Turley, David, 1941-</t>
        </is>
      </c>
      <c r="L441" t="inlineStr">
        <is>
          <t>Oxford, UK : Malden, Mass., USA : Blackwell, 2000.</t>
        </is>
      </c>
      <c r="M441" t="inlineStr">
        <is>
          <t>2000</t>
        </is>
      </c>
      <c r="O441" t="inlineStr">
        <is>
          <t>eng</t>
        </is>
      </c>
      <c r="P441" t="inlineStr">
        <is>
          <t>enk</t>
        </is>
      </c>
      <c r="Q441" t="inlineStr">
        <is>
          <t>New perspectives on the past</t>
        </is>
      </c>
      <c r="R441" t="inlineStr">
        <is>
          <t xml:space="preserve">HT </t>
        </is>
      </c>
      <c r="S441" t="n">
        <v>4</v>
      </c>
      <c r="T441" t="n">
        <v>4</v>
      </c>
      <c r="U441" t="inlineStr">
        <is>
          <t>2001-05-16</t>
        </is>
      </c>
      <c r="V441" t="inlineStr">
        <is>
          <t>2001-05-16</t>
        </is>
      </c>
      <c r="W441" t="inlineStr">
        <is>
          <t>2001-03-26</t>
        </is>
      </c>
      <c r="X441" t="inlineStr">
        <is>
          <t>2001-03-26</t>
        </is>
      </c>
      <c r="Y441" t="n">
        <v>615</v>
      </c>
      <c r="Z441" t="n">
        <v>475</v>
      </c>
      <c r="AA441" t="n">
        <v>475</v>
      </c>
      <c r="AB441" t="n">
        <v>5</v>
      </c>
      <c r="AC441" t="n">
        <v>5</v>
      </c>
      <c r="AD441" t="n">
        <v>24</v>
      </c>
      <c r="AE441" t="n">
        <v>24</v>
      </c>
      <c r="AF441" t="n">
        <v>8</v>
      </c>
      <c r="AG441" t="n">
        <v>8</v>
      </c>
      <c r="AH441" t="n">
        <v>6</v>
      </c>
      <c r="AI441" t="n">
        <v>6</v>
      </c>
      <c r="AJ441" t="n">
        <v>13</v>
      </c>
      <c r="AK441" t="n">
        <v>13</v>
      </c>
      <c r="AL441" t="n">
        <v>4</v>
      </c>
      <c r="AM441" t="n">
        <v>4</v>
      </c>
      <c r="AN441" t="n">
        <v>0</v>
      </c>
      <c r="AO441" t="n">
        <v>0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HYPERLINK("https://creighton-primo.hosted.exlibrisgroup.com/primo-explore/search?tab=default_tab&amp;search_scope=EVERYTHING&amp;vid=01CRU&amp;lang=en_US&amp;offset=0&amp;query=any,contains,991003498459702656","Catalog Record")</f>
        <v/>
      </c>
      <c r="AT441">
        <f>HYPERLINK("http://www.worldcat.org/oclc/44837798","WorldCat Record")</f>
        <v/>
      </c>
      <c r="AU441" t="inlineStr">
        <is>
          <t>566110:eng</t>
        </is>
      </c>
      <c r="AV441" t="inlineStr">
        <is>
          <t>44837798</t>
        </is>
      </c>
      <c r="AW441" t="inlineStr">
        <is>
          <t>991003498459702656</t>
        </is>
      </c>
      <c r="AX441" t="inlineStr">
        <is>
          <t>991003498459702656</t>
        </is>
      </c>
      <c r="AY441" t="inlineStr">
        <is>
          <t>2272223240002656</t>
        </is>
      </c>
      <c r="AZ441" t="inlineStr">
        <is>
          <t>BOOK</t>
        </is>
      </c>
      <c r="BB441" t="inlineStr">
        <is>
          <t>9780631167297</t>
        </is>
      </c>
      <c r="BC441" t="inlineStr">
        <is>
          <t>32285004307111</t>
        </is>
      </c>
      <c r="BD441" t="inlineStr">
        <is>
          <t>893686596</t>
        </is>
      </c>
    </row>
    <row r="442">
      <c r="A442" t="inlineStr">
        <is>
          <t>No</t>
        </is>
      </c>
      <c r="B442" t="inlineStr">
        <is>
          <t>HT863 .B3 1968</t>
        </is>
      </c>
      <c r="C442" t="inlineStr">
        <is>
          <t>0                      HT 0863000B  3           1968</t>
        </is>
      </c>
      <c r="D442" t="inlineStr">
        <is>
          <t>Slavery in the Roman Empire / by R. H. Barrow.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Barrow, R. H. (Reginald Haynes), 1893-1984.</t>
        </is>
      </c>
      <c r="L442" t="inlineStr">
        <is>
          <t>New York : Barnes &amp; Noble, [1968]</t>
        </is>
      </c>
      <c r="M442" t="inlineStr">
        <is>
          <t>1968</t>
        </is>
      </c>
      <c r="O442" t="inlineStr">
        <is>
          <t>eng</t>
        </is>
      </c>
      <c r="P442" t="inlineStr">
        <is>
          <t>nyu</t>
        </is>
      </c>
      <c r="R442" t="inlineStr">
        <is>
          <t xml:space="preserve">HT </t>
        </is>
      </c>
      <c r="S442" t="n">
        <v>5</v>
      </c>
      <c r="T442" t="n">
        <v>5</v>
      </c>
      <c r="U442" t="inlineStr">
        <is>
          <t>2008-04-21</t>
        </is>
      </c>
      <c r="V442" t="inlineStr">
        <is>
          <t>2008-04-21</t>
        </is>
      </c>
      <c r="W442" t="inlineStr">
        <is>
          <t>1992-11-04</t>
        </is>
      </c>
      <c r="X442" t="inlineStr">
        <is>
          <t>1992-11-04</t>
        </is>
      </c>
      <c r="Y442" t="n">
        <v>411</v>
      </c>
      <c r="Z442" t="n">
        <v>368</v>
      </c>
      <c r="AA442" t="n">
        <v>586</v>
      </c>
      <c r="AB442" t="n">
        <v>2</v>
      </c>
      <c r="AC442" t="n">
        <v>3</v>
      </c>
      <c r="AD442" t="n">
        <v>22</v>
      </c>
      <c r="AE442" t="n">
        <v>32</v>
      </c>
      <c r="AF442" t="n">
        <v>11</v>
      </c>
      <c r="AG442" t="n">
        <v>15</v>
      </c>
      <c r="AH442" t="n">
        <v>5</v>
      </c>
      <c r="AI442" t="n">
        <v>7</v>
      </c>
      <c r="AJ442" t="n">
        <v>12</v>
      </c>
      <c r="AK442" t="n">
        <v>18</v>
      </c>
      <c r="AL442" t="n">
        <v>1</v>
      </c>
      <c r="AM442" t="n">
        <v>2</v>
      </c>
      <c r="AN442" t="n">
        <v>0</v>
      </c>
      <c r="AO442" t="n">
        <v>0</v>
      </c>
      <c r="AP442" t="inlineStr">
        <is>
          <t>No</t>
        </is>
      </c>
      <c r="AQ442" t="inlineStr">
        <is>
          <t>No</t>
        </is>
      </c>
      <c r="AS442">
        <f>HYPERLINK("https://creighton-primo.hosted.exlibrisgroup.com/primo-explore/search?tab=default_tab&amp;search_scope=EVERYTHING&amp;vid=01CRU&amp;lang=en_US&amp;offset=0&amp;query=any,contains,991002766269702656","Catalog Record")</f>
        <v/>
      </c>
      <c r="AT442">
        <f>HYPERLINK("http://www.worldcat.org/oclc/434445","WorldCat Record")</f>
        <v/>
      </c>
      <c r="AU442" t="inlineStr">
        <is>
          <t>1549779:eng</t>
        </is>
      </c>
      <c r="AV442" t="inlineStr">
        <is>
          <t>434445</t>
        </is>
      </c>
      <c r="AW442" t="inlineStr">
        <is>
          <t>991002766269702656</t>
        </is>
      </c>
      <c r="AX442" t="inlineStr">
        <is>
          <t>991002766269702656</t>
        </is>
      </c>
      <c r="AY442" t="inlineStr">
        <is>
          <t>2267154230002656</t>
        </is>
      </c>
      <c r="AZ442" t="inlineStr">
        <is>
          <t>BOOK</t>
        </is>
      </c>
      <c r="BC442" t="inlineStr">
        <is>
          <t>32285001381457</t>
        </is>
      </c>
      <c r="BD442" t="inlineStr">
        <is>
          <t>893239458</t>
        </is>
      </c>
    </row>
    <row r="443">
      <c r="A443" t="inlineStr">
        <is>
          <t>No</t>
        </is>
      </c>
      <c r="B443" t="inlineStr">
        <is>
          <t>HT863 .C59 1987</t>
        </is>
      </c>
      <c r="C443" t="inlineStr">
        <is>
          <t>0                      HT 0863000C  59          1987</t>
        </is>
      </c>
      <c r="D443" t="inlineStr">
        <is>
          <t>Classical slavery / edited by M.I. Finley.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L443" t="inlineStr">
        <is>
          <t>Totowa, N.J. : F. Cass, c1987.</t>
        </is>
      </c>
      <c r="M443" t="inlineStr">
        <is>
          <t>1987</t>
        </is>
      </c>
      <c r="O443" t="inlineStr">
        <is>
          <t>eng</t>
        </is>
      </c>
      <c r="P443" t="inlineStr">
        <is>
          <t>nju</t>
        </is>
      </c>
      <c r="R443" t="inlineStr">
        <is>
          <t xml:space="preserve">HT </t>
        </is>
      </c>
      <c r="S443" t="n">
        <v>9</v>
      </c>
      <c r="T443" t="n">
        <v>9</v>
      </c>
      <c r="U443" t="inlineStr">
        <is>
          <t>2008-04-21</t>
        </is>
      </c>
      <c r="V443" t="inlineStr">
        <is>
          <t>2008-04-21</t>
        </is>
      </c>
      <c r="W443" t="inlineStr">
        <is>
          <t>1993-02-19</t>
        </is>
      </c>
      <c r="X443" t="inlineStr">
        <is>
          <t>1993-02-19</t>
        </is>
      </c>
      <c r="Y443" t="n">
        <v>322</v>
      </c>
      <c r="Z443" t="n">
        <v>219</v>
      </c>
      <c r="AA443" t="n">
        <v>310</v>
      </c>
      <c r="AB443" t="n">
        <v>1</v>
      </c>
      <c r="AC443" t="n">
        <v>2</v>
      </c>
      <c r="AD443" t="n">
        <v>15</v>
      </c>
      <c r="AE443" t="n">
        <v>17</v>
      </c>
      <c r="AF443" t="n">
        <v>5</v>
      </c>
      <c r="AG443" t="n">
        <v>5</v>
      </c>
      <c r="AH443" t="n">
        <v>7</v>
      </c>
      <c r="AI443" t="n">
        <v>7</v>
      </c>
      <c r="AJ443" t="n">
        <v>9</v>
      </c>
      <c r="AK443" t="n">
        <v>9</v>
      </c>
      <c r="AL443" t="n">
        <v>0</v>
      </c>
      <c r="AM443" t="n">
        <v>1</v>
      </c>
      <c r="AN443" t="n">
        <v>0</v>
      </c>
      <c r="AO443" t="n">
        <v>1</v>
      </c>
      <c r="AP443" t="inlineStr">
        <is>
          <t>No</t>
        </is>
      </c>
      <c r="AQ443" t="inlineStr">
        <is>
          <t>No</t>
        </is>
      </c>
      <c r="AS443">
        <f>HYPERLINK("https://creighton-primo.hosted.exlibrisgroup.com/primo-explore/search?tab=default_tab&amp;search_scope=EVERYTHING&amp;vid=01CRU&amp;lang=en_US&amp;offset=0&amp;query=any,contains,991001033089702656","Catalog Record")</f>
        <v/>
      </c>
      <c r="AT443">
        <f>HYPERLINK("http://www.worldcat.org/oclc/15520672","WorldCat Record")</f>
        <v/>
      </c>
      <c r="AU443" t="inlineStr">
        <is>
          <t>57575826:eng</t>
        </is>
      </c>
      <c r="AV443" t="inlineStr">
        <is>
          <t>15520672</t>
        </is>
      </c>
      <c r="AW443" t="inlineStr">
        <is>
          <t>991001033089702656</t>
        </is>
      </c>
      <c r="AX443" t="inlineStr">
        <is>
          <t>991001033089702656</t>
        </is>
      </c>
      <c r="AY443" t="inlineStr">
        <is>
          <t>2268956170002656</t>
        </is>
      </c>
      <c r="AZ443" t="inlineStr">
        <is>
          <t>BOOK</t>
        </is>
      </c>
      <c r="BB443" t="inlineStr">
        <is>
          <t>9780714633206</t>
        </is>
      </c>
      <c r="BC443" t="inlineStr">
        <is>
          <t>32285001503142</t>
        </is>
      </c>
      <c r="BD443" t="inlineStr">
        <is>
          <t>893231646</t>
        </is>
      </c>
    </row>
    <row r="444">
      <c r="A444" t="inlineStr">
        <is>
          <t>No</t>
        </is>
      </c>
      <c r="B444" t="inlineStr">
        <is>
          <t>HT865 .B5713 1975</t>
        </is>
      </c>
      <c r="C444" t="inlineStr">
        <is>
          <t>0                      HT 0865000B  5713        1975</t>
        </is>
      </c>
      <c r="D444" t="inlineStr">
        <is>
          <t>Slavery and serfdom in the Middle Ages : selected essays / by Marc Bloch ; translated by William R. Beer.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Yes</t>
        </is>
      </c>
      <c r="J444" t="inlineStr">
        <is>
          <t>0</t>
        </is>
      </c>
      <c r="K444" t="inlineStr">
        <is>
          <t>Bloch, Marc, 1886-1944.</t>
        </is>
      </c>
      <c r="L444" t="inlineStr">
        <is>
          <t>Berkeley : University of California Press, 1975.</t>
        </is>
      </c>
      <c r="M444" t="inlineStr">
        <is>
          <t>1975</t>
        </is>
      </c>
      <c r="O444" t="inlineStr">
        <is>
          <t>eng</t>
        </is>
      </c>
      <c r="P444" t="inlineStr">
        <is>
          <t>cau</t>
        </is>
      </c>
      <c r="Q444" t="inlineStr">
        <is>
          <t>Publications of the Center for Medieval and Renaissance Studies, UCLA ; 8</t>
        </is>
      </c>
      <c r="R444" t="inlineStr">
        <is>
          <t xml:space="preserve">HT </t>
        </is>
      </c>
      <c r="S444" t="n">
        <v>3</v>
      </c>
      <c r="T444" t="n">
        <v>3</v>
      </c>
      <c r="U444" t="inlineStr">
        <is>
          <t>2000-04-24</t>
        </is>
      </c>
      <c r="V444" t="inlineStr">
        <is>
          <t>2000-04-24</t>
        </is>
      </c>
      <c r="W444" t="inlineStr">
        <is>
          <t>1997-08-19</t>
        </is>
      </c>
      <c r="X444" t="inlineStr">
        <is>
          <t>1997-08-19</t>
        </is>
      </c>
      <c r="Y444" t="n">
        <v>699</v>
      </c>
      <c r="Z444" t="n">
        <v>572</v>
      </c>
      <c r="AA444" t="n">
        <v>903</v>
      </c>
      <c r="AB444" t="n">
        <v>5</v>
      </c>
      <c r="AC444" t="n">
        <v>7</v>
      </c>
      <c r="AD444" t="n">
        <v>28</v>
      </c>
      <c r="AE444" t="n">
        <v>41</v>
      </c>
      <c r="AF444" t="n">
        <v>8</v>
      </c>
      <c r="AG444" t="n">
        <v>16</v>
      </c>
      <c r="AH444" t="n">
        <v>8</v>
      </c>
      <c r="AI444" t="n">
        <v>9</v>
      </c>
      <c r="AJ444" t="n">
        <v>15</v>
      </c>
      <c r="AK444" t="n">
        <v>20</v>
      </c>
      <c r="AL444" t="n">
        <v>4</v>
      </c>
      <c r="AM444" t="n">
        <v>6</v>
      </c>
      <c r="AN444" t="n">
        <v>0</v>
      </c>
      <c r="AO444" t="n">
        <v>0</v>
      </c>
      <c r="AP444" t="inlineStr">
        <is>
          <t>No</t>
        </is>
      </c>
      <c r="AQ444" t="inlineStr">
        <is>
          <t>No</t>
        </is>
      </c>
      <c r="AS444">
        <f>HYPERLINK("https://creighton-primo.hosted.exlibrisgroup.com/primo-explore/search?tab=default_tab&amp;search_scope=EVERYTHING&amp;vid=01CRU&amp;lang=en_US&amp;offset=0&amp;query=any,contains,991003861449702656","Catalog Record")</f>
        <v/>
      </c>
      <c r="AT444">
        <f>HYPERLINK("http://www.worldcat.org/oclc/1667236","WorldCat Record")</f>
        <v/>
      </c>
      <c r="AU444" t="inlineStr">
        <is>
          <t>6924513:eng</t>
        </is>
      </c>
      <c r="AV444" t="inlineStr">
        <is>
          <t>1667236</t>
        </is>
      </c>
      <c r="AW444" t="inlineStr">
        <is>
          <t>991003861449702656</t>
        </is>
      </c>
      <c r="AX444" t="inlineStr">
        <is>
          <t>991003861449702656</t>
        </is>
      </c>
      <c r="AY444" t="inlineStr">
        <is>
          <t>2271926350002656</t>
        </is>
      </c>
      <c r="AZ444" t="inlineStr">
        <is>
          <t>BOOK</t>
        </is>
      </c>
      <c r="BB444" t="inlineStr">
        <is>
          <t>9780520027671</t>
        </is>
      </c>
      <c r="BC444" t="inlineStr">
        <is>
          <t>32285003148672</t>
        </is>
      </c>
      <c r="BD444" t="inlineStr">
        <is>
          <t>893687048</t>
        </is>
      </c>
    </row>
    <row r="445">
      <c r="A445" t="inlineStr">
        <is>
          <t>No</t>
        </is>
      </c>
      <c r="B445" t="inlineStr">
        <is>
          <t>HT867 .B87 2000</t>
        </is>
      </c>
      <c r="C445" t="inlineStr">
        <is>
          <t>0                      HT 0867000B  87          2000</t>
        </is>
      </c>
      <c r="D445" t="inlineStr">
        <is>
          <t>Servitude in modern times / M.L. Bush.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K445" t="inlineStr">
        <is>
          <t>Bush, M. L.</t>
        </is>
      </c>
      <c r="L445" t="inlineStr">
        <is>
          <t>Cambridge, UK : Polity Press ; Malden, MA : Blackwell PUblishers, 2000.</t>
        </is>
      </c>
      <c r="M445" t="inlineStr">
        <is>
          <t>2000</t>
        </is>
      </c>
      <c r="O445" t="inlineStr">
        <is>
          <t>eng</t>
        </is>
      </c>
      <c r="P445" t="inlineStr">
        <is>
          <t>enk</t>
        </is>
      </c>
      <c r="Q445" t="inlineStr">
        <is>
          <t>Themes in history</t>
        </is>
      </c>
      <c r="R445" t="inlineStr">
        <is>
          <t xml:space="preserve">HT </t>
        </is>
      </c>
      <c r="S445" t="n">
        <v>2</v>
      </c>
      <c r="T445" t="n">
        <v>2</v>
      </c>
      <c r="U445" t="inlineStr">
        <is>
          <t>2005-11-29</t>
        </is>
      </c>
      <c r="V445" t="inlineStr">
        <is>
          <t>2005-11-29</t>
        </is>
      </c>
      <c r="W445" t="inlineStr">
        <is>
          <t>2001-10-29</t>
        </is>
      </c>
      <c r="X445" t="inlineStr">
        <is>
          <t>2001-10-29</t>
        </is>
      </c>
      <c r="Y445" t="n">
        <v>366</v>
      </c>
      <c r="Z445" t="n">
        <v>268</v>
      </c>
      <c r="AA445" t="n">
        <v>268</v>
      </c>
      <c r="AB445" t="n">
        <v>3</v>
      </c>
      <c r="AC445" t="n">
        <v>3</v>
      </c>
      <c r="AD445" t="n">
        <v>14</v>
      </c>
      <c r="AE445" t="n">
        <v>14</v>
      </c>
      <c r="AF445" t="n">
        <v>6</v>
      </c>
      <c r="AG445" t="n">
        <v>6</v>
      </c>
      <c r="AH445" t="n">
        <v>5</v>
      </c>
      <c r="AI445" t="n">
        <v>5</v>
      </c>
      <c r="AJ445" t="n">
        <v>6</v>
      </c>
      <c r="AK445" t="n">
        <v>6</v>
      </c>
      <c r="AL445" t="n">
        <v>2</v>
      </c>
      <c r="AM445" t="n">
        <v>2</v>
      </c>
      <c r="AN445" t="n">
        <v>0</v>
      </c>
      <c r="AO445" t="n">
        <v>0</v>
      </c>
      <c r="AP445" t="inlineStr">
        <is>
          <t>No</t>
        </is>
      </c>
      <c r="AQ445" t="inlineStr">
        <is>
          <t>No</t>
        </is>
      </c>
      <c r="AS445">
        <f>HYPERLINK("https://creighton-primo.hosted.exlibrisgroup.com/primo-explore/search?tab=default_tab&amp;search_scope=EVERYTHING&amp;vid=01CRU&amp;lang=en_US&amp;offset=0&amp;query=any,contains,991003645539702656","Catalog Record")</f>
        <v/>
      </c>
      <c r="AT445">
        <f>HYPERLINK("http://www.worldcat.org/oclc/43707099","WorldCat Record")</f>
        <v/>
      </c>
      <c r="AU445" t="inlineStr">
        <is>
          <t>943614:eng</t>
        </is>
      </c>
      <c r="AV445" t="inlineStr">
        <is>
          <t>43707099</t>
        </is>
      </c>
      <c r="AW445" t="inlineStr">
        <is>
          <t>991003645539702656</t>
        </is>
      </c>
      <c r="AX445" t="inlineStr">
        <is>
          <t>991003645539702656</t>
        </is>
      </c>
      <c r="AY445" t="inlineStr">
        <is>
          <t>2268890900002656</t>
        </is>
      </c>
      <c r="AZ445" t="inlineStr">
        <is>
          <t>BOOK</t>
        </is>
      </c>
      <c r="BB445" t="inlineStr">
        <is>
          <t>9780745617299</t>
        </is>
      </c>
      <c r="BC445" t="inlineStr">
        <is>
          <t>32285004415880</t>
        </is>
      </c>
      <c r="BD445" t="inlineStr">
        <is>
          <t>893705458</t>
        </is>
      </c>
    </row>
    <row r="446">
      <c r="A446" t="inlineStr">
        <is>
          <t>No</t>
        </is>
      </c>
      <c r="B446" t="inlineStr">
        <is>
          <t>HT871 .A8</t>
        </is>
      </c>
      <c r="C446" t="inlineStr">
        <is>
          <t>0                      HT 0871000A  8</t>
        </is>
      </c>
      <c r="D446" t="inlineStr">
        <is>
          <t>The theory of natural slavery according to Aristotle and St. Thomas / by Winston Ashley, M.A.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K446" t="inlineStr">
        <is>
          <t>Ashley, Winston Norman, 1915-</t>
        </is>
      </c>
      <c r="M446" t="inlineStr">
        <is>
          <t>1941</t>
        </is>
      </c>
      <c r="O446" t="inlineStr">
        <is>
          <t>eng</t>
        </is>
      </c>
      <c r="P446" t="inlineStr">
        <is>
          <t>inu</t>
        </is>
      </c>
      <c r="R446" t="inlineStr">
        <is>
          <t xml:space="preserve">HT </t>
        </is>
      </c>
      <c r="S446" t="n">
        <v>5</v>
      </c>
      <c r="T446" t="n">
        <v>5</v>
      </c>
      <c r="U446" t="inlineStr">
        <is>
          <t>2002-11-07</t>
        </is>
      </c>
      <c r="V446" t="inlineStr">
        <is>
          <t>2002-11-07</t>
        </is>
      </c>
      <c r="W446" t="inlineStr">
        <is>
          <t>1991-12-13</t>
        </is>
      </c>
      <c r="X446" t="inlineStr">
        <is>
          <t>1991-12-13</t>
        </is>
      </c>
      <c r="Y446" t="n">
        <v>66</v>
      </c>
      <c r="Z446" t="n">
        <v>62</v>
      </c>
      <c r="AA446" t="n">
        <v>64</v>
      </c>
      <c r="AB446" t="n">
        <v>2</v>
      </c>
      <c r="AC446" t="n">
        <v>2</v>
      </c>
      <c r="AD446" t="n">
        <v>10</v>
      </c>
      <c r="AE446" t="n">
        <v>10</v>
      </c>
      <c r="AF446" t="n">
        <v>4</v>
      </c>
      <c r="AG446" t="n">
        <v>4</v>
      </c>
      <c r="AH446" t="n">
        <v>3</v>
      </c>
      <c r="AI446" t="n">
        <v>3</v>
      </c>
      <c r="AJ446" t="n">
        <v>6</v>
      </c>
      <c r="AK446" t="n">
        <v>6</v>
      </c>
      <c r="AL446" t="n">
        <v>1</v>
      </c>
      <c r="AM446" t="n">
        <v>1</v>
      </c>
      <c r="AN446" t="n">
        <v>0</v>
      </c>
      <c r="AO446" t="n">
        <v>0</v>
      </c>
      <c r="AP446" t="inlineStr">
        <is>
          <t>No</t>
        </is>
      </c>
      <c r="AQ446" t="inlineStr">
        <is>
          <t>No</t>
        </is>
      </c>
      <c r="AR446">
        <f>HYPERLINK("http://catalog.hathitrust.org/Record/001380981","HathiTrust Record")</f>
        <v/>
      </c>
      <c r="AS446">
        <f>HYPERLINK("https://creighton-primo.hosted.exlibrisgroup.com/primo-explore/search?tab=default_tab&amp;search_scope=EVERYTHING&amp;vid=01CRU&amp;lang=en_US&amp;offset=0&amp;query=any,contains,991004232859702656","Catalog Record")</f>
        <v/>
      </c>
      <c r="AT446">
        <f>HYPERLINK("http://www.worldcat.org/oclc/2754755","WorldCat Record")</f>
        <v/>
      </c>
      <c r="AU446" t="inlineStr">
        <is>
          <t>5822952:eng</t>
        </is>
      </c>
      <c r="AV446" t="inlineStr">
        <is>
          <t>2754755</t>
        </is>
      </c>
      <c r="AW446" t="inlineStr">
        <is>
          <t>991004232859702656</t>
        </is>
      </c>
      <c r="AX446" t="inlineStr">
        <is>
          <t>991004232859702656</t>
        </is>
      </c>
      <c r="AY446" t="inlineStr">
        <is>
          <t>2263893270002656</t>
        </is>
      </c>
      <c r="AZ446" t="inlineStr">
        <is>
          <t>BOOK</t>
        </is>
      </c>
      <c r="BC446" t="inlineStr">
        <is>
          <t>32285000877059</t>
        </is>
      </c>
      <c r="BD446" t="inlineStr">
        <is>
          <t>893718663</t>
        </is>
      </c>
    </row>
    <row r="447">
      <c r="A447" t="inlineStr">
        <is>
          <t>No</t>
        </is>
      </c>
      <c r="B447" t="inlineStr">
        <is>
          <t>HT871 .D3</t>
        </is>
      </c>
      <c r="C447" t="inlineStr">
        <is>
          <t>0                      HT 0871000D  3</t>
        </is>
      </c>
      <c r="D447" t="inlineStr">
        <is>
          <t>The problem of slavery in Western culture.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K447" t="inlineStr">
        <is>
          <t>Davis, David Brion.</t>
        </is>
      </c>
      <c r="L447" t="inlineStr">
        <is>
          <t>Ithaca, N.Y. : Cornell University Press, [1966]</t>
        </is>
      </c>
      <c r="M447" t="inlineStr">
        <is>
          <t>1966</t>
        </is>
      </c>
      <c r="O447" t="inlineStr">
        <is>
          <t>eng</t>
        </is>
      </c>
      <c r="P447" t="inlineStr">
        <is>
          <t>nyu</t>
        </is>
      </c>
      <c r="R447" t="inlineStr">
        <is>
          <t xml:space="preserve">HT </t>
        </is>
      </c>
      <c r="S447" t="n">
        <v>8</v>
      </c>
      <c r="T447" t="n">
        <v>8</v>
      </c>
      <c r="U447" t="inlineStr">
        <is>
          <t>2002-11-07</t>
        </is>
      </c>
      <c r="V447" t="inlineStr">
        <is>
          <t>2002-11-07</t>
        </is>
      </c>
      <c r="W447" t="inlineStr">
        <is>
          <t>1995-02-24</t>
        </is>
      </c>
      <c r="X447" t="inlineStr">
        <is>
          <t>1995-02-24</t>
        </is>
      </c>
      <c r="Y447" t="n">
        <v>1874</v>
      </c>
      <c r="Z447" t="n">
        <v>1660</v>
      </c>
      <c r="AA447" t="n">
        <v>1934</v>
      </c>
      <c r="AB447" t="n">
        <v>14</v>
      </c>
      <c r="AC447" t="n">
        <v>14</v>
      </c>
      <c r="AD447" t="n">
        <v>58</v>
      </c>
      <c r="AE447" t="n">
        <v>63</v>
      </c>
      <c r="AF447" t="n">
        <v>25</v>
      </c>
      <c r="AG447" t="n">
        <v>27</v>
      </c>
      <c r="AH447" t="n">
        <v>10</v>
      </c>
      <c r="AI447" t="n">
        <v>11</v>
      </c>
      <c r="AJ447" t="n">
        <v>23</v>
      </c>
      <c r="AK447" t="n">
        <v>26</v>
      </c>
      <c r="AL447" t="n">
        <v>11</v>
      </c>
      <c r="AM447" t="n">
        <v>11</v>
      </c>
      <c r="AN447" t="n">
        <v>2</v>
      </c>
      <c r="AO447" t="n">
        <v>2</v>
      </c>
      <c r="AP447" t="inlineStr">
        <is>
          <t>No</t>
        </is>
      </c>
      <c r="AQ447" t="inlineStr">
        <is>
          <t>No</t>
        </is>
      </c>
      <c r="AS447">
        <f>HYPERLINK("https://creighton-primo.hosted.exlibrisgroup.com/primo-explore/search?tab=default_tab&amp;search_scope=EVERYTHING&amp;vid=01CRU&amp;lang=en_US&amp;offset=0&amp;query=any,contains,991002051109702656","Catalog Record")</f>
        <v/>
      </c>
      <c r="AT447">
        <f>HYPERLINK("http://www.worldcat.org/oclc/261744","WorldCat Record")</f>
        <v/>
      </c>
      <c r="AU447" t="inlineStr">
        <is>
          <t>1371488:eng</t>
        </is>
      </c>
      <c r="AV447" t="inlineStr">
        <is>
          <t>261744</t>
        </is>
      </c>
      <c r="AW447" t="inlineStr">
        <is>
          <t>991002051109702656</t>
        </is>
      </c>
      <c r="AX447" t="inlineStr">
        <is>
          <t>991002051109702656</t>
        </is>
      </c>
      <c r="AY447" t="inlineStr">
        <is>
          <t>2266671660002656</t>
        </is>
      </c>
      <c r="AZ447" t="inlineStr">
        <is>
          <t>BOOK</t>
        </is>
      </c>
      <c r="BC447" t="inlineStr">
        <is>
          <t>32285002010097</t>
        </is>
      </c>
      <c r="BD447" t="inlineStr">
        <is>
          <t>893873034</t>
        </is>
      </c>
    </row>
    <row r="448">
      <c r="A448" t="inlineStr">
        <is>
          <t>No</t>
        </is>
      </c>
      <c r="B448" t="inlineStr">
        <is>
          <t>HT871 .F69 1983</t>
        </is>
      </c>
      <c r="C448" t="inlineStr">
        <is>
          <t>0                      HT 0871000F  69          1983</t>
        </is>
      </c>
      <c r="D448" t="inlineStr">
        <is>
          <t>Fruits of merchant capital : slavery and bourgeois property in the rise and expansion of capitalism / Elizabeth Fox-Genovese, Eugene D. Genovese.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Fox-Genovese, Elizabeth, 1941-2007.</t>
        </is>
      </c>
      <c r="L448" t="inlineStr">
        <is>
          <t>New York : Oxford University Press, 1983.</t>
        </is>
      </c>
      <c r="M448" t="inlineStr">
        <is>
          <t>1983</t>
        </is>
      </c>
      <c r="O448" t="inlineStr">
        <is>
          <t>eng</t>
        </is>
      </c>
      <c r="P448" t="inlineStr">
        <is>
          <t>nyu</t>
        </is>
      </c>
      <c r="R448" t="inlineStr">
        <is>
          <t xml:space="preserve">HT </t>
        </is>
      </c>
      <c r="S448" t="n">
        <v>3</v>
      </c>
      <c r="T448" t="n">
        <v>3</v>
      </c>
      <c r="U448" t="inlineStr">
        <is>
          <t>1996-07-08</t>
        </is>
      </c>
      <c r="V448" t="inlineStr">
        <is>
          <t>1996-07-08</t>
        </is>
      </c>
      <c r="W448" t="inlineStr">
        <is>
          <t>1993-05-11</t>
        </is>
      </c>
      <c r="X448" t="inlineStr">
        <is>
          <t>1993-05-11</t>
        </is>
      </c>
      <c r="Y448" t="n">
        <v>697</v>
      </c>
      <c r="Z448" t="n">
        <v>572</v>
      </c>
      <c r="AA448" t="n">
        <v>620</v>
      </c>
      <c r="AB448" t="n">
        <v>4</v>
      </c>
      <c r="AC448" t="n">
        <v>5</v>
      </c>
      <c r="AD448" t="n">
        <v>27</v>
      </c>
      <c r="AE448" t="n">
        <v>30</v>
      </c>
      <c r="AF448" t="n">
        <v>10</v>
      </c>
      <c r="AG448" t="n">
        <v>11</v>
      </c>
      <c r="AH448" t="n">
        <v>8</v>
      </c>
      <c r="AI448" t="n">
        <v>9</v>
      </c>
      <c r="AJ448" t="n">
        <v>13</v>
      </c>
      <c r="AK448" t="n">
        <v>14</v>
      </c>
      <c r="AL448" t="n">
        <v>3</v>
      </c>
      <c r="AM448" t="n">
        <v>4</v>
      </c>
      <c r="AN448" t="n">
        <v>0</v>
      </c>
      <c r="AO448" t="n">
        <v>0</v>
      </c>
      <c r="AP448" t="inlineStr">
        <is>
          <t>No</t>
        </is>
      </c>
      <c r="AQ448" t="inlineStr">
        <is>
          <t>No</t>
        </is>
      </c>
      <c r="AS448">
        <f>HYPERLINK("https://creighton-primo.hosted.exlibrisgroup.com/primo-explore/search?tab=default_tab&amp;search_scope=EVERYTHING&amp;vid=01CRU&amp;lang=en_US&amp;offset=0&amp;query=any,contains,991005242959702656","Catalog Record")</f>
        <v/>
      </c>
      <c r="AT448">
        <f>HYPERLINK("http://www.worldcat.org/oclc/8431944","WorldCat Record")</f>
        <v/>
      </c>
      <c r="AU448" t="inlineStr">
        <is>
          <t>198660447:eng</t>
        </is>
      </c>
      <c r="AV448" t="inlineStr">
        <is>
          <t>8431944</t>
        </is>
      </c>
      <c r="AW448" t="inlineStr">
        <is>
          <t>991005242959702656</t>
        </is>
      </c>
      <c r="AX448" t="inlineStr">
        <is>
          <t>991005242959702656</t>
        </is>
      </c>
      <c r="AY448" t="inlineStr">
        <is>
          <t>2261842400002656</t>
        </is>
      </c>
      <c r="AZ448" t="inlineStr">
        <is>
          <t>BOOK</t>
        </is>
      </c>
      <c r="BB448" t="inlineStr">
        <is>
          <t>9780195031577</t>
        </is>
      </c>
      <c r="BC448" t="inlineStr">
        <is>
          <t>32285001674935</t>
        </is>
      </c>
      <c r="BD448" t="inlineStr">
        <is>
          <t>893870747</t>
        </is>
      </c>
    </row>
    <row r="449">
      <c r="A449" t="inlineStr">
        <is>
          <t>No</t>
        </is>
      </c>
      <c r="B449" t="inlineStr">
        <is>
          <t>HT871 .S65 1989</t>
        </is>
      </c>
      <c r="C449" t="inlineStr">
        <is>
          <t>0                      HT 0871000S  65          1989</t>
        </is>
      </c>
      <c r="D449" t="inlineStr">
        <is>
          <t>The dreaded comparison : human and animal slavery / by Marjorie Spiegel ; preface by Alice Walker.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K449" t="inlineStr">
        <is>
          <t>Spiegel, Marjorie.</t>
        </is>
      </c>
      <c r="L449" t="inlineStr">
        <is>
          <t>New York, NY : Mirror Books, c1989.</t>
        </is>
      </c>
      <c r="M449" t="inlineStr">
        <is>
          <t>1989</t>
        </is>
      </c>
      <c r="N449" t="inlineStr">
        <is>
          <t>2nd ed., rev.</t>
        </is>
      </c>
      <c r="O449" t="inlineStr">
        <is>
          <t>eng</t>
        </is>
      </c>
      <c r="P449" t="inlineStr">
        <is>
          <t>nyu</t>
        </is>
      </c>
      <c r="R449" t="inlineStr">
        <is>
          <t xml:space="preserve">HT </t>
        </is>
      </c>
      <c r="S449" t="n">
        <v>14</v>
      </c>
      <c r="T449" t="n">
        <v>14</v>
      </c>
      <c r="U449" t="inlineStr">
        <is>
          <t>1996-07-08</t>
        </is>
      </c>
      <c r="V449" t="inlineStr">
        <is>
          <t>1996-07-08</t>
        </is>
      </c>
      <c r="W449" t="inlineStr">
        <is>
          <t>1990-06-29</t>
        </is>
      </c>
      <c r="X449" t="inlineStr">
        <is>
          <t>1990-06-29</t>
        </is>
      </c>
      <c r="Y449" t="n">
        <v>105</v>
      </c>
      <c r="Z449" t="n">
        <v>96</v>
      </c>
      <c r="AA449" t="n">
        <v>621</v>
      </c>
      <c r="AB449" t="n">
        <v>1</v>
      </c>
      <c r="AC449" t="n">
        <v>4</v>
      </c>
      <c r="AD449" t="n">
        <v>2</v>
      </c>
      <c r="AE449" t="n">
        <v>16</v>
      </c>
      <c r="AF449" t="n">
        <v>0</v>
      </c>
      <c r="AG449" t="n">
        <v>6</v>
      </c>
      <c r="AH449" t="n">
        <v>1</v>
      </c>
      <c r="AI449" t="n">
        <v>3</v>
      </c>
      <c r="AJ449" t="n">
        <v>1</v>
      </c>
      <c r="AK449" t="n">
        <v>8</v>
      </c>
      <c r="AL449" t="n">
        <v>0</v>
      </c>
      <c r="AM449" t="n">
        <v>2</v>
      </c>
      <c r="AN449" t="n">
        <v>0</v>
      </c>
      <c r="AO449" t="n">
        <v>1</v>
      </c>
      <c r="AP449" t="inlineStr">
        <is>
          <t>No</t>
        </is>
      </c>
      <c r="AQ449" t="inlineStr">
        <is>
          <t>No</t>
        </is>
      </c>
      <c r="AS449">
        <f>HYPERLINK("https://creighton-primo.hosted.exlibrisgroup.com/primo-explore/search?tab=default_tab&amp;search_scope=EVERYTHING&amp;vid=01CRU&amp;lang=en_US&amp;offset=0&amp;query=any,contains,991001665139702656","Catalog Record")</f>
        <v/>
      </c>
      <c r="AT449">
        <f>HYPERLINK("http://www.worldcat.org/oclc/21214518","WorldCat Record")</f>
        <v/>
      </c>
      <c r="AU449" t="inlineStr">
        <is>
          <t>1654746570:eng</t>
        </is>
      </c>
      <c r="AV449" t="inlineStr">
        <is>
          <t>21214518</t>
        </is>
      </c>
      <c r="AW449" t="inlineStr">
        <is>
          <t>991001665139702656</t>
        </is>
      </c>
      <c r="AX449" t="inlineStr">
        <is>
          <t>991001665139702656</t>
        </is>
      </c>
      <c r="AY449" t="inlineStr">
        <is>
          <t>2272665990002656</t>
        </is>
      </c>
      <c r="AZ449" t="inlineStr">
        <is>
          <t>BOOK</t>
        </is>
      </c>
      <c r="BB449" t="inlineStr">
        <is>
          <t>9780962449307</t>
        </is>
      </c>
      <c r="BC449" t="inlineStr">
        <is>
          <t>32285000206085</t>
        </is>
      </c>
      <c r="BD449" t="inlineStr">
        <is>
          <t>893872692</t>
        </is>
      </c>
    </row>
    <row r="450">
      <c r="A450" t="inlineStr">
        <is>
          <t>No</t>
        </is>
      </c>
      <c r="B450" t="inlineStr">
        <is>
          <t>HT891 .S83 1998</t>
        </is>
      </c>
      <c r="C450" t="inlineStr">
        <is>
          <t>0                      HT 0891000S  83          1998</t>
        </is>
      </c>
      <c r="D450" t="inlineStr">
        <is>
          <t>Subjugation and bondage : critical essays on slavery and social philosophy / [edited by] Tommy L. Lott.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L450" t="inlineStr">
        <is>
          <t>Lanham, Md. : Rowman &amp; Littlefield Publishers, c1998.</t>
        </is>
      </c>
      <c r="M450" t="inlineStr">
        <is>
          <t>1998</t>
        </is>
      </c>
      <c r="O450" t="inlineStr">
        <is>
          <t>eng</t>
        </is>
      </c>
      <c r="P450" t="inlineStr">
        <is>
          <t>mdu</t>
        </is>
      </c>
      <c r="R450" t="inlineStr">
        <is>
          <t xml:space="preserve">HT </t>
        </is>
      </c>
      <c r="S450" t="n">
        <v>3</v>
      </c>
      <c r="T450" t="n">
        <v>3</v>
      </c>
      <c r="U450" t="inlineStr">
        <is>
          <t>2005-11-28</t>
        </is>
      </c>
      <c r="V450" t="inlineStr">
        <is>
          <t>2005-11-28</t>
        </is>
      </c>
      <c r="W450" t="inlineStr">
        <is>
          <t>1999-01-11</t>
        </is>
      </c>
      <c r="X450" t="inlineStr">
        <is>
          <t>1999-01-11</t>
        </is>
      </c>
      <c r="Y450" t="n">
        <v>257</v>
      </c>
      <c r="Z450" t="n">
        <v>216</v>
      </c>
      <c r="AA450" t="n">
        <v>218</v>
      </c>
      <c r="AB450" t="n">
        <v>1</v>
      </c>
      <c r="AC450" t="n">
        <v>1</v>
      </c>
      <c r="AD450" t="n">
        <v>15</v>
      </c>
      <c r="AE450" t="n">
        <v>15</v>
      </c>
      <c r="AF450" t="n">
        <v>6</v>
      </c>
      <c r="AG450" t="n">
        <v>6</v>
      </c>
      <c r="AH450" t="n">
        <v>5</v>
      </c>
      <c r="AI450" t="n">
        <v>5</v>
      </c>
      <c r="AJ450" t="n">
        <v>8</v>
      </c>
      <c r="AK450" t="n">
        <v>8</v>
      </c>
      <c r="AL450" t="n">
        <v>0</v>
      </c>
      <c r="AM450" t="n">
        <v>0</v>
      </c>
      <c r="AN450" t="n">
        <v>0</v>
      </c>
      <c r="AO450" t="n">
        <v>0</v>
      </c>
      <c r="AP450" t="inlineStr">
        <is>
          <t>No</t>
        </is>
      </c>
      <c r="AQ450" t="inlineStr">
        <is>
          <t>Yes</t>
        </is>
      </c>
      <c r="AR450">
        <f>HYPERLINK("http://catalog.hathitrust.org/Record/003964870","HathiTrust Record")</f>
        <v/>
      </c>
      <c r="AS450">
        <f>HYPERLINK("https://creighton-primo.hosted.exlibrisgroup.com/primo-explore/search?tab=default_tab&amp;search_scope=EVERYTHING&amp;vid=01CRU&amp;lang=en_US&amp;offset=0&amp;query=any,contains,991002845399702656","Catalog Record")</f>
        <v/>
      </c>
      <c r="AT450">
        <f>HYPERLINK("http://www.worldcat.org/oclc/37493221","WorldCat Record")</f>
        <v/>
      </c>
      <c r="AU450" t="inlineStr">
        <is>
          <t>634868:eng</t>
        </is>
      </c>
      <c r="AV450" t="inlineStr">
        <is>
          <t>37493221</t>
        </is>
      </c>
      <c r="AW450" t="inlineStr">
        <is>
          <t>991002845399702656</t>
        </is>
      </c>
      <c r="AX450" t="inlineStr">
        <is>
          <t>991002845399702656</t>
        </is>
      </c>
      <c r="AY450" t="inlineStr">
        <is>
          <t>2265771350002656</t>
        </is>
      </c>
      <c r="AZ450" t="inlineStr">
        <is>
          <t>BOOK</t>
        </is>
      </c>
      <c r="BB450" t="inlineStr">
        <is>
          <t>9780847687770</t>
        </is>
      </c>
      <c r="BC450" t="inlineStr">
        <is>
          <t>32285003511358</t>
        </is>
      </c>
      <c r="BD450" t="inlineStr">
        <is>
          <t>893415719</t>
        </is>
      </c>
    </row>
    <row r="451">
      <c r="A451" t="inlineStr">
        <is>
          <t>No</t>
        </is>
      </c>
      <c r="B451" t="inlineStr">
        <is>
          <t>HT979 .M4 1978</t>
        </is>
      </c>
      <c r="C451" t="inlineStr">
        <is>
          <t>0                      HT 0979000M  4           1978</t>
        </is>
      </c>
      <c r="D451" t="inlineStr">
        <is>
          <t>Slavery in the ancient Near East : a comparative study of slavery in Babylonia, Assyria, Syria, and Palestine from middle of the third millennium to the end of the first millennium / by Isaac Mendelsohn. --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Mendelsohn, Isaac.</t>
        </is>
      </c>
      <c r="L451" t="inlineStr">
        <is>
          <t>Westport, Conn. : Greenwood Press, [1978] c1949.</t>
        </is>
      </c>
      <c r="M451" t="inlineStr">
        <is>
          <t>1978</t>
        </is>
      </c>
      <c r="O451" t="inlineStr">
        <is>
          <t>eng</t>
        </is>
      </c>
      <c r="P451" t="inlineStr">
        <is>
          <t>ctu</t>
        </is>
      </c>
      <c r="R451" t="inlineStr">
        <is>
          <t xml:space="preserve">HT </t>
        </is>
      </c>
      <c r="S451" t="n">
        <v>7</v>
      </c>
      <c r="T451" t="n">
        <v>7</v>
      </c>
      <c r="U451" t="inlineStr">
        <is>
          <t>2008-02-08</t>
        </is>
      </c>
      <c r="V451" t="inlineStr">
        <is>
          <t>2008-02-08</t>
        </is>
      </c>
      <c r="W451" t="inlineStr">
        <is>
          <t>1993-04-29</t>
        </is>
      </c>
      <c r="X451" t="inlineStr">
        <is>
          <t>1993-04-29</t>
        </is>
      </c>
      <c r="Y451" t="n">
        <v>90</v>
      </c>
      <c r="Z451" t="n">
        <v>70</v>
      </c>
      <c r="AA451" t="n">
        <v>70</v>
      </c>
      <c r="AB451" t="n">
        <v>2</v>
      </c>
      <c r="AC451" t="n">
        <v>2</v>
      </c>
      <c r="AD451" t="n">
        <v>2</v>
      </c>
      <c r="AE451" t="n">
        <v>2</v>
      </c>
      <c r="AF451" t="n">
        <v>0</v>
      </c>
      <c r="AG451" t="n">
        <v>0</v>
      </c>
      <c r="AH451" t="n">
        <v>0</v>
      </c>
      <c r="AI451" t="n">
        <v>0</v>
      </c>
      <c r="AJ451" t="n">
        <v>1</v>
      </c>
      <c r="AK451" t="n">
        <v>1</v>
      </c>
      <c r="AL451" t="n">
        <v>1</v>
      </c>
      <c r="AM451" t="n">
        <v>1</v>
      </c>
      <c r="AN451" t="n">
        <v>0</v>
      </c>
      <c r="AO451" t="n">
        <v>0</v>
      </c>
      <c r="AP451" t="inlineStr">
        <is>
          <t>No</t>
        </is>
      </c>
      <c r="AQ451" t="inlineStr">
        <is>
          <t>No</t>
        </is>
      </c>
      <c r="AS451">
        <f>HYPERLINK("https://creighton-primo.hosted.exlibrisgroup.com/primo-explore/search?tab=default_tab&amp;search_scope=EVERYTHING&amp;vid=01CRU&amp;lang=en_US&amp;offset=0&amp;query=any,contains,991004526199702656","Catalog Record")</f>
        <v/>
      </c>
      <c r="AT451">
        <f>HYPERLINK("http://www.worldcat.org/oclc/3843560","WorldCat Record")</f>
        <v/>
      </c>
      <c r="AU451" t="inlineStr">
        <is>
          <t>197247525:eng</t>
        </is>
      </c>
      <c r="AV451" t="inlineStr">
        <is>
          <t>3843560</t>
        </is>
      </c>
      <c r="AW451" t="inlineStr">
        <is>
          <t>991004526199702656</t>
        </is>
      </c>
      <c r="AX451" t="inlineStr">
        <is>
          <t>991004526199702656</t>
        </is>
      </c>
      <c r="AY451" t="inlineStr">
        <is>
          <t>2266420850002656</t>
        </is>
      </c>
      <c r="AZ451" t="inlineStr">
        <is>
          <t>BOOK</t>
        </is>
      </c>
      <c r="BB451" t="inlineStr">
        <is>
          <t>9780313204999</t>
        </is>
      </c>
      <c r="BC451" t="inlineStr">
        <is>
          <t>32285001630630</t>
        </is>
      </c>
      <c r="BD451" t="inlineStr">
        <is>
          <t>893235609</t>
        </is>
      </c>
    </row>
    <row r="452">
      <c r="A452" t="inlineStr">
        <is>
          <t>No</t>
        </is>
      </c>
      <c r="B452" t="inlineStr">
        <is>
          <t>HT985 .P55 1973</t>
        </is>
      </c>
      <c r="C452" t="inlineStr">
        <is>
          <t>0                      HT 0985000P  55          1973</t>
        </is>
      </c>
      <c r="D452" t="inlineStr">
        <is>
          <t>Slavery: the Anglo-American involvement [by] Charlotte and Denis Plimmer.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Plimmer, Charlotte.</t>
        </is>
      </c>
      <c r="L452" t="inlineStr">
        <is>
          <t>Newton Abbot, David and Charles; New York, Barnes &amp; Noble, 1973.</t>
        </is>
      </c>
      <c r="M452" t="inlineStr">
        <is>
          <t>1973</t>
        </is>
      </c>
      <c r="O452" t="inlineStr">
        <is>
          <t>eng</t>
        </is>
      </c>
      <c r="P452" t="inlineStr">
        <is>
          <t>enk</t>
        </is>
      </c>
      <c r="Q452" t="inlineStr">
        <is>
          <t>Illustrated sources in history</t>
        </is>
      </c>
      <c r="R452" t="inlineStr">
        <is>
          <t xml:space="preserve">HT </t>
        </is>
      </c>
      <c r="S452" t="n">
        <v>2</v>
      </c>
      <c r="T452" t="n">
        <v>2</v>
      </c>
      <c r="U452" t="inlineStr">
        <is>
          <t>1998-04-09</t>
        </is>
      </c>
      <c r="V452" t="inlineStr">
        <is>
          <t>1998-04-09</t>
        </is>
      </c>
      <c r="W452" t="inlineStr">
        <is>
          <t>1997-08-19</t>
        </is>
      </c>
      <c r="X452" t="inlineStr">
        <is>
          <t>1997-08-19</t>
        </is>
      </c>
      <c r="Y452" t="n">
        <v>455</v>
      </c>
      <c r="Z452" t="n">
        <v>379</v>
      </c>
      <c r="AA452" t="n">
        <v>387</v>
      </c>
      <c r="AB452" t="n">
        <v>5</v>
      </c>
      <c r="AC452" t="n">
        <v>5</v>
      </c>
      <c r="AD452" t="n">
        <v>15</v>
      </c>
      <c r="AE452" t="n">
        <v>15</v>
      </c>
      <c r="AF452" t="n">
        <v>4</v>
      </c>
      <c r="AG452" t="n">
        <v>4</v>
      </c>
      <c r="AH452" t="n">
        <v>5</v>
      </c>
      <c r="AI452" t="n">
        <v>5</v>
      </c>
      <c r="AJ452" t="n">
        <v>6</v>
      </c>
      <c r="AK452" t="n">
        <v>6</v>
      </c>
      <c r="AL452" t="n">
        <v>4</v>
      </c>
      <c r="AM452" t="n">
        <v>4</v>
      </c>
      <c r="AN452" t="n">
        <v>0</v>
      </c>
      <c r="AO452" t="n">
        <v>0</v>
      </c>
      <c r="AP452" t="inlineStr">
        <is>
          <t>No</t>
        </is>
      </c>
      <c r="AQ452" t="inlineStr">
        <is>
          <t>No</t>
        </is>
      </c>
      <c r="AS452">
        <f>HYPERLINK("https://creighton-primo.hosted.exlibrisgroup.com/primo-explore/search?tab=default_tab&amp;search_scope=EVERYTHING&amp;vid=01CRU&amp;lang=en_US&amp;offset=0&amp;query=any,contains,991003163449702656","Catalog Record")</f>
        <v/>
      </c>
      <c r="AT452">
        <f>HYPERLINK("http://www.worldcat.org/oclc/701784","WorldCat Record")</f>
        <v/>
      </c>
      <c r="AU452" t="inlineStr">
        <is>
          <t>1604144:eng</t>
        </is>
      </c>
      <c r="AV452" t="inlineStr">
        <is>
          <t>701784</t>
        </is>
      </c>
      <c r="AW452" t="inlineStr">
        <is>
          <t>991003163449702656</t>
        </is>
      </c>
      <c r="AX452" t="inlineStr">
        <is>
          <t>991003163449702656</t>
        </is>
      </c>
      <c r="AY452" t="inlineStr">
        <is>
          <t>2255018950002656</t>
        </is>
      </c>
      <c r="AZ452" t="inlineStr">
        <is>
          <t>BOOK</t>
        </is>
      </c>
      <c r="BB452" t="inlineStr">
        <is>
          <t>9780064956062</t>
        </is>
      </c>
      <c r="BC452" t="inlineStr">
        <is>
          <t>32285003148730</t>
        </is>
      </c>
      <c r="BD452" t="inlineStr">
        <is>
          <t>893352709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